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T:\FINANCEMENT PROJETS FORESTIERS\PROJETS\25_MALLEVAL - LIEUZE\Documents LBC\"/>
    </mc:Choice>
  </mc:AlternateContent>
  <xr:revisionPtr revIDLastSave="0" documentId="13_ncr:1_{87AE7DFB-F2E5-4C7C-A89C-1D4704813CD1}" xr6:coauthVersionLast="36" xr6:coauthVersionMax="36" xr10:uidLastSave="{00000000-0000-0000-0000-000000000000}"/>
  <bookViews>
    <workbookView xWindow="0" yWindow="0" windowWidth="23040" windowHeight="939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BR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X38" i="2"/>
  <c r="HI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C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FS130" i="2"/>
  <c r="EB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H140" i="2"/>
  <c r="HG140" i="2"/>
  <c r="FS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AB161" i="2"/>
  <c r="FS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V163" i="2"/>
  <c r="HH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S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FS169" i="2"/>
  <c r="EA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FS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A185" i="2"/>
  <c r="HI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S186" i="2"/>
  <c r="EW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A192" i="2"/>
  <c r="EB192" i="2"/>
  <c r="HI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G195" i="2"/>
  <c r="EB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G199" i="2"/>
  <c r="EW199" i="2"/>
  <c r="FS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HH201" i="2" l="1"/>
  <c r="EB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5" i="2" a="1"/>
  <c r="BC6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170" i="2" a="1"/>
  <c r="DN170" i="2" s="1"/>
  <c r="DN66" i="2" a="1"/>
  <c r="DN66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135" i="2" a="1"/>
  <c r="DN135" i="2" s="1"/>
  <c r="DN31" i="2" a="1"/>
  <c r="DN31" i="2" s="1"/>
  <c r="DN190" i="2" a="1"/>
  <c r="DN190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BC143" i="2" a="1"/>
  <c r="BC143" i="2" s="1"/>
  <c r="BC38" i="2" a="1"/>
  <c r="BC38" i="2" s="1"/>
  <c r="BC18" i="2" a="1"/>
  <c r="BC18" i="2" s="1"/>
  <c r="BC31" i="2" a="1"/>
  <c r="BC31" i="2" s="1"/>
  <c r="BC114" i="2" a="1"/>
  <c r="BC114" i="2" s="1"/>
  <c r="BC83" i="2" a="1"/>
  <c r="BC83" i="2" s="1"/>
  <c r="BC32" i="2" a="1"/>
  <c r="BC32" i="2" s="1"/>
  <c r="BC151" i="2" a="1"/>
  <c r="BC151" i="2" s="1"/>
  <c r="BC164" i="2" a="1"/>
  <c r="BC164" i="2" s="1"/>
  <c r="BC7" i="2" a="1"/>
  <c r="BC7" i="2" s="1"/>
  <c r="BC55" i="2" a="1"/>
  <c r="BC55" i="2" s="1"/>
  <c r="BC181" i="2" a="1"/>
  <c r="BC181" i="2" s="1"/>
  <c r="BC68" i="2" a="1"/>
  <c r="BC68" i="2" s="1"/>
  <c r="BC58" i="2" a="1"/>
  <c r="BC58" i="2" s="1"/>
  <c r="BC185" i="2" a="1"/>
  <c r="BC185" i="2" s="1"/>
  <c r="BC192" i="2" a="1"/>
  <c r="BC192" i="2" s="1"/>
  <c r="BC126" i="2" a="1"/>
  <c r="BC126" i="2" s="1"/>
  <c r="BC82" i="2" a="1"/>
  <c r="BC82" i="2" s="1"/>
  <c r="BC130" i="2" a="1"/>
  <c r="BC130" i="2" s="1"/>
  <c r="BC117" i="2" a="1"/>
  <c r="BC117" i="2" s="1"/>
  <c r="BC47" i="2" a="1"/>
  <c r="BC47" i="2" s="1"/>
  <c r="AH151" i="2" a="1"/>
  <c r="AH151" i="2" s="1"/>
  <c r="AH199" i="2" a="1"/>
  <c r="AH199" i="2" s="1"/>
  <c r="AH19" i="2" a="1"/>
  <c r="AH19" i="2" s="1"/>
  <c r="AH163" i="2" a="1"/>
  <c r="AH163" i="2" s="1"/>
  <c r="AH62" i="2" a="1"/>
  <c r="AH62" i="2" s="1"/>
  <c r="AH90" i="2" a="1"/>
  <c r="AH90" i="2" s="1"/>
  <c r="AH166" i="2" a="1"/>
  <c r="AH166" i="2" s="1"/>
  <c r="DN132" i="2" a="1"/>
  <c r="DN132" i="2" s="1"/>
  <c r="DN133" i="2" a="1"/>
  <c r="DN133" i="2" s="1"/>
  <c r="DN167" i="2" a="1"/>
  <c r="DN167" i="2" s="1"/>
  <c r="DN38" i="2" a="1"/>
  <c r="DN38" i="2" s="1"/>
  <c r="DN123" i="2" a="1"/>
  <c r="DN123" i="2" s="1"/>
  <c r="DN188" i="2" a="1"/>
  <c r="DN188" i="2" s="1"/>
  <c r="DN129" i="2" a="1"/>
  <c r="DN129" i="2" s="1"/>
  <c r="DN29" i="2" a="1"/>
  <c r="DN29" i="2" s="1"/>
  <c r="DN65" i="2" a="1"/>
  <c r="DN65" i="2" s="1"/>
  <c r="DN86" i="2" a="1"/>
  <c r="DN86" i="2" s="1"/>
  <c r="DN50" i="2" a="1"/>
  <c r="DN50" i="2" s="1"/>
  <c r="DN41" i="2" a="1"/>
  <c r="DN41" i="2" s="1"/>
  <c r="DN124" i="2" a="1"/>
  <c r="DN124" i="2" s="1"/>
  <c r="DN30" i="2" a="1"/>
  <c r="DN30" i="2" s="1"/>
  <c r="DN16" i="2" a="1"/>
  <c r="DN16" i="2" s="1"/>
  <c r="DN46" i="2" a="1"/>
  <c r="DN46" i="2" s="1"/>
  <c r="DN70" i="2" a="1"/>
  <c r="DN70" i="2" s="1"/>
  <c r="DN162" i="2" a="1"/>
  <c r="DN162" i="2" s="1"/>
  <c r="DN63" i="2" a="1"/>
  <c r="DN63" i="2" s="1"/>
  <c r="DN114" i="2" a="1"/>
  <c r="DN114" i="2" s="1"/>
  <c r="DN177" i="2" a="1"/>
  <c r="DN177" i="2" s="1"/>
  <c r="DN113" i="2" a="1"/>
  <c r="DN113" i="2" s="1"/>
  <c r="DN43" i="2" a="1"/>
  <c r="DN43" i="2" s="1"/>
  <c r="DN45" i="2" a="1"/>
  <c r="DN45" i="2" s="1"/>
  <c r="DN55" i="2" a="1"/>
  <c r="DN55" i="2" s="1"/>
  <c r="DN49" i="2" a="1"/>
  <c r="DN49" i="2" s="1"/>
  <c r="DN80" i="2" a="1"/>
  <c r="DN80" i="2" s="1"/>
  <c r="DN103" i="2" a="1"/>
  <c r="DN103" i="2" s="1"/>
  <c r="DN150" i="2" a="1"/>
  <c r="DN150" i="2" s="1"/>
  <c r="DN115" i="2" a="1"/>
  <c r="DN115" i="2" s="1"/>
  <c r="DN25" i="2" a="1"/>
  <c r="DN25" i="2" s="1"/>
  <c r="DN186" i="2" a="1"/>
  <c r="DN186" i="2" s="1"/>
  <c r="DN155" i="2" a="1"/>
  <c r="DN155" i="2" s="1"/>
  <c r="DN56" i="2" a="1"/>
  <c r="DN56" i="2" s="1"/>
  <c r="BP203" i="2"/>
  <c r="HH203" i="2"/>
  <c r="DN176" i="2" a="1"/>
  <c r="DN176" i="2" s="1"/>
  <c r="DN110" i="2" a="1"/>
  <c r="DN110" i="2" s="1"/>
  <c r="DN164" i="2" a="1"/>
  <c r="DN164" i="2" s="1"/>
  <c r="DN192" i="2" a="1"/>
  <c r="DN192" i="2" s="1"/>
  <c r="DN153" i="2" a="1"/>
  <c r="DN153" i="2" s="1"/>
  <c r="DN184" i="2" a="1"/>
  <c r="DN184" i="2" s="1"/>
  <c r="DN137" i="2" a="1"/>
  <c r="DN13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<sst xmlns="http://schemas.openxmlformats.org/spreadsheetml/2006/main" count="1173" uniqueCount="324">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</sst>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2.5465439226797426</c:v>
                </c:pt>
                <c:pt idx="2">
                  <c:v>2.9032091531750059</c:v>
                </c:pt>
                <c:pt idx="3">
                  <c:v>3.3100065808191808</c:v>
                </c:pt>
                <c:pt idx="4">
                  <c:v>3.7740063767313257</c:v>
                </c:pt>
                <c:pt idx="5">
                  <c:v>4.3032789587900195</c:v>
                </c:pt>
                <c:pt idx="6">
                  <c:v>4.9070369147725268</c:v>
                </c:pt>
                <c:pt idx="7">
                  <c:v>5.5957971171829728</c:v>
                </c:pt>
                <c:pt idx="8">
                  <c:v>6.3815659096293693</c:v>
                </c:pt>
                <c:pt idx="9">
                  <c:v>7.2780506562875678</c:v>
                </c:pt>
                <c:pt idx="10">
                  <c:v>8.3009014166401585</c:v>
                </c:pt>
                <c:pt idx="11">
                  <c:v>9.4679870457635413</c:v>
                </c:pt>
                <c:pt idx="12">
                  <c:v>10.799710635636943</c:v>
                </c:pt>
                <c:pt idx="13">
                  <c:v>12.319369916335253</c:v>
                </c:pt>
                <c:pt idx="14">
                  <c:v>14.053569040207348</c:v>
                </c:pt>
                <c:pt idx="15">
                  <c:v>16.032689091719423</c:v>
                </c:pt>
                <c:pt idx="16">
                  <c:v>18.291425717128707</c:v>
                </c:pt>
                <c:pt idx="17">
                  <c:v>20.869403470501549</c:v>
                </c:pt>
                <c:pt idx="18">
                  <c:v>23.811877847483618</c:v>
                </c:pt>
                <c:pt idx="19">
                  <c:v>27.170537550472705</c:v>
                </c:pt>
                <c:pt idx="20">
                  <c:v>31.004421326811102</c:v>
                </c:pt>
                <c:pt idx="21">
                  <c:v>35.380965777765134</c:v>
                </c:pt>
                <c:pt idx="22">
                  <c:v>40.377202887530579</c:v>
                </c:pt>
                <c:pt idx="23">
                  <c:v>46.081128710778643</c:v>
                </c:pt>
                <c:pt idx="24">
                  <c:v>52.593267732944405</c:v>
                </c:pt>
                <c:pt idx="25">
                  <c:v>60.028460935167708</c:v>
                </c:pt>
                <c:pt idx="26">
                  <c:v>69.347253894011999</c:v>
                </c:pt>
                <c:pt idx="27">
                  <c:v>78.633838377891195</c:v>
                </c:pt>
                <c:pt idx="28">
                  <c:v>87.892565006654181</c:v>
                </c:pt>
                <c:pt idx="29">
                  <c:v>97.126788761916146</c:v>
                </c:pt>
                <c:pt idx="30">
                  <c:v>106.33917221071194</c:v>
                </c:pt>
                <c:pt idx="31">
                  <c:v>110.93786523534799</c:v>
                </c:pt>
                <c:pt idx="32">
                  <c:v>115.53187747110839</c:v>
                </c:pt>
                <c:pt idx="33">
                  <c:v>120.1214218237684</c:v>
                </c:pt>
                <c:pt idx="34">
                  <c:v>124.7066935551898</c:v>
                </c:pt>
                <c:pt idx="35">
                  <c:v>129.28787235572034</c:v>
                </c:pt>
                <c:pt idx="36">
                  <c:v>114.38380127391692</c:v>
                </c:pt>
                <c:pt idx="37">
                  <c:v>124.32474628741488</c:v>
                </c:pt>
                <c:pt idx="38">
                  <c:v>134.24638938649042</c:v>
                </c:pt>
                <c:pt idx="39">
                  <c:v>144.15036005266867</c:v>
                </c:pt>
                <c:pt idx="40">
                  <c:v>154.03804513155393</c:v>
                </c:pt>
                <c:pt idx="41">
                  <c:v>138.05761977658179</c:v>
                </c:pt>
                <c:pt idx="42">
                  <c:v>148.71585437138614</c:v>
                </c:pt>
                <c:pt idx="43">
                  <c:v>159.35586286360191</c:v>
                </c:pt>
                <c:pt idx="44">
                  <c:v>169.97903495411802</c:v>
                </c:pt>
                <c:pt idx="45">
                  <c:v>180.58657218998459</c:v>
                </c:pt>
                <c:pt idx="46">
                  <c:v>164.66947441295125</c:v>
                </c:pt>
                <c:pt idx="47">
                  <c:v>175.28468915456571</c:v>
                </c:pt>
                <c:pt idx="48">
                  <c:v>185.88481063386448</c:v>
                </c:pt>
                <c:pt idx="49">
                  <c:v>196.47082163446893</c:v>
                </c:pt>
                <c:pt idx="50">
                  <c:v>207.04359025710676</c:v>
                </c:pt>
                <c:pt idx="51">
                  <c:v>191.17952324014564</c:v>
                </c:pt>
                <c:pt idx="52">
                  <c:v>201.75881092692774</c:v>
                </c:pt>
                <c:pt idx="53">
                  <c:v>212.32525328046384</c:v>
                </c:pt>
                <c:pt idx="54">
                  <c:v>222.87958017562775</c:v>
                </c:pt>
                <c:pt idx="55">
                  <c:v>233.42244664801692</c:v>
                </c:pt>
                <c:pt idx="56">
                  <c:v>217.22694181678949</c:v>
                </c:pt>
                <c:pt idx="57">
                  <c:v>227.39931901765985</c:v>
                </c:pt>
                <c:pt idx="58">
                  <c:v>237.56128239156047</c:v>
                </c:pt>
                <c:pt idx="59">
                  <c:v>247.71334055429861</c:v>
                </c:pt>
                <c:pt idx="60">
                  <c:v>257.85595699105755</c:v>
                </c:pt>
                <c:pt idx="61">
                  <c:v>241.69847457925619</c:v>
                </c:pt>
                <c:pt idx="62">
                  <c:v>251.84663251620748</c:v>
                </c:pt>
                <c:pt idx="63">
                  <c:v>261.98552595095452</c:v>
                </c:pt>
                <c:pt idx="64">
                  <c:v>272.11556422776465</c:v>
                </c:pt>
                <c:pt idx="65">
                  <c:v>282.23712370144079</c:v>
                </c:pt>
                <c:pt idx="66">
                  <c:v>265.36317005758787</c:v>
                </c:pt>
                <c:pt idx="67">
                  <c:v>274.74047191396772</c:v>
                </c:pt>
                <c:pt idx="68">
                  <c:v>284.1105842971628</c:v>
                </c:pt>
                <c:pt idx="69">
                  <c:v>293.47377793906497</c:v>
                </c:pt>
                <c:pt idx="70">
                  <c:v>302.83030487228274</c:v>
                </c:pt>
                <c:pt idx="71">
                  <c:v>285.9837682029551</c:v>
                </c:pt>
                <c:pt idx="72">
                  <c:v>295.34560890488154</c:v>
                </c:pt>
                <c:pt idx="73">
                  <c:v>304.70083122716068</c:v>
                </c:pt>
                <c:pt idx="74">
                  <c:v>314.04966717357325</c:v>
                </c:pt>
                <c:pt idx="75">
                  <c:v>323.39233379750681</c:v>
                </c:pt>
                <c:pt idx="76">
                  <c:v>305.07490579191523</c:v>
                </c:pt>
                <c:pt idx="77">
                  <c:v>312.92813674795292</c:v>
                </c:pt>
                <c:pt idx="78">
                  <c:v>320.77699701276748</c:v>
                </c:pt>
                <c:pt idx="79">
                  <c:v>328.62160871118186</c:v>
                </c:pt>
                <c:pt idx="80">
                  <c:v>336.46208765640478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96.776796677671271</c:v>
                </c:pt>
                <c:pt idx="22">
                  <c:v>103.46250949744717</c:v>
                </c:pt>
                <c:pt idx="23">
                  <c:v>110.13754274945018</c:v>
                </c:pt>
                <c:pt idx="24">
                  <c:v>116.8026363404107</c:v>
                </c:pt>
                <c:pt idx="25">
                  <c:v>123.45843862619603</c:v>
                </c:pt>
                <c:pt idx="26">
                  <c:v>130.10552217830414</c:v>
                </c:pt>
                <c:pt idx="27">
                  <c:v>136.74439615020125</c:v>
                </c:pt>
                <c:pt idx="28">
                  <c:v>143.37551610986998</c:v>
                </c:pt>
                <c:pt idx="29">
                  <c:v>149.99929195346508</c:v>
                </c:pt>
                <c:pt idx="30">
                  <c:v>156.61609434461207</c:v>
                </c:pt>
                <c:pt idx="31">
                  <c:v>122.94677025652992</c:v>
                </c:pt>
                <c:pt idx="32">
                  <c:v>130.10552217830414</c:v>
                </c:pt>
                <c:pt idx="33">
                  <c:v>137.25475210550681</c:v>
                </c:pt>
                <c:pt idx="34">
                  <c:v>144.39502686294233</c:v>
                </c:pt>
                <c:pt idx="35">
                  <c:v>151.52685252328283</c:v>
                </c:pt>
                <c:pt idx="36">
                  <c:v>158.65068353627368</c:v>
                </c:pt>
                <c:pt idx="37">
                  <c:v>165.76693012867713</c:v>
                </c:pt>
                <c:pt idx="38">
                  <c:v>172.87596436429328</c:v>
                </c:pt>
                <c:pt idx="39">
                  <c:v>179.97812515299574</c:v>
                </c:pt>
                <c:pt idx="40">
                  <c:v>187.07372242622981</c:v>
                </c:pt>
                <c:pt idx="41">
                  <c:v>143.37551610986998</c:v>
                </c:pt>
                <c:pt idx="42">
                  <c:v>150.5085198437738</c:v>
                </c:pt>
                <c:pt idx="43">
                  <c:v>157.63346687299864</c:v>
                </c:pt>
                <c:pt idx="44">
                  <c:v>164.75077334312192</c:v>
                </c:pt>
                <c:pt idx="45">
                  <c:v>171.86081644124263</c:v>
                </c:pt>
                <c:pt idx="46">
                  <c:v>178.96393954042523</c:v>
                </c:pt>
                <c:pt idx="47">
                  <c:v>186.06045648309296</c:v>
                </c:pt>
                <c:pt idx="48">
                  <c:v>193.15065517554152</c:v>
                </c:pt>
                <c:pt idx="49">
                  <c:v>200.23480062612774</c:v>
                </c:pt>
                <c:pt idx="50">
                  <c:v>207.31313753029789</c:v>
                </c:pt>
                <c:pt idx="51">
                  <c:v>154.58087703393579</c:v>
                </c:pt>
                <c:pt idx="52">
                  <c:v>162.7180141901425</c:v>
                </c:pt>
                <c:pt idx="53">
                  <c:v>170.84552734277023</c:v>
                </c:pt>
                <c:pt idx="54">
                  <c:v>178.96393954042523</c:v>
                </c:pt>
                <c:pt idx="55">
                  <c:v>187.07372242622981</c:v>
                </c:pt>
                <c:pt idx="56">
                  <c:v>195.17530334919044</c:v>
                </c:pt>
                <c:pt idx="57">
                  <c:v>203.26907123098991</c:v>
                </c:pt>
                <c:pt idx="58">
                  <c:v>211.35538144796092</c:v>
                </c:pt>
                <c:pt idx="59">
                  <c:v>219.43455992571219</c:v>
                </c:pt>
                <c:pt idx="60">
                  <c:v>227.50690659831915</c:v>
                </c:pt>
                <c:pt idx="61">
                  <c:v>164.24263944991469</c:v>
                </c:pt>
                <c:pt idx="62">
                  <c:v>171.86081644124263</c:v>
                </c:pt>
                <c:pt idx="63">
                  <c:v>179.47104913917383</c:v>
                </c:pt>
                <c:pt idx="64">
                  <c:v>187.07372242622981</c:v>
                </c:pt>
                <c:pt idx="65">
                  <c:v>194.66918729679796</c:v>
                </c:pt>
                <c:pt idx="66">
                  <c:v>202.25776507632233</c:v>
                </c:pt>
                <c:pt idx="67">
                  <c:v>209.839750973131</c:v>
                </c:pt>
                <c:pt idx="68">
                  <c:v>217.41541708927389</c:v>
                </c:pt>
                <c:pt idx="69">
                  <c:v>224.98501498915439</c:v>
                </c:pt>
                <c:pt idx="70">
                  <c:v>232.54877790391367</c:v>
                </c:pt>
                <c:pt idx="71">
                  <c:v>159.36264307427203</c:v>
                </c:pt>
                <c:pt idx="72">
                  <c:v>167.18930267047901</c:v>
                </c:pt>
                <c:pt idx="73">
                  <c:v>175.00731968418424</c:v>
                </c:pt>
                <c:pt idx="74">
                  <c:v>182.81713521797565</c:v>
                </c:pt>
                <c:pt idx="75">
                  <c:v>190.61914954910148</c:v>
                </c:pt>
                <c:pt idx="76">
                  <c:v>198.41372746166948</c:v>
                </c:pt>
                <c:pt idx="77">
                  <c:v>206.20120269571109</c:v>
                </c:pt>
                <c:pt idx="78">
                  <c:v>213.98188168792061</c:v>
                </c:pt>
                <c:pt idx="79">
                  <c:v>221.75604673904499</c:v>
                </c:pt>
                <c:pt idx="80">
                  <c:v>229.52395871325146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1.5542396535779688</c:v>
                </c:pt>
                <c:pt idx="2">
                  <c:v>2.0926150170693254</c:v>
                </c:pt>
                <c:pt idx="3">
                  <c:v>2.8182735327407364</c:v>
                </c:pt>
                <c:pt idx="4">
                  <c:v>3.7966257940781527</c:v>
                </c:pt>
                <c:pt idx="5">
                  <c:v>5.1160130492094043</c:v>
                </c:pt>
                <c:pt idx="6">
                  <c:v>6.8957736722787493</c:v>
                </c:pt>
                <c:pt idx="7">
                  <c:v>9.2971562495830806</c:v>
                </c:pt>
                <c:pt idx="8">
                  <c:v>12.538086751704101</c:v>
                </c:pt>
                <c:pt idx="9">
                  <c:v>16.913154766135499</c:v>
                </c:pt>
                <c:pt idx="10">
                  <c:v>22.820668431073884</c:v>
                </c:pt>
                <c:pt idx="11">
                  <c:v>30.799284868457505</c:v>
                </c:pt>
                <c:pt idx="12">
                  <c:v>41.577614079999954</c:v>
                </c:pt>
                <c:pt idx="13">
                  <c:v>56.14140294108028</c:v>
                </c:pt>
                <c:pt idx="14">
                  <c:v>75.824545447946051</c:v>
                </c:pt>
                <c:pt idx="15">
                  <c:v>102.43238962082887</c:v>
                </c:pt>
                <c:pt idx="16">
                  <c:v>138.40882936708874</c:v>
                </c:pt>
                <c:pt idx="17">
                  <c:v>187.06276486772762</c:v>
                </c:pt>
                <c:pt idx="18">
                  <c:v>252.87507294802967</c:v>
                </c:pt>
                <c:pt idx="19">
                  <c:v>341.91477270699107</c:v>
                </c:pt>
                <c:pt idx="20">
                  <c:v>462.40331218251191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8" zoomScale="80" zoomScaleNormal="80" workbookViewId="0">
      <selection activeCell="B43" sqref="B4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9.1999999999999993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0.04</v>
      </c>
      <c r="D9" s="36">
        <f t="shared" ref="D9:D18" si="0">C9*$C$5</f>
        <v>0.36799999999999999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0.03</v>
      </c>
      <c r="D10" s="36">
        <f t="shared" si="0"/>
        <v>0.27599999999999997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111</v>
      </c>
      <c r="C11" s="35">
        <v>0.64</v>
      </c>
      <c r="D11" s="36">
        <f t="shared" si="0"/>
        <v>5.8879999999999999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35</v>
      </c>
      <c r="C12" s="35">
        <v>0.28999999999999998</v>
      </c>
      <c r="D12" s="36">
        <f t="shared" si="0"/>
        <v>2.6679999999999997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9.1999999999999993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30</v>
      </c>
      <c r="C36" s="63"/>
      <c r="D36" s="63">
        <v>0</v>
      </c>
      <c r="E36" s="54"/>
      <c r="F36" s="54"/>
      <c r="G36" s="54"/>
      <c r="H36" s="54"/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54</v>
      </c>
      <c r="C37" s="63"/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66</v>
      </c>
      <c r="C38" s="63">
        <v>1</v>
      </c>
      <c r="D38" s="63">
        <v>13</v>
      </c>
      <c r="E38" s="54">
        <v>0</v>
      </c>
      <c r="F38" s="54"/>
      <c r="G38" s="54"/>
      <c r="H38" s="54">
        <v>1</v>
      </c>
      <c r="I38" s="56">
        <f t="shared" si="1"/>
        <v>2.4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79</v>
      </c>
      <c r="C39" s="63">
        <v>2</v>
      </c>
      <c r="D39" s="63">
        <v>14</v>
      </c>
      <c r="E39" s="54">
        <v>0</v>
      </c>
      <c r="F39" s="54"/>
      <c r="G39" s="54"/>
      <c r="H39" s="54">
        <v>1</v>
      </c>
      <c r="I39" s="52">
        <f t="shared" si="1"/>
        <v>5.2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93</v>
      </c>
      <c r="C40" s="63">
        <v>3</v>
      </c>
      <c r="D40" s="63">
        <v>14</v>
      </c>
      <c r="E40" s="54">
        <v>0.2</v>
      </c>
      <c r="F40" s="54"/>
      <c r="G40" s="54"/>
      <c r="H40" s="54">
        <v>0.8</v>
      </c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107</v>
      </c>
      <c r="C41" s="63">
        <v>4</v>
      </c>
      <c r="D41" s="63">
        <v>14</v>
      </c>
      <c r="E41" s="54">
        <v>0.4</v>
      </c>
      <c r="F41" s="54"/>
      <c r="G41" s="54"/>
      <c r="H41" s="54">
        <v>0.6</v>
      </c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121</v>
      </c>
      <c r="C42" s="63">
        <v>5</v>
      </c>
      <c r="D42" s="63">
        <v>14</v>
      </c>
      <c r="E42" s="54">
        <v>0.6</v>
      </c>
      <c r="F42" s="54"/>
      <c r="G42" s="54"/>
      <c r="H42" s="54">
        <v>0.4</v>
      </c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60</v>
      </c>
      <c r="B43" s="63">
        <v>134</v>
      </c>
      <c r="C43" s="63">
        <v>6</v>
      </c>
      <c r="D43" s="63">
        <v>14</v>
      </c>
      <c r="E43" s="54">
        <v>0.7</v>
      </c>
      <c r="F43" s="54"/>
      <c r="G43" s="54"/>
      <c r="H43" s="54">
        <v>0.3</v>
      </c>
      <c r="I43" s="52">
        <f t="shared" si="1"/>
        <v>5.4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65</v>
      </c>
      <c r="B44" s="63">
        <v>147</v>
      </c>
      <c r="C44" s="63">
        <v>7</v>
      </c>
      <c r="D44" s="63">
        <v>14</v>
      </c>
      <c r="E44" s="54">
        <v>0.8</v>
      </c>
      <c r="F44" s="54"/>
      <c r="G44" s="54"/>
      <c r="H44" s="54">
        <v>0.2</v>
      </c>
      <c r="I44" s="52">
        <f t="shared" si="1"/>
        <v>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70</v>
      </c>
      <c r="B45" s="63">
        <v>158</v>
      </c>
      <c r="C45" s="63">
        <v>8</v>
      </c>
      <c r="D45" s="63">
        <v>14</v>
      </c>
      <c r="E45" s="54">
        <v>0.8</v>
      </c>
      <c r="F45" s="54"/>
      <c r="G45" s="54"/>
      <c r="H45" s="54">
        <v>0.2</v>
      </c>
      <c r="I45" s="52">
        <f t="shared" si="1"/>
        <v>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75</v>
      </c>
      <c r="B46" s="63">
        <v>169</v>
      </c>
      <c r="C46" s="63">
        <v>9</v>
      </c>
      <c r="D46" s="63">
        <v>14</v>
      </c>
      <c r="E46" s="54">
        <v>0.8</v>
      </c>
      <c r="F46" s="54"/>
      <c r="G46" s="54"/>
      <c r="H46" s="54">
        <v>0.2</v>
      </c>
      <c r="I46" s="52">
        <f t="shared" si="1"/>
        <v>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80</v>
      </c>
      <c r="B47" s="63">
        <v>176</v>
      </c>
      <c r="C47" s="63"/>
      <c r="D47" s="63">
        <v>176</v>
      </c>
      <c r="E47" s="54">
        <v>0.9</v>
      </c>
      <c r="F47" s="54"/>
      <c r="G47" s="54"/>
      <c r="H47" s="54">
        <v>0.1</v>
      </c>
      <c r="I47" s="52">
        <f t="shared" si="1"/>
        <v>4.2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63"/>
      <c r="C55" s="63"/>
      <c r="D55" s="6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115</v>
      </c>
      <c r="C62" s="63">
        <v>1</v>
      </c>
      <c r="D62" s="63">
        <v>30</v>
      </c>
      <c r="E62" s="54">
        <v>0.2</v>
      </c>
      <c r="F62" s="54"/>
      <c r="G62" s="54">
        <v>0.8</v>
      </c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150</v>
      </c>
      <c r="C63" s="63">
        <v>2</v>
      </c>
      <c r="D63" s="63">
        <v>40</v>
      </c>
      <c r="E63" s="54">
        <v>0.3</v>
      </c>
      <c r="F63" s="54"/>
      <c r="G63" s="54">
        <v>0.7</v>
      </c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180</v>
      </c>
      <c r="C64" s="63">
        <v>3</v>
      </c>
      <c r="D64" s="63">
        <v>50</v>
      </c>
      <c r="E64" s="54">
        <v>0.5</v>
      </c>
      <c r="F64" s="54"/>
      <c r="G64" s="54">
        <v>0.5</v>
      </c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200</v>
      </c>
      <c r="C65" s="63">
        <v>4</v>
      </c>
      <c r="D65" s="63">
        <v>60</v>
      </c>
      <c r="E65" s="54">
        <v>0.7</v>
      </c>
      <c r="F65" s="54"/>
      <c r="G65" s="54">
        <v>0.3</v>
      </c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220</v>
      </c>
      <c r="C66" s="63">
        <v>5</v>
      </c>
      <c r="D66" s="63">
        <v>70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225</v>
      </c>
      <c r="C67" s="63">
        <v>6</v>
      </c>
      <c r="D67" s="63">
        <v>80</v>
      </c>
      <c r="E67" s="54">
        <v>0.8</v>
      </c>
      <c r="F67" s="54"/>
      <c r="G67" s="54">
        <v>0.2</v>
      </c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222</v>
      </c>
      <c r="C68" s="63"/>
      <c r="D68" s="63">
        <v>222</v>
      </c>
      <c r="E68" s="54">
        <v>0.9</v>
      </c>
      <c r="F68" s="54"/>
      <c r="G68" s="54">
        <v>0.1</v>
      </c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I-214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484</v>
      </c>
      <c r="C88" s="63">
        <v>1</v>
      </c>
      <c r="D88" s="63">
        <v>484</v>
      </c>
      <c r="E88" s="54">
        <v>0.8</v>
      </c>
      <c r="F88" s="54"/>
      <c r="G88" s="54">
        <v>0.2</v>
      </c>
      <c r="H88" s="93"/>
      <c r="I88" s="56">
        <f>IFERROR(B88/A88,"")</f>
        <v>24.2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laricio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27</v>
      </c>
      <c r="B114" s="63">
        <v>118</v>
      </c>
      <c r="C114" s="53">
        <v>1</v>
      </c>
      <c r="D114" s="63">
        <v>15</v>
      </c>
      <c r="E114" s="54">
        <v>0.1</v>
      </c>
      <c r="F114" s="54"/>
      <c r="G114" s="54">
        <v>0.9</v>
      </c>
      <c r="H114" s="54"/>
      <c r="I114" s="56">
        <f>IFERROR(B114/A114,"")</f>
        <v>4.3703703703703702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132</v>
      </c>
      <c r="C115" s="53">
        <v>2</v>
      </c>
      <c r="D115" s="63">
        <v>13</v>
      </c>
      <c r="E115" s="54">
        <v>0.3</v>
      </c>
      <c r="F115" s="54"/>
      <c r="G115" s="54">
        <v>0.7</v>
      </c>
      <c r="H115" s="54"/>
      <c r="I115" s="56">
        <f t="shared" ref="I115:I133" si="4">IF(A115&lt;&gt;0,(B115-(B114-D114))/(A115-A114),"")</f>
        <v>9.6666666666666661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169</v>
      </c>
      <c r="C116" s="53">
        <v>3</v>
      </c>
      <c r="D116" s="63">
        <v>23</v>
      </c>
      <c r="E116" s="54">
        <v>0.5</v>
      </c>
      <c r="F116" s="54"/>
      <c r="G116" s="54">
        <v>0.5</v>
      </c>
      <c r="H116" s="54"/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208</v>
      </c>
      <c r="C117" s="53">
        <v>4</v>
      </c>
      <c r="D117" s="63">
        <v>34</v>
      </c>
      <c r="E117" s="54">
        <v>0.7</v>
      </c>
      <c r="F117" s="54"/>
      <c r="G117" s="54">
        <v>0.3</v>
      </c>
      <c r="H117" s="54"/>
      <c r="I117" s="56">
        <f t="shared" si="4"/>
        <v>12.4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50</v>
      </c>
      <c r="B118" s="63">
        <v>315</v>
      </c>
      <c r="C118" s="53">
        <v>5</v>
      </c>
      <c r="D118" s="63">
        <v>79</v>
      </c>
      <c r="E118" s="54">
        <v>0.7</v>
      </c>
      <c r="F118" s="54"/>
      <c r="G118" s="54">
        <v>0.3</v>
      </c>
      <c r="H118" s="54"/>
      <c r="I118" s="56">
        <f t="shared" si="4"/>
        <v>14.1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60</v>
      </c>
      <c r="B119" s="63">
        <v>393</v>
      </c>
      <c r="C119" s="53"/>
      <c r="D119" s="63">
        <v>393</v>
      </c>
      <c r="E119" s="54">
        <v>0.8</v>
      </c>
      <c r="F119" s="54"/>
      <c r="G119" s="54">
        <v>0.2</v>
      </c>
      <c r="H119" s="54"/>
      <c r="I119" s="56">
        <f t="shared" si="4"/>
        <v>15.7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09" t="s">
        <v>176</v>
      </c>
      <c r="C1" s="310"/>
      <c r="D1" s="310"/>
      <c r="E1" s="310"/>
      <c r="F1" s="310"/>
      <c r="G1" s="310"/>
      <c r="H1" s="311"/>
      <c r="I1" s="306" t="str">
        <f>IF('Données projet'!$B$9="","",'Données projet'!$B$9)</f>
        <v>Chêne rouge d'Amérique</v>
      </c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8"/>
      <c r="AD1" s="307" t="str">
        <f>IF('Données projet'!$B$10="","",'Données projet'!$B$10)</f>
        <v>Cèdre de l'Atlas</v>
      </c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8"/>
      <c r="AY1" s="306" t="str">
        <f>IF('Données projet'!$B$11="","",'Données projet'!$B$11)</f>
        <v>Peuplier I-214</v>
      </c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8"/>
      <c r="BT1" s="306" t="str">
        <f>IF('Données projet'!$B$12="","",'Données projet'!$B$12)</f>
        <v>Pin laricio</v>
      </c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8"/>
      <c r="CO1" s="306" t="str">
        <f>IF('Données projet'!$B$13="","",'Données projet'!$B$13)</f>
        <v/>
      </c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8"/>
      <c r="DJ1" s="306" t="str">
        <f>IF('Données projet'!$B$14="","",'Données projet'!$B$14)</f>
        <v/>
      </c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8"/>
      <c r="EE1" s="306" t="str">
        <f>IF('Données projet'!$B$15="","",'Données projet'!$B$15)</f>
        <v/>
      </c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8"/>
      <c r="EZ1" s="306" t="str">
        <f>IF('Données projet'!$B$16="","",'Données projet'!$B$16)</f>
        <v/>
      </c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8"/>
      <c r="FU1" s="306" t="str">
        <f>IF('Données projet'!$B$17="","",'Données projet'!$B$17)</f>
        <v/>
      </c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8"/>
      <c r="GP1" s="306" t="str">
        <f>IF('Données projet'!$B$18="","",'Données projet'!$B$18)</f>
        <v/>
      </c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8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98.272553716009838</v>
      </c>
      <c r="T3" s="62">
        <f>IF('Données projet'!E9&gt;30,$R$33-$H$33,LOOKUP('Données projet'!$E$9,$A$3:$A$203,R3:R203)-LOOKUP('Données projet'!$E$9,$A$3:$A$203,$H$3:$H$203))</f>
        <v>68.315893120570763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85.701306948362742</v>
      </c>
      <c r="AO3" s="62">
        <f>IF('Données projet'!E10&gt;30,$AM$33-$H$33,LOOKUP('Données projet'!$E$10,$A$3:$A$203,AM3:AM203)-LOOKUP('Données projet'!$E$10,$A$3:$A$203,$H$3:$H$203))</f>
        <v>118.59281525447091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71.420552731458145</v>
      </c>
      <c r="BJ3" s="62">
        <f>IF('Données projet'!E11&gt;30,$BH$33-$H$33,LOOKUP('Données projet'!$E$11,$A$3:$A$203,BH3:BH203)-LOOKUP('Données projet'!$E$11,$A$3:$A$203,$H$3:$H$203))</f>
        <v>436.74855282454985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145.14303899407867</v>
      </c>
      <c r="CE3" s="62">
        <f>IF('Données projet'!E12&gt;30,$CC$33-$H$33,LOOKUP('Données projet'!$E$12,$A$3:$A$203,CC3:CC203)-LOOKUP('Données projet'!$E$12,$A$3:$A$203,$H$3:$H$203))</f>
        <v>137.55906339137317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1.0009156402177797</v>
      </c>
      <c r="P4" s="14">
        <f>EXP(-1.0587+0.8836*LN(O4)+0.284)</f>
        <v>0.46121484170360399</v>
      </c>
      <c r="Q4" s="22">
        <f t="shared" ref="Q4:Q34" si="2">(O4+P4)*0.475*44/12</f>
        <v>2.5465439226797426</v>
      </c>
      <c r="R4" s="62">
        <f t="shared" si="0"/>
        <v>295.87987725601306</v>
      </c>
      <c r="S4" s="62">
        <f ca="1">AVERAGE(OFFSET($R$3,0,0,'Données projet'!$E$9+1,1))-AVERAGE(OFFSET($H$3,0,0,'Données projet'!$E$9+1,1))</f>
        <v>98.272553716009838</v>
      </c>
      <c r="T4" s="62">
        <f>$T$3</f>
        <v>68.315893120570763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294.87272302715274</v>
      </c>
      <c r="AN4" s="62">
        <f ca="1">AVERAGE(OFFSET($AM$3,0,0,'Données projet'!$E$10+1,1))-AVERAGE(OFFSET($H$3,0,0,'Données projet'!$E$10+1,1))</f>
        <v>85.701306948362742</v>
      </c>
      <c r="AO4" s="62">
        <f>$AO$3</f>
        <v>118.59281525447091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24.2</v>
      </c>
      <c r="BD4" s="13">
        <f>IF('Données projet'!$A$88&gt;35,BD3+BC4-BL3,IF(A4&lt;'Données projet'!$A$88,$BA$205^A4,IF(A4='Données projet'!$A$88,'Données projet'!$B$88,BD3+BC4-BL3)))</f>
        <v>1.3622043665537431</v>
      </c>
      <c r="BE4" s="14">
        <f>BD4*VLOOKUP('Données projet'!$B$11,Paramètres!$A$1:$I$89,3,0)*VLOOKUP('Données projet'!$B$11,Paramètres!$A$1:$I$89,5,0)</f>
        <v>0.59926094493432269</v>
      </c>
      <c r="BF4" s="14">
        <f>EXP(-1.0587+0.8836*LN(BE4)+0.284)</f>
        <v>0.29312545903388909</v>
      </c>
      <c r="BG4" s="22">
        <f t="shared" ref="BG4:BG67" si="7">(BE4+BF4)*0.475*44/12</f>
        <v>1.5542396535779688</v>
      </c>
      <c r="BH4" s="62">
        <f t="shared" ref="BH4:BH67" si="8">BG4+(AY4+AZ4)*44/12</f>
        <v>294.88757298691127</v>
      </c>
      <c r="BI4" s="62">
        <f ca="1">AVERAGE(OFFSET($BH$3,0,0,'Données projet'!$E$11+1,1))-AVERAGE(OFFSET($H$3,0,0,'Données projet'!$E$11+1,1))</f>
        <v>71.420552731458145</v>
      </c>
      <c r="BJ4" s="62">
        <f>$BJ$3</f>
        <v>436.74855282454985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4.3703703703703702</v>
      </c>
      <c r="BY4" s="13">
        <f>IF('Données projet'!$A$114&gt;35,BY3+BX4-CG3,IF(A4&lt;'Données projet'!$A$114,$BV$205^A4,IF(A4='Données projet'!$A$114,'Données projet'!$B$114,BY3+BX4-CG3)))</f>
        <v>1.1932635389591795</v>
      </c>
      <c r="BZ4" s="14">
        <f>BY4*VLOOKUP('Données projet'!$B$12,Paramètres!$A$1:$I$89,3,0)*VLOOKUP('Données projet'!$B$12,Paramètres!$A$1:$I$89,5,0)</f>
        <v>0.71357159629758937</v>
      </c>
      <c r="CA4" s="14">
        <f>EXP(-1.0587+0.8836*LN(BZ4)+0.284)</f>
        <v>0.34201841351504586</v>
      </c>
      <c r="CB4" s="22">
        <f t="shared" ref="CB4:CB67" si="10">(BZ4+CA4)*0.475*44/12</f>
        <v>1.8384859337570063</v>
      </c>
      <c r="CC4" s="62">
        <f t="shared" ref="CC4:CC67" si="11">CB4+(BT4+BU4)*44/12</f>
        <v>295.17181926709031</v>
      </c>
      <c r="CD4" s="62">
        <f ca="1">AVERAGE(OFFSET($CC$3,0,0,'Données projet'!$E$12+1,1))-AVERAGE(OFFSET($H$3,0,0,'Données projet'!$E$12+1,1))</f>
        <v>145.14303899407867</v>
      </c>
      <c r="CE4" s="62">
        <f>$CE$3</f>
        <v>137.55906339137317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1.1467858503120052</v>
      </c>
      <c r="P5" s="14">
        <f t="shared" ref="P5:P68" si="33">EXP(-1.0587+0.8836*LN(O5)+0.284)</f>
        <v>0.52012849600857258</v>
      </c>
      <c r="Q5" s="22">
        <f t="shared" si="2"/>
        <v>2.9032091531750059</v>
      </c>
      <c r="R5" s="62">
        <f t="shared" si="0"/>
        <v>296.23654248650831</v>
      </c>
      <c r="S5" s="62">
        <f ca="1">AVERAGE(OFFSET($R$3,0,0,'Données projet'!$E$9+1,1))-AVERAGE(OFFSET($H$3,0,0,'Données projet'!$E$9+1,1))</f>
        <v>98.272553716009838</v>
      </c>
      <c r="T5" s="62">
        <f t="shared" ref="T5:T68" si="34">$T$3</f>
        <v>68.315893120570763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295.26742630939128</v>
      </c>
      <c r="AN5" s="62">
        <f ca="1">AVERAGE(OFFSET($AM$3,0,0,'Données projet'!$E$10+1,1))-AVERAGE(OFFSET($H$3,0,0,'Données projet'!$E$10+1,1))</f>
        <v>85.701306948362742</v>
      </c>
      <c r="AO5" s="62">
        <f t="shared" ref="AO5:AO68" si="36">$AO$3</f>
        <v>118.59281525447091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24.2</v>
      </c>
      <c r="BD5" s="13">
        <f>IF('Données projet'!$A$88&gt;35,BD4+BC5-BL4,IF(A5&lt;'Données projet'!$A$88,$BA$205^A5,IF(A5='Données projet'!$A$88,'Données projet'!$B$88,BD4+BC5-BL4)))</f>
        <v>1.8556007362580844</v>
      </c>
      <c r="BE5" s="14">
        <f>BD5*VLOOKUP('Données projet'!$B$11,Paramètres!$A$1:$I$89,3,0)*VLOOKUP('Données projet'!$B$11,Paramètres!$A$1:$I$89,5,0)</f>
        <v>0.81631587589465648</v>
      </c>
      <c r="BF5" s="14">
        <f t="shared" ref="BF5:BF68" si="37">EXP(-1.0587+0.8836*LN(BE5)+0.284)</f>
        <v>0.38518556931261155</v>
      </c>
      <c r="BG5" s="22">
        <f t="shared" si="7"/>
        <v>2.0926150170693254</v>
      </c>
      <c r="BH5" s="62">
        <f t="shared" si="8"/>
        <v>295.42594835040262</v>
      </c>
      <c r="BI5" s="62">
        <f ca="1">AVERAGE(OFFSET($BH$3,0,0,'Données projet'!$E$11+1,1))-AVERAGE(OFFSET($H$3,0,0,'Données projet'!$E$11+1,1))</f>
        <v>71.420552731458145</v>
      </c>
      <c r="BJ5" s="62">
        <f t="shared" ref="BJ5:BJ68" si="38">$BJ$3</f>
        <v>436.74855282454985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4.3703703703703702</v>
      </c>
      <c r="BY5" s="13">
        <f>IF('Données projet'!$A$114&gt;35,BY4+BX5-CG4,IF(A5&lt;'Données projet'!$A$114,$BV$205^A5,IF(A5='Données projet'!$A$114,'Données projet'!$B$114,BY4+BX5-CG4)))</f>
        <v>1.4238778734093853</v>
      </c>
      <c r="BZ5" s="14">
        <f>BY5*VLOOKUP('Données projet'!$B$12,Paramètres!$A$1:$I$89,3,0)*VLOOKUP('Données projet'!$B$12,Paramètres!$A$1:$I$89,5,0)</f>
        <v>0.85147896829881242</v>
      </c>
      <c r="CA5" s="14">
        <f t="shared" ref="CA5:CA68" si="39">EXP(-1.0587+0.8836*LN(BZ5)+0.284)</f>
        <v>0.39981008543020569</v>
      </c>
      <c r="CB5" s="22">
        <f t="shared" si="10"/>
        <v>2.179328435244706</v>
      </c>
      <c r="CC5" s="62">
        <f t="shared" si="11"/>
        <v>295.51266176857803</v>
      </c>
      <c r="CD5" s="62">
        <f ca="1">AVERAGE(OFFSET($CC$3,0,0,'Données projet'!$E$12+1,1))-AVERAGE(OFFSET($H$3,0,0,'Données projet'!$E$12+1,1))</f>
        <v>145.14303899407867</v>
      </c>
      <c r="CE5" s="62">
        <f t="shared" ref="CE5:CE68" si="40">$CE$3</f>
        <v>137.55906339137317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1.3139147133215792</v>
      </c>
      <c r="P6" s="14">
        <f t="shared" si="33"/>
        <v>0.58656753403871609</v>
      </c>
      <c r="Q6" s="22">
        <f t="shared" si="2"/>
        <v>3.3100065808191808</v>
      </c>
      <c r="R6" s="62">
        <f t="shared" si="0"/>
        <v>296.64333991415248</v>
      </c>
      <c r="S6" s="62">
        <f ca="1">AVERAGE(OFFSET($R$3,0,0,'Données projet'!$E$9+1,1))-AVERAGE(OFFSET($H$3,0,0,'Données projet'!$E$9+1,1))</f>
        <v>98.272553716009838</v>
      </c>
      <c r="T6" s="62">
        <f t="shared" si="34"/>
        <v>68.315893120570763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295.76373751603086</v>
      </c>
      <c r="AN6" s="62">
        <f ca="1">AVERAGE(OFFSET($AM$3,0,0,'Données projet'!$E$10+1,1))-AVERAGE(OFFSET($H$3,0,0,'Données projet'!$E$10+1,1))</f>
        <v>85.701306948362742</v>
      </c>
      <c r="AO6" s="62">
        <f t="shared" si="36"/>
        <v>118.59281525447091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24.2</v>
      </c>
      <c r="BD6" s="13">
        <f>IF('Données projet'!$A$88&gt;35,BD5+BC6-BL5,IF(A6&lt;'Données projet'!$A$88,$BA$205^A6,IF(A6='Données projet'!$A$88,'Données projet'!$B$88,BD5+BC6-BL5)))</f>
        <v>2.5277074255111032</v>
      </c>
      <c r="BE6" s="14">
        <f>BD6*VLOOKUP('Données projet'!$B$11,Paramètres!$A$1:$I$89,3,0)*VLOOKUP('Données projet'!$B$11,Paramètres!$A$1:$I$89,5,0)</f>
        <v>1.1119890506308445</v>
      </c>
      <c r="BF6" s="14">
        <f t="shared" si="37"/>
        <v>0.50615843228249724</v>
      </c>
      <c r="BG6" s="22">
        <f t="shared" si="7"/>
        <v>2.8182735327407364</v>
      </c>
      <c r="BH6" s="62">
        <f t="shared" si="8"/>
        <v>296.15160686607408</v>
      </c>
      <c r="BI6" s="62">
        <f ca="1">AVERAGE(OFFSET($BH$3,0,0,'Données projet'!$E$11+1,1))-AVERAGE(OFFSET($H$3,0,0,'Données projet'!$E$11+1,1))</f>
        <v>71.420552731458145</v>
      </c>
      <c r="BJ6" s="62">
        <f t="shared" si="38"/>
        <v>436.74855282454985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4.3703703703703702</v>
      </c>
      <c r="BY6" s="13">
        <f>IF('Données projet'!$A$114&gt;35,BY5+BX6-CG5,IF(A6&lt;'Données projet'!$A$114,$BV$205^A6,IF(A6='Données projet'!$A$114,'Données projet'!$B$114,BY5+BX6-CG5)))</f>
        <v>1.6990615502701536</v>
      </c>
      <c r="BZ6" s="14">
        <f>BY6*VLOOKUP('Données projet'!$B$12,Paramètres!$A$1:$I$89,3,0)*VLOOKUP('Données projet'!$B$12,Paramètres!$A$1:$I$89,5,0)</f>
        <v>1.0160388070615518</v>
      </c>
      <c r="CA6" s="14">
        <f t="shared" si="39"/>
        <v>0.46736695480483653</v>
      </c>
      <c r="CB6" s="22">
        <f t="shared" si="10"/>
        <v>2.5835983685839596</v>
      </c>
      <c r="CC6" s="62">
        <f t="shared" si="11"/>
        <v>295.91693170191729</v>
      </c>
      <c r="CD6" s="62">
        <f ca="1">AVERAGE(OFFSET($CC$3,0,0,'Données projet'!$E$12+1,1))-AVERAGE(OFFSET($H$3,0,0,'Données projet'!$E$12+1,1))</f>
        <v>145.14303899407867</v>
      </c>
      <c r="CE6" s="62">
        <f t="shared" si="40"/>
        <v>137.55906339137317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1.5054003966069467</v>
      </c>
      <c r="P7" s="14">
        <f t="shared" si="33"/>
        <v>0.66149321682730777</v>
      </c>
      <c r="Q7" s="22">
        <f t="shared" si="2"/>
        <v>3.7740063767313257</v>
      </c>
      <c r="R7" s="62">
        <f t="shared" si="0"/>
        <v>297.10733971006465</v>
      </c>
      <c r="S7" s="62">
        <f ca="1">AVERAGE(OFFSET($R$3,0,0,'Données projet'!$E$9+1,1))-AVERAGE(OFFSET($H$3,0,0,'Données projet'!$E$9+1,1))</f>
        <v>98.272553716009838</v>
      </c>
      <c r="T7" s="62">
        <f t="shared" si="34"/>
        <v>68.315893120570763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296.3879120817773</v>
      </c>
      <c r="AN7" s="62">
        <f ca="1">AVERAGE(OFFSET($AM$3,0,0,'Données projet'!$E$10+1,1))-AVERAGE(OFFSET($H$3,0,0,'Données projet'!$E$10+1,1))</f>
        <v>85.701306948362742</v>
      </c>
      <c r="AO7" s="62">
        <f t="shared" si="36"/>
        <v>118.59281525447091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24.2</v>
      </c>
      <c r="BD7" s="13">
        <f>IF('Données projet'!$A$88&gt;35,BD6+BC7-BL6,IF(A7&lt;'Données projet'!$A$88,$BA$205^A7,IF(A7='Données projet'!$A$88,'Données projet'!$B$88,BD6+BC7-BL6)))</f>
        <v>3.4432540924015451</v>
      </c>
      <c r="BE7" s="14">
        <f>BD7*VLOOKUP('Données projet'!$B$11,Paramètres!$A$1:$I$89,3,0)*VLOOKUP('Données projet'!$B$11,Paramètres!$A$1:$I$89,5,0)</f>
        <v>1.5147563403292876</v>
      </c>
      <c r="BF7" s="14">
        <f t="shared" si="37"/>
        <v>0.66512449837587162</v>
      </c>
      <c r="BG7" s="22">
        <f t="shared" si="7"/>
        <v>3.7966257940781527</v>
      </c>
      <c r="BH7" s="62">
        <f t="shared" si="8"/>
        <v>297.12995912741144</v>
      </c>
      <c r="BI7" s="62">
        <f ca="1">AVERAGE(OFFSET($BH$3,0,0,'Données projet'!$E$11+1,1))-AVERAGE(OFFSET($H$3,0,0,'Données projet'!$E$11+1,1))</f>
        <v>71.420552731458145</v>
      </c>
      <c r="BJ7" s="62">
        <f t="shared" si="38"/>
        <v>436.74855282454985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4.3703703703703702</v>
      </c>
      <c r="BY7" s="13">
        <f>IF('Données projet'!$A$114&gt;35,BY6+BX7-CG6,IF(A7&lt;'Données projet'!$A$114,$BV$205^A7,IF(A7='Données projet'!$A$114,'Données projet'!$B$114,BY6+BX7-CG6)))</f>
        <v>2.0274281983848335</v>
      </c>
      <c r="BZ7" s="14">
        <f>BY7*VLOOKUP('Données projet'!$B$12,Paramètres!$A$1:$I$89,3,0)*VLOOKUP('Données projet'!$B$12,Paramètres!$A$1:$I$89,5,0)</f>
        <v>1.2124020626341305</v>
      </c>
      <c r="CA7" s="14">
        <f t="shared" si="39"/>
        <v>0.54633907048269681</v>
      </c>
      <c r="CB7" s="22">
        <f t="shared" si="10"/>
        <v>3.0631408068451407</v>
      </c>
      <c r="CC7" s="62">
        <f t="shared" si="11"/>
        <v>296.39647414017844</v>
      </c>
      <c r="CD7" s="62">
        <f ca="1">AVERAGE(OFFSET($CC$3,0,0,'Données projet'!$E$12+1,1))-AVERAGE(OFFSET($H$3,0,0,'Données projet'!$E$12+1,1))</f>
        <v>145.14303899407867</v>
      </c>
      <c r="CE7" s="62">
        <f t="shared" si="40"/>
        <v>137.55906339137317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1.7247925844252991</v>
      </c>
      <c r="P8" s="14">
        <f t="shared" si="33"/>
        <v>0.74598959287040578</v>
      </c>
      <c r="Q8" s="22">
        <f t="shared" si="2"/>
        <v>4.3032789587900195</v>
      </c>
      <c r="R8" s="62">
        <f t="shared" si="0"/>
        <v>297.63661229212335</v>
      </c>
      <c r="S8" s="62">
        <f ca="1">AVERAGE(OFFSET($R$3,0,0,'Données projet'!$E$9+1,1))-AVERAGE(OFFSET($H$3,0,0,'Données projet'!$E$9+1,1))</f>
        <v>98.272553716009838</v>
      </c>
      <c r="T8" s="62">
        <f t="shared" si="34"/>
        <v>68.315893120570763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297.17301376129092</v>
      </c>
      <c r="AN8" s="62">
        <f ca="1">AVERAGE(OFFSET($AM$3,0,0,'Données projet'!$E$10+1,1))-AVERAGE(OFFSET($H$3,0,0,'Données projet'!$E$10+1,1))</f>
        <v>85.701306948362742</v>
      </c>
      <c r="AO8" s="62">
        <f t="shared" si="36"/>
        <v>118.59281525447091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24.2</v>
      </c>
      <c r="BD8" s="13">
        <f>IF('Données projet'!$A$88&gt;35,BD7+BC8-BL7,IF(A8&lt;'Données projet'!$A$88,$BA$205^A8,IF(A8='Données projet'!$A$88,'Données projet'!$B$88,BD7+BC8-BL7)))</f>
        <v>4.6904157598234306</v>
      </c>
      <c r="BE8" s="14">
        <f>BD8*VLOOKUP('Données projet'!$B$11,Paramètres!$A$1:$I$89,3,0)*VLOOKUP('Données projet'!$B$11,Paramètres!$A$1:$I$89,5,0)</f>
        <v>2.0634077010615237</v>
      </c>
      <c r="BF8" s="14">
        <f t="shared" si="37"/>
        <v>0.87401605925009629</v>
      </c>
      <c r="BG8" s="22">
        <f t="shared" si="7"/>
        <v>5.1160130492094043</v>
      </c>
      <c r="BH8" s="62">
        <f t="shared" si="8"/>
        <v>298.44934638254273</v>
      </c>
      <c r="BI8" s="62">
        <f ca="1">AVERAGE(OFFSET($BH$3,0,0,'Données projet'!$E$11+1,1))-AVERAGE(OFFSET($H$3,0,0,'Données projet'!$E$11+1,1))</f>
        <v>71.420552731458145</v>
      </c>
      <c r="BJ8" s="62">
        <f t="shared" si="38"/>
        <v>436.74855282454985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4.3703703703703702</v>
      </c>
      <c r="BY8" s="13">
        <f>IF('Données projet'!$A$114&gt;35,BY7+BX8-CG7,IF(A8&lt;'Données projet'!$A$114,$BV$205^A8,IF(A8='Données projet'!$A$114,'Données projet'!$B$114,BY7+BX8-CG7)))</f>
        <v>2.4192561469903198</v>
      </c>
      <c r="BZ8" s="14">
        <f>BY8*VLOOKUP('Données projet'!$B$12,Paramètres!$A$1:$I$89,3,0)*VLOOKUP('Données projet'!$B$12,Paramètres!$A$1:$I$89,5,0)</f>
        <v>1.4467151759002115</v>
      </c>
      <c r="CA8" s="14">
        <f t="shared" si="39"/>
        <v>0.63865529401953391</v>
      </c>
      <c r="CB8" s="22">
        <f t="shared" si="10"/>
        <v>3.6320202351102231</v>
      </c>
      <c r="CC8" s="62">
        <f t="shared" si="11"/>
        <v>296.96535356844356</v>
      </c>
      <c r="CD8" s="62">
        <f ca="1">AVERAGE(OFFSET($CC$3,0,0,'Données projet'!$E$12+1,1))-AVERAGE(OFFSET($H$3,0,0,'Données projet'!$E$12+1,1))</f>
        <v>145.14303899407867</v>
      </c>
      <c r="CE8" s="62">
        <f t="shared" si="40"/>
        <v>137.55906339137317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1.9761582805436435</v>
      </c>
      <c r="P9" s="14">
        <f t="shared" si="33"/>
        <v>0.84127918248364475</v>
      </c>
      <c r="Q9" s="22">
        <f t="shared" si="2"/>
        <v>4.9070369147725268</v>
      </c>
      <c r="R9" s="62">
        <f t="shared" si="0"/>
        <v>298.24037024810582</v>
      </c>
      <c r="S9" s="62">
        <f ca="1">AVERAGE(OFFSET($R$3,0,0,'Données projet'!$E$9+1,1))-AVERAGE(OFFSET($H$3,0,0,'Données projet'!$E$9+1,1))</f>
        <v>98.272553716009838</v>
      </c>
      <c r="T9" s="62">
        <f t="shared" si="34"/>
        <v>68.315893120570763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298.16068588354318</v>
      </c>
      <c r="AN9" s="62">
        <f ca="1">AVERAGE(OFFSET($AM$3,0,0,'Données projet'!$E$10+1,1))-AVERAGE(OFFSET($H$3,0,0,'Données projet'!$E$10+1,1))</f>
        <v>85.701306948362742</v>
      </c>
      <c r="AO9" s="62">
        <f t="shared" si="36"/>
        <v>118.59281525447091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24.2</v>
      </c>
      <c r="BD9" s="13">
        <f>IF('Données projet'!$A$88&gt;35,BD8+BC9-BL8,IF(A9&lt;'Données projet'!$A$88,$BA$205^A9,IF(A9='Données projet'!$A$88,'Données projet'!$B$88,BD8+BC9-BL8)))</f>
        <v>6.3893048289839696</v>
      </c>
      <c r="BE9" s="14">
        <f>BD9*VLOOKUP('Données projet'!$B$11,Paramètres!$A$1:$I$89,3,0)*VLOOKUP('Données projet'!$B$11,Paramètres!$A$1:$I$89,5,0)</f>
        <v>2.8107829803666275</v>
      </c>
      <c r="BF9" s="14">
        <f t="shared" si="37"/>
        <v>1.1485129080230845</v>
      </c>
      <c r="BG9" s="22">
        <f t="shared" si="7"/>
        <v>6.8957736722787493</v>
      </c>
      <c r="BH9" s="62">
        <f t="shared" si="8"/>
        <v>300.22910700561204</v>
      </c>
      <c r="BI9" s="62">
        <f ca="1">AVERAGE(OFFSET($BH$3,0,0,'Données projet'!$E$11+1,1))-AVERAGE(OFFSET($H$3,0,0,'Données projet'!$E$11+1,1))</f>
        <v>71.420552731458145</v>
      </c>
      <c r="BJ9" s="62">
        <f t="shared" si="38"/>
        <v>436.74855282454985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4.3703703703703702</v>
      </c>
      <c r="BY9" s="13">
        <f>IF('Données projet'!$A$114&gt;35,BY8+BX9-CG8,IF(A9&lt;'Données projet'!$A$114,$BV$205^A9,IF(A9='Données projet'!$A$114,'Données projet'!$B$114,BY8+BX9-CG8)))</f>
        <v>2.8868101516064182</v>
      </c>
      <c r="BZ9" s="14">
        <f>BY9*VLOOKUP('Données projet'!$B$12,Paramètres!$A$1:$I$89,3,0)*VLOOKUP('Données projet'!$B$12,Paramètres!$A$1:$I$89,5,0)</f>
        <v>1.7263124706606381</v>
      </c>
      <c r="CA9" s="14">
        <f t="shared" si="39"/>
        <v>0.7465704113359678</v>
      </c>
      <c r="CB9" s="22">
        <f t="shared" si="10"/>
        <v>4.3069376861440878</v>
      </c>
      <c r="CC9" s="62">
        <f t="shared" si="11"/>
        <v>297.64027101947738</v>
      </c>
      <c r="CD9" s="62">
        <f ca="1">AVERAGE(OFFSET($CC$3,0,0,'Données projet'!$E$12+1,1))-AVERAGE(OFFSET($H$3,0,0,'Données projet'!$E$12+1,1))</f>
        <v>145.14303899407867</v>
      </c>
      <c r="CE9" s="62">
        <f t="shared" si="40"/>
        <v>137.55906339137317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2.2641572007120048</v>
      </c>
      <c r="P10" s="14">
        <f t="shared" si="33"/>
        <v>0.94874066561314729</v>
      </c>
      <c r="Q10" s="22">
        <f t="shared" si="2"/>
        <v>5.5957971171829728</v>
      </c>
      <c r="R10" s="62">
        <f t="shared" si="0"/>
        <v>298.92913045051631</v>
      </c>
      <c r="S10" s="62">
        <f ca="1">AVERAGE(OFFSET($R$3,0,0,'Données projet'!$E$9+1,1))-AVERAGE(OFFSET($H$3,0,0,'Données projet'!$E$9+1,1))</f>
        <v>98.272553716009838</v>
      </c>
      <c r="T10" s="62">
        <f t="shared" si="34"/>
        <v>68.315893120570763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299.40338480880166</v>
      </c>
      <c r="AN10" s="62">
        <f ca="1">AVERAGE(OFFSET($AM$3,0,0,'Données projet'!$E$10+1,1))-AVERAGE(OFFSET($H$3,0,0,'Données projet'!$E$10+1,1))</f>
        <v>85.701306948362742</v>
      </c>
      <c r="AO10" s="62">
        <f t="shared" si="36"/>
        <v>118.59281525447091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24.2</v>
      </c>
      <c r="BD10" s="13">
        <f>IF('Données projet'!$A$88&gt;35,BD9+BC10-BL9,IF(A10&lt;'Données projet'!$A$88,$BA$205^A10,IF(A10='Données projet'!$A$88,'Données projet'!$B$88,BD9+BC10-BL9)))</f>
        <v>8.703538937284879</v>
      </c>
      <c r="BE10" s="14">
        <f>BD10*VLOOKUP('Données projet'!$B$11,Paramètres!$A$1:$I$89,3,0)*VLOOKUP('Données projet'!$B$11,Paramètres!$A$1:$I$89,5,0)</f>
        <v>3.8288608492903635</v>
      </c>
      <c r="BF10" s="14">
        <f t="shared" si="37"/>
        <v>1.5092192940109261</v>
      </c>
      <c r="BG10" s="22">
        <f t="shared" si="7"/>
        <v>9.2971562495830806</v>
      </c>
      <c r="BH10" s="62">
        <f t="shared" si="8"/>
        <v>302.63048958291637</v>
      </c>
      <c r="BI10" s="62">
        <f ca="1">AVERAGE(OFFSET($BH$3,0,0,'Données projet'!$E$11+1,1))-AVERAGE(OFFSET($H$3,0,0,'Données projet'!$E$11+1,1))</f>
        <v>71.420552731458145</v>
      </c>
      <c r="BJ10" s="62">
        <f t="shared" si="38"/>
        <v>436.74855282454985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4.3703703703703702</v>
      </c>
      <c r="BY10" s="13">
        <f>IF('Données projet'!$A$114&gt;35,BY9+BX10-CG9,IF(A10&lt;'Données projet'!$A$114,$BV$205^A10,IF(A10='Données projet'!$A$114,'Données projet'!$B$114,BY9+BX10-CG9)))</f>
        <v>3.4447252978091596</v>
      </c>
      <c r="BZ10" s="14">
        <f>BY10*VLOOKUP('Données projet'!$B$12,Paramètres!$A$1:$I$89,3,0)*VLOOKUP('Données projet'!$B$12,Paramètres!$A$1:$I$89,5,0)</f>
        <v>2.0599457280898776</v>
      </c>
      <c r="CA10" s="14">
        <f t="shared" si="39"/>
        <v>0.87272020493939328</v>
      </c>
      <c r="CB10" s="22">
        <f t="shared" si="10"/>
        <v>5.1077265000259793</v>
      </c>
      <c r="CC10" s="62">
        <f t="shared" si="11"/>
        <v>298.4410598333593</v>
      </c>
      <c r="CD10" s="62">
        <f ca="1">AVERAGE(OFFSET($CC$3,0,0,'Données projet'!$E$12+1,1))-AVERAGE(OFFSET($H$3,0,0,'Données projet'!$E$12+1,1))</f>
        <v>145.14303899407867</v>
      </c>
      <c r="CE10" s="62">
        <f t="shared" si="40"/>
        <v>137.55906339137317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2.5941281525919782</v>
      </c>
      <c r="P11" s="14">
        <f t="shared" si="33"/>
        <v>1.0699288290134017</v>
      </c>
      <c r="Q11" s="22">
        <f t="shared" si="2"/>
        <v>6.3815659096293693</v>
      </c>
      <c r="R11" s="62">
        <f t="shared" si="0"/>
        <v>299.7148992429627</v>
      </c>
      <c r="S11" s="62">
        <f ca="1">AVERAGE(OFFSET($R$3,0,0,'Données projet'!$E$9+1,1))-AVERAGE(OFFSET($H$3,0,0,'Données projet'!$E$9+1,1))</f>
        <v>98.272553716009838</v>
      </c>
      <c r="T11" s="62">
        <f t="shared" si="34"/>
        <v>68.315893120570763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300.96719653267269</v>
      </c>
      <c r="AN11" s="62">
        <f ca="1">AVERAGE(OFFSET($AM$3,0,0,'Données projet'!$E$10+1,1))-AVERAGE(OFFSET($H$3,0,0,'Données projet'!$E$10+1,1))</f>
        <v>85.701306948362742</v>
      </c>
      <c r="AO11" s="62">
        <f t="shared" si="36"/>
        <v>118.59281525447091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24.2</v>
      </c>
      <c r="BD11" s="13">
        <f>IF('Données projet'!$A$88&gt;35,BD10+BC11-BL10,IF(A11&lt;'Données projet'!$A$88,$BA$205^A11,IF(A11='Données projet'!$A$88,'Données projet'!$B$88,BD10+BC11-BL10)))</f>
        <v>11.855998744839988</v>
      </c>
      <c r="BE11" s="14">
        <f>BD11*VLOOKUP('Données projet'!$B$11,Paramètres!$A$1:$I$89,3,0)*VLOOKUP('Données projet'!$B$11,Paramètres!$A$1:$I$89,5,0)</f>
        <v>5.2156909678300067</v>
      </c>
      <c r="BF11" s="14">
        <f t="shared" si="37"/>
        <v>1.9832105164020133</v>
      </c>
      <c r="BG11" s="22">
        <f t="shared" si="7"/>
        <v>12.538086751704101</v>
      </c>
      <c r="BH11" s="62">
        <f t="shared" si="8"/>
        <v>305.87142008503741</v>
      </c>
      <c r="BI11" s="62">
        <f ca="1">AVERAGE(OFFSET($BH$3,0,0,'Données projet'!$E$11+1,1))-AVERAGE(OFFSET($H$3,0,0,'Données projet'!$E$11+1,1))</f>
        <v>71.420552731458145</v>
      </c>
      <c r="BJ11" s="62">
        <f t="shared" si="38"/>
        <v>436.74855282454985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4.3703703703703702</v>
      </c>
      <c r="BY11" s="13">
        <f>IF('Données projet'!$A$114&gt;35,BY10+BX11-CG10,IF(A11&lt;'Données projet'!$A$114,$BV$205^A11,IF(A11='Données projet'!$A$114,'Données projet'!$B$114,BY10+BX11-CG10)))</f>
        <v>4.110465099605972</v>
      </c>
      <c r="BZ11" s="14">
        <f>BY11*VLOOKUP('Données projet'!$B$12,Paramètres!$A$1:$I$89,3,0)*VLOOKUP('Données projet'!$B$12,Paramètres!$A$1:$I$89,5,0)</f>
        <v>2.4580581295643715</v>
      </c>
      <c r="CA11" s="14">
        <f t="shared" si="39"/>
        <v>1.0201858318313493</v>
      </c>
      <c r="CB11" s="22">
        <f t="shared" si="10"/>
        <v>6.0579415660975471</v>
      </c>
      <c r="CC11" s="62">
        <f t="shared" si="11"/>
        <v>299.39127489943087</v>
      </c>
      <c r="CD11" s="62">
        <f ca="1">AVERAGE(OFFSET($CC$3,0,0,'Données projet'!$E$12+1,1))-AVERAGE(OFFSET($H$3,0,0,'Données projet'!$E$12+1,1))</f>
        <v>145.14303899407867</v>
      </c>
      <c r="CE11" s="62">
        <f t="shared" si="40"/>
        <v>137.55906339137317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2.9721880044168567</v>
      </c>
      <c r="P12" s="14">
        <f t="shared" si="33"/>
        <v>1.2065970613941874</v>
      </c>
      <c r="Q12" s="22">
        <f t="shared" si="2"/>
        <v>7.2780506562875678</v>
      </c>
      <c r="R12" s="62">
        <f t="shared" si="0"/>
        <v>300.61138398962089</v>
      </c>
      <c r="S12" s="62">
        <f ca="1">AVERAGE(OFFSET($R$3,0,0,'Données projet'!$E$9+1,1))-AVERAGE(OFFSET($H$3,0,0,'Données projet'!$E$9+1,1))</f>
        <v>98.272553716009838</v>
      </c>
      <c r="T12" s="62">
        <f t="shared" si="34"/>
        <v>68.315893120570763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302.93538910911911</v>
      </c>
      <c r="AN12" s="62">
        <f ca="1">AVERAGE(OFFSET($AM$3,0,0,'Données projet'!$E$10+1,1))-AVERAGE(OFFSET($H$3,0,0,'Données projet'!$E$10+1,1))</f>
        <v>85.701306948362742</v>
      </c>
      <c r="AO12" s="62">
        <f t="shared" si="36"/>
        <v>118.59281525447091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24.2</v>
      </c>
      <c r="BD12" s="13">
        <f>IF('Données projet'!$A$88&gt;35,BD11+BC12-BL11,IF(A12&lt;'Données projet'!$A$88,$BA$205^A12,IF(A12='Données projet'!$A$88,'Données projet'!$B$88,BD11+BC12-BL11)))</f>
        <v>16.150293260076729</v>
      </c>
      <c r="BE12" s="14">
        <f>BD12*VLOOKUP('Données projet'!$B$11,Paramètres!$A$1:$I$89,3,0)*VLOOKUP('Données projet'!$B$11,Paramètres!$A$1:$I$89,5,0)</f>
        <v>7.1048370109729548</v>
      </c>
      <c r="BF12" s="14">
        <f t="shared" si="37"/>
        <v>2.6060652470952741</v>
      </c>
      <c r="BG12" s="22">
        <f t="shared" si="7"/>
        <v>16.913154766135499</v>
      </c>
      <c r="BH12" s="62">
        <f t="shared" si="8"/>
        <v>310.24648809946882</v>
      </c>
      <c r="BI12" s="62">
        <f ca="1">AVERAGE(OFFSET($BH$3,0,0,'Données projet'!$E$11+1,1))-AVERAGE(OFFSET($H$3,0,0,'Données projet'!$E$11+1,1))</f>
        <v>71.420552731458145</v>
      </c>
      <c r="BJ12" s="62">
        <f t="shared" si="38"/>
        <v>436.74855282454985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4.3703703703703702</v>
      </c>
      <c r="BY12" s="13">
        <f>IF('Données projet'!$A$114&gt;35,BY11+BX12-CG11,IF(A12&lt;'Données projet'!$A$114,$BV$205^A12,IF(A12='Données projet'!$A$114,'Données projet'!$B$114,BY11+BX12-CG11)))</f>
        <v>4.9048681315240179</v>
      </c>
      <c r="BZ12" s="14">
        <f>BY12*VLOOKUP('Données projet'!$B$12,Paramètres!$A$1:$I$89,3,0)*VLOOKUP('Données projet'!$B$12,Paramètres!$A$1:$I$89,5,0)</f>
        <v>2.9331111426513625</v>
      </c>
      <c r="CA12" s="14">
        <f t="shared" si="39"/>
        <v>1.192569079504352</v>
      </c>
      <c r="CB12" s="22">
        <f t="shared" si="10"/>
        <v>7.1855597202545356</v>
      </c>
      <c r="CC12" s="62">
        <f t="shared" si="11"/>
        <v>300.51889305358787</v>
      </c>
      <c r="CD12" s="62">
        <f ca="1">AVERAGE(OFFSET($CC$3,0,0,'Données projet'!$E$12+1,1))-AVERAGE(OFFSET($H$3,0,0,'Données projet'!$E$12+1,1))</f>
        <v>145.14303899407867</v>
      </c>
      <c r="CE12" s="62">
        <f t="shared" si="40"/>
        <v>137.55906339137317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3.4053450770243847</v>
      </c>
      <c r="P13" s="14">
        <f t="shared" si="33"/>
        <v>1.3607227220034579</v>
      </c>
      <c r="Q13" s="22">
        <f t="shared" si="2"/>
        <v>8.3009014166401585</v>
      </c>
      <c r="R13" s="62">
        <f t="shared" si="0"/>
        <v>301.63423474997347</v>
      </c>
      <c r="S13" s="62">
        <f ca="1">AVERAGE(OFFSET($R$3,0,0,'Données projet'!$E$9+1,1))-AVERAGE(OFFSET($H$3,0,0,'Données projet'!$E$9+1,1))</f>
        <v>98.272553716009838</v>
      </c>
      <c r="T13" s="62">
        <f t="shared" si="34"/>
        <v>68.315893120570763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305.41289363405355</v>
      </c>
      <c r="AN13" s="62">
        <f ca="1">AVERAGE(OFFSET($AM$3,0,0,'Données projet'!$E$10+1,1))-AVERAGE(OFFSET($H$3,0,0,'Données projet'!$E$10+1,1))</f>
        <v>85.701306948362742</v>
      </c>
      <c r="AO13" s="62">
        <f t="shared" si="36"/>
        <v>118.59281525447091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24.2</v>
      </c>
      <c r="BD13" s="13">
        <f>IF('Données projet'!$A$88&gt;35,BD12+BC13-BL12,IF(A13&lt;'Données projet'!$A$88,$BA$205^A13,IF(A13='Données projet'!$A$88,'Données projet'!$B$88,BD12+BC13-BL12)))</f>
        <v>22.000000000000007</v>
      </c>
      <c r="BE13" s="14">
        <f>BD13*VLOOKUP('Données projet'!$B$11,Paramètres!$A$1:$I$89,3,0)*VLOOKUP('Données projet'!$B$11,Paramètres!$A$1:$I$89,5,0)</f>
        <v>9.6782400000000024</v>
      </c>
      <c r="BF13" s="14">
        <f t="shared" si="37"/>
        <v>3.4245361326739974</v>
      </c>
      <c r="BG13" s="22">
        <f t="shared" si="7"/>
        <v>22.820668431073884</v>
      </c>
      <c r="BH13" s="62">
        <f t="shared" si="8"/>
        <v>316.15400176440721</v>
      </c>
      <c r="BI13" s="62">
        <f ca="1">AVERAGE(OFFSET($BH$3,0,0,'Données projet'!$E$11+1,1))-AVERAGE(OFFSET($H$3,0,0,'Données projet'!$E$11+1,1))</f>
        <v>71.420552731458145</v>
      </c>
      <c r="BJ13" s="62">
        <f t="shared" si="38"/>
        <v>436.74855282454985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4.3703703703703702</v>
      </c>
      <c r="BY13" s="13">
        <f>IF('Données projet'!$A$114&gt;35,BY12+BX13-CG12,IF(A13&lt;'Données projet'!$A$114,$BV$205^A13,IF(A13='Données projet'!$A$114,'Données projet'!$B$114,BY12+BX13-CG12)))</f>
        <v>5.8528003047504482</v>
      </c>
      <c r="BZ13" s="14">
        <f>BY13*VLOOKUP('Données projet'!$B$12,Paramètres!$A$1:$I$89,3,0)*VLOOKUP('Données projet'!$B$12,Paramètres!$A$1:$I$89,5,0)</f>
        <v>3.499974582240768</v>
      </c>
      <c r="CA13" s="14">
        <f t="shared" si="39"/>
        <v>1.3940803381250744</v>
      </c>
      <c r="CB13" s="22">
        <f t="shared" si="10"/>
        <v>8.5238123196371749</v>
      </c>
      <c r="CC13" s="62">
        <f t="shared" si="11"/>
        <v>301.85714565297047</v>
      </c>
      <c r="CD13" s="62">
        <f ca="1">AVERAGE(OFFSET($CC$3,0,0,'Données projet'!$E$12+1,1))-AVERAGE(OFFSET($H$3,0,0,'Données projet'!$E$12+1,1))</f>
        <v>145.14303899407867</v>
      </c>
      <c r="CE13" s="62">
        <f t="shared" si="40"/>
        <v>137.55906339137317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3.9016290612778461</v>
      </c>
      <c r="P14" s="14">
        <f t="shared" si="33"/>
        <v>1.534535749686867</v>
      </c>
      <c r="Q14" s="22">
        <f t="shared" si="2"/>
        <v>9.4679870457635413</v>
      </c>
      <c r="R14" s="62">
        <f t="shared" si="0"/>
        <v>302.80132037909686</v>
      </c>
      <c r="S14" s="62">
        <f ca="1">AVERAGE(OFFSET($R$3,0,0,'Données projet'!$E$9+1,1))-AVERAGE(OFFSET($H$3,0,0,'Données projet'!$E$9+1,1))</f>
        <v>98.272553716009838</v>
      </c>
      <c r="T14" s="62">
        <f t="shared" si="34"/>
        <v>68.315893120570763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308.5319571409737</v>
      </c>
      <c r="AN14" s="62">
        <f ca="1">AVERAGE(OFFSET($AM$3,0,0,'Données projet'!$E$10+1,1))-AVERAGE(OFFSET($H$3,0,0,'Données projet'!$E$10+1,1))</f>
        <v>85.701306948362742</v>
      </c>
      <c r="AO14" s="62">
        <f t="shared" si="36"/>
        <v>118.59281525447091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24.2</v>
      </c>
      <c r="BD14" s="13">
        <f>IF('Données projet'!$A$88&gt;35,BD13+BC14-BL13,IF(A14&lt;'Données projet'!$A$88,$BA$205^A14,IF(A14='Données projet'!$A$88,'Données projet'!$B$88,BD13+BC14-BL13)))</f>
        <v>29.968496064182357</v>
      </c>
      <c r="BE14" s="14">
        <f>BD14*VLOOKUP('Données projet'!$B$11,Paramètres!$A$1:$I$89,3,0)*VLOOKUP('Données projet'!$B$11,Paramètres!$A$1:$I$89,5,0)</f>
        <v>13.183740788555101</v>
      </c>
      <c r="BF14" s="14">
        <f t="shared" si="37"/>
        <v>4.500059135918109</v>
      </c>
      <c r="BG14" s="22">
        <f t="shared" si="7"/>
        <v>30.799284868457505</v>
      </c>
      <c r="BH14" s="62">
        <f t="shared" si="8"/>
        <v>324.13261820179082</v>
      </c>
      <c r="BI14" s="62">
        <f ca="1">AVERAGE(OFFSET($BH$3,0,0,'Données projet'!$E$11+1,1))-AVERAGE(OFFSET($H$3,0,0,'Données projet'!$E$11+1,1))</f>
        <v>71.420552731458145</v>
      </c>
      <c r="BJ14" s="62">
        <f t="shared" si="38"/>
        <v>436.74855282454985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4.3703703703703702</v>
      </c>
      <c r="BY14" s="13">
        <f>IF('Données projet'!$A$114&gt;35,BY13+BX14-CG13,IF(A14&lt;'Données projet'!$A$114,$BV$205^A14,IF(A14='Données projet'!$A$114,'Données projet'!$B$114,BY13+BX14-CG13)))</f>
        <v>6.9839332044678839</v>
      </c>
      <c r="BZ14" s="14">
        <f>BY14*VLOOKUP('Données projet'!$B$12,Paramètres!$A$1:$I$89,3,0)*VLOOKUP('Données projet'!$B$12,Paramètres!$A$1:$I$89,5,0)</f>
        <v>4.1763920562717951</v>
      </c>
      <c r="CA14" s="14">
        <f t="shared" si="39"/>
        <v>1.629641437588379</v>
      </c>
      <c r="CB14" s="22">
        <f t="shared" si="10"/>
        <v>10.112175001806468</v>
      </c>
      <c r="CC14" s="62">
        <f t="shared" si="11"/>
        <v>303.44550833513978</v>
      </c>
      <c r="CD14" s="62">
        <f ca="1">AVERAGE(OFFSET($CC$3,0,0,'Données projet'!$E$12+1,1))-AVERAGE(OFFSET($H$3,0,0,'Données projet'!$E$12+1,1))</f>
        <v>145.14303899407867</v>
      </c>
      <c r="CE14" s="62">
        <f t="shared" si="40"/>
        <v>137.55906339137317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4.4702398692321541</v>
      </c>
      <c r="P15" s="14">
        <f t="shared" si="33"/>
        <v>1.7305509263488663</v>
      </c>
      <c r="Q15" s="22">
        <f t="shared" si="2"/>
        <v>10.799710635636943</v>
      </c>
      <c r="R15" s="62">
        <f t="shared" si="0"/>
        <v>304.13304396897024</v>
      </c>
      <c r="S15" s="62">
        <f ca="1">AVERAGE(OFFSET($R$3,0,0,'Données projet'!$E$9+1,1))-AVERAGE(OFFSET($H$3,0,0,'Données projet'!$E$9+1,1))</f>
        <v>98.272553716009838</v>
      </c>
      <c r="T15" s="62">
        <f t="shared" si="34"/>
        <v>68.315893120570763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312.45927468832531</v>
      </c>
      <c r="AN15" s="62">
        <f ca="1">AVERAGE(OFFSET($AM$3,0,0,'Données projet'!$E$10+1,1))-AVERAGE(OFFSET($H$3,0,0,'Données projet'!$E$10+1,1))</f>
        <v>85.701306948362742</v>
      </c>
      <c r="AO15" s="62">
        <f t="shared" si="36"/>
        <v>118.59281525447091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24.2</v>
      </c>
      <c r="BD15" s="13">
        <f>IF('Données projet'!$A$88&gt;35,BD14+BC15-BL14,IF(A15&lt;'Données projet'!$A$88,$BA$205^A15,IF(A15='Données projet'!$A$88,'Données projet'!$B$88,BD14+BC15-BL14)))</f>
        <v>40.823216197677873</v>
      </c>
      <c r="BE15" s="14">
        <f>BD15*VLOOKUP('Données projet'!$B$11,Paramètres!$A$1:$I$89,3,0)*VLOOKUP('Données projet'!$B$11,Paramètres!$A$1:$I$89,5,0)</f>
        <v>17.958949269682446</v>
      </c>
      <c r="BF15" s="14">
        <f t="shared" si="37"/>
        <v>5.9133650346237472</v>
      </c>
      <c r="BG15" s="22">
        <f t="shared" si="7"/>
        <v>41.577614079999954</v>
      </c>
      <c r="BH15" s="62">
        <f t="shared" si="8"/>
        <v>334.91094741333325</v>
      </c>
      <c r="BI15" s="62">
        <f ca="1">AVERAGE(OFFSET($BH$3,0,0,'Données projet'!$E$11+1,1))-AVERAGE(OFFSET($H$3,0,0,'Données projet'!$E$11+1,1))</f>
        <v>71.420552731458145</v>
      </c>
      <c r="BJ15" s="62">
        <f t="shared" si="38"/>
        <v>436.74855282454985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4.3703703703703702</v>
      </c>
      <c r="BY15" s="13">
        <f>IF('Données projet'!$A$114&gt;35,BY14+BX15-CG14,IF(A15&lt;'Données projet'!$A$114,$BV$205^A15,IF(A15='Données projet'!$A$114,'Données projet'!$B$114,BY14+BX15-CG14)))</f>
        <v>8.3336728514178713</v>
      </c>
      <c r="BZ15" s="14">
        <f>BY15*VLOOKUP('Données projet'!$B$12,Paramètres!$A$1:$I$89,3,0)*VLOOKUP('Données projet'!$B$12,Paramètres!$A$1:$I$89,5,0)</f>
        <v>4.983536365147887</v>
      </c>
      <c r="CA15" s="14">
        <f t="shared" si="39"/>
        <v>1.9050058611951031</v>
      </c>
      <c r="CB15" s="22">
        <f t="shared" si="10"/>
        <v>11.997544377547372</v>
      </c>
      <c r="CC15" s="62">
        <f t="shared" si="11"/>
        <v>305.33087771088071</v>
      </c>
      <c r="CD15" s="62">
        <f ca="1">AVERAGE(OFFSET($CC$3,0,0,'Données projet'!$E$12+1,1))-AVERAGE(OFFSET($H$3,0,0,'Données projet'!$E$12+1,1))</f>
        <v>145.14303899407867</v>
      </c>
      <c r="CE15" s="62">
        <f t="shared" si="40"/>
        <v>137.55906339137317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5.1217181783877566</v>
      </c>
      <c r="P16" s="14">
        <f t="shared" si="33"/>
        <v>1.9516042616133449</v>
      </c>
      <c r="Q16" s="22">
        <f t="shared" si="2"/>
        <v>12.319369916335253</v>
      </c>
      <c r="R16" s="62">
        <f t="shared" si="0"/>
        <v>305.65270324966855</v>
      </c>
      <c r="S16" s="62">
        <f ca="1">AVERAGE(OFFSET($R$3,0,0,'Données projet'!$E$9+1,1))-AVERAGE(OFFSET($H$3,0,0,'Données projet'!$E$9+1,1))</f>
        <v>98.272553716009838</v>
      </c>
      <c r="T16" s="62">
        <f t="shared" si="34"/>
        <v>68.315893120570763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317.40498867664957</v>
      </c>
      <c r="AN16" s="62">
        <f ca="1">AVERAGE(OFFSET($AM$3,0,0,'Données projet'!$E$10+1,1))-AVERAGE(OFFSET($H$3,0,0,'Données projet'!$E$10+1,1))</f>
        <v>85.701306948362742</v>
      </c>
      <c r="AO16" s="62">
        <f t="shared" si="36"/>
        <v>118.59281525447091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24.2</v>
      </c>
      <c r="BD16" s="13">
        <f>IF('Données projet'!$A$88&gt;35,BD15+BC16-BL15,IF(A16&lt;'Données projet'!$A$88,$BA$205^A16,IF(A16='Données projet'!$A$88,'Données projet'!$B$88,BD15+BC16-BL15)))</f>
        <v>55.609563361244291</v>
      </c>
      <c r="BE16" s="14">
        <f>BD16*VLOOKUP('Données projet'!$B$11,Paramètres!$A$1:$I$89,3,0)*VLOOKUP('Données projet'!$B$11,Paramètres!$A$1:$I$89,5,0)</f>
        <v>24.463759113878588</v>
      </c>
      <c r="BF16" s="14">
        <f t="shared" si="37"/>
        <v>7.7705392254976484</v>
      </c>
      <c r="BG16" s="22">
        <f t="shared" si="7"/>
        <v>56.14140294108028</v>
      </c>
      <c r="BH16" s="62">
        <f t="shared" si="8"/>
        <v>349.4747362744136</v>
      </c>
      <c r="BI16" s="62">
        <f ca="1">AVERAGE(OFFSET($BH$3,0,0,'Données projet'!$E$11+1,1))-AVERAGE(OFFSET($H$3,0,0,'Données projet'!$E$11+1,1))</f>
        <v>71.420552731458145</v>
      </c>
      <c r="BJ16" s="62">
        <f t="shared" si="38"/>
        <v>436.74855282454985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4.3703703703703702</v>
      </c>
      <c r="BY16" s="13">
        <f>IF('Données projet'!$A$114&gt;35,BY15+BX16-CG15,IF(A16&lt;'Données projet'!$A$114,$BV$205^A16,IF(A16='Données projet'!$A$114,'Données projet'!$B$114,BY15+BX16-CG15)))</f>
        <v>9.944267959210924</v>
      </c>
      <c r="BZ16" s="14">
        <f>BY16*VLOOKUP('Données projet'!$B$12,Paramètres!$A$1:$I$89,3,0)*VLOOKUP('Données projet'!$B$12,Paramètres!$A$1:$I$89,5,0)</f>
        <v>5.9466722396081328</v>
      </c>
      <c r="CA16" s="14">
        <f t="shared" si="39"/>
        <v>2.2268992721234029</v>
      </c>
      <c r="CB16" s="22">
        <f t="shared" si="10"/>
        <v>14.235637049599092</v>
      </c>
      <c r="CC16" s="62">
        <f t="shared" si="11"/>
        <v>307.56897038293243</v>
      </c>
      <c r="CD16" s="62">
        <f ca="1">AVERAGE(OFFSET($CC$3,0,0,'Données projet'!$E$12+1,1))-AVERAGE(OFFSET($H$3,0,0,'Données projet'!$E$12+1,1))</f>
        <v>145.14303899407867</v>
      </c>
      <c r="CE16" s="62">
        <f t="shared" si="40"/>
        <v>137.55906339137317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5.8681408305128455</v>
      </c>
      <c r="P17" s="14">
        <f t="shared" si="33"/>
        <v>2.2008940251085987</v>
      </c>
      <c r="Q17" s="22">
        <f t="shared" si="2"/>
        <v>14.053569040207348</v>
      </c>
      <c r="R17" s="62">
        <f t="shared" si="0"/>
        <v>307.38690237354064</v>
      </c>
      <c r="S17" s="62">
        <f ca="1">AVERAGE(OFFSET($R$3,0,0,'Données projet'!$E$9+1,1))-AVERAGE(OFFSET($H$3,0,0,'Données projet'!$E$9+1,1))</f>
        <v>98.272553716009838</v>
      </c>
      <c r="T17" s="62">
        <f t="shared" si="34"/>
        <v>68.315893120570763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323.63404546151253</v>
      </c>
      <c r="AN17" s="62">
        <f ca="1">AVERAGE(OFFSET($AM$3,0,0,'Données projet'!$E$10+1,1))-AVERAGE(OFFSET($H$3,0,0,'Données projet'!$E$10+1,1))</f>
        <v>85.701306948362742</v>
      </c>
      <c r="AO17" s="62">
        <f t="shared" si="36"/>
        <v>118.59281525447091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24.2</v>
      </c>
      <c r="BD17" s="13">
        <f>IF('Données projet'!$A$88&gt;35,BD16+BC17-BL16,IF(A17&lt;'Données projet'!$A$88,$BA$205^A17,IF(A17='Données projet'!$A$88,'Données projet'!$B$88,BD16+BC17-BL16)))</f>
        <v>75.751590032834017</v>
      </c>
      <c r="BE17" s="14">
        <f>BD17*VLOOKUP('Données projet'!$B$11,Paramètres!$A$1:$I$89,3,0)*VLOOKUP('Données projet'!$B$11,Paramètres!$A$1:$I$89,5,0)</f>
        <v>33.32463948724434</v>
      </c>
      <c r="BF17" s="14">
        <f t="shared" si="37"/>
        <v>10.210984693394545</v>
      </c>
      <c r="BG17" s="22">
        <f t="shared" si="7"/>
        <v>75.824545447946051</v>
      </c>
      <c r="BH17" s="62">
        <f t="shared" si="8"/>
        <v>369.15787878127935</v>
      </c>
      <c r="BI17" s="62">
        <f ca="1">AVERAGE(OFFSET($BH$3,0,0,'Données projet'!$E$11+1,1))-AVERAGE(OFFSET($H$3,0,0,'Données projet'!$E$11+1,1))</f>
        <v>71.420552731458145</v>
      </c>
      <c r="BJ17" s="62">
        <f t="shared" si="38"/>
        <v>436.74855282454985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4.3703703703703702</v>
      </c>
      <c r="BY17" s="13">
        <f>IF('Données projet'!$A$114&gt;35,BY16+BX17-CG16,IF(A17&lt;'Données projet'!$A$114,$BV$205^A17,IF(A17='Données projet'!$A$114,'Données projet'!$B$114,BY16+BX17-CG16)))</f>
        <v>11.866132377366407</v>
      </c>
      <c r="BZ17" s="14">
        <f>BY17*VLOOKUP('Données projet'!$B$12,Paramètres!$A$1:$I$89,3,0)*VLOOKUP('Données projet'!$B$12,Paramètres!$A$1:$I$89,5,0)</f>
        <v>7.0959471616651122</v>
      </c>
      <c r="CA17" s="14">
        <f t="shared" si="39"/>
        <v>2.6031837849951125</v>
      </c>
      <c r="CB17" s="22">
        <f t="shared" si="10"/>
        <v>16.892653065433223</v>
      </c>
      <c r="CC17" s="62">
        <f t="shared" si="11"/>
        <v>310.22598639876651</v>
      </c>
      <c r="CD17" s="62">
        <f ca="1">AVERAGE(OFFSET($CC$3,0,0,'Données projet'!$E$12+1,1))-AVERAGE(OFFSET($H$3,0,0,'Données projet'!$E$12+1,1))</f>
        <v>145.14303899407867</v>
      </c>
      <c r="CE17" s="62">
        <f t="shared" si="40"/>
        <v>137.55906339137317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6.7233447072583079</v>
      </c>
      <c r="P18" s="14">
        <f t="shared" si="33"/>
        <v>2.4820270200447099</v>
      </c>
      <c r="Q18" s="22">
        <f t="shared" si="2"/>
        <v>16.032689091719423</v>
      </c>
      <c r="R18" s="62">
        <f t="shared" si="0"/>
        <v>309.36602242505273</v>
      </c>
      <c r="S18" s="62">
        <f ca="1">AVERAGE(OFFSET($R$3,0,0,'Données projet'!$E$9+1,1))-AVERAGE(OFFSET($H$3,0,0,'Données projet'!$E$9+1,1))</f>
        <v>98.272553716009838</v>
      </c>
      <c r="T18" s="62">
        <f t="shared" si="34"/>
        <v>68.315893120570763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331.48052823823258</v>
      </c>
      <c r="AN18" s="62">
        <f ca="1">AVERAGE(OFFSET($AM$3,0,0,'Données projet'!$E$10+1,1))-AVERAGE(OFFSET($H$3,0,0,'Données projet'!$E$10+1,1))</f>
        <v>85.701306948362742</v>
      </c>
      <c r="AO18" s="62">
        <f t="shared" si="36"/>
        <v>118.59281525447091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24.2</v>
      </c>
      <c r="BD18" s="13">
        <f>IF('Données projet'!$A$88&gt;35,BD17+BC18-BL17,IF(A18&lt;'Données projet'!$A$88,$BA$205^A18,IF(A18='Données projet'!$A$88,'Données projet'!$B$88,BD17+BC18-BL17)))</f>
        <v>103.18914671611549</v>
      </c>
      <c r="BE18" s="14">
        <f>BD18*VLOOKUP('Données projet'!$B$11,Paramètres!$A$1:$I$89,3,0)*VLOOKUP('Données projet'!$B$11,Paramètres!$A$1:$I$89,5,0)</f>
        <v>45.394969423353523</v>
      </c>
      <c r="BF18" s="14">
        <f t="shared" si="37"/>
        <v>13.417885861332911</v>
      </c>
      <c r="BG18" s="22">
        <f t="shared" si="7"/>
        <v>102.43238962082887</v>
      </c>
      <c r="BH18" s="62">
        <f t="shared" si="8"/>
        <v>395.76572295416219</v>
      </c>
      <c r="BI18" s="62">
        <f ca="1">AVERAGE(OFFSET($BH$3,0,0,'Données projet'!$E$11+1,1))-AVERAGE(OFFSET($H$3,0,0,'Données projet'!$E$11+1,1))</f>
        <v>71.420552731458145</v>
      </c>
      <c r="BJ18" s="62">
        <f t="shared" si="38"/>
        <v>436.74855282454985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4.3703703703703702</v>
      </c>
      <c r="BY18" s="13">
        <f>IF('Données projet'!$A$114&gt;35,BY17+BX18-CG17,IF(A18&lt;'Données projet'!$A$114,$BV$205^A18,IF(A18='Données projet'!$A$114,'Données projet'!$B$114,BY17+BX18-CG17)))</f>
        <v>14.159423114374338</v>
      </c>
      <c r="BZ18" s="14">
        <f>BY18*VLOOKUP('Données projet'!$B$12,Paramètres!$A$1:$I$89,3,0)*VLOOKUP('Données projet'!$B$12,Paramètres!$A$1:$I$89,5,0)</f>
        <v>8.4673350223958543</v>
      </c>
      <c r="CA18" s="14">
        <f t="shared" si="39"/>
        <v>3.0430499948027987</v>
      </c>
      <c r="CB18" s="22">
        <f t="shared" si="10"/>
        <v>20.047253904954317</v>
      </c>
      <c r="CC18" s="62">
        <f t="shared" si="11"/>
        <v>313.3805872382876</v>
      </c>
      <c r="CD18" s="62">
        <f ca="1">AVERAGE(OFFSET($CC$3,0,0,'Données projet'!$E$12+1,1))-AVERAGE(OFFSET($H$3,0,0,'Données projet'!$E$12+1,1))</f>
        <v>145.14303899407867</v>
      </c>
      <c r="CE18" s="62">
        <f t="shared" si="40"/>
        <v>137.55906339137317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7.7031832326811687</v>
      </c>
      <c r="P19" s="14">
        <f t="shared" si="33"/>
        <v>2.799070767584118</v>
      </c>
      <c r="Q19" s="22">
        <f t="shared" si="2"/>
        <v>18.291425717128707</v>
      </c>
      <c r="R19" s="62">
        <f t="shared" si="0"/>
        <v>311.62475905046205</v>
      </c>
      <c r="S19" s="62">
        <f ca="1">AVERAGE(OFFSET($R$3,0,0,'Données projet'!$E$9+1,1))-AVERAGE(OFFSET($H$3,0,0,'Données projet'!$E$9+1,1))</f>
        <v>98.272553716009838</v>
      </c>
      <c r="T19" s="62">
        <f t="shared" si="34"/>
        <v>68.315893120570763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341.36574806253117</v>
      </c>
      <c r="AN19" s="62">
        <f ca="1">AVERAGE(OFFSET($AM$3,0,0,'Données projet'!$E$10+1,1))-AVERAGE(OFFSET($H$3,0,0,'Données projet'!$E$10+1,1))</f>
        <v>85.701306948362742</v>
      </c>
      <c r="AO19" s="62">
        <f t="shared" si="36"/>
        <v>118.59281525447091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24.2</v>
      </c>
      <c r="BD19" s="13">
        <f>IF('Données projet'!$A$88&gt;35,BD18+BC19-BL18,IF(A19&lt;'Données projet'!$A$88,$BA$205^A19,IF(A19='Données projet'!$A$88,'Données projet'!$B$88,BD18+BC19-BL18)))</f>
        <v>140.56470623764739</v>
      </c>
      <c r="BE19" s="14">
        <f>BD19*VLOOKUP('Données projet'!$B$11,Paramètres!$A$1:$I$89,3,0)*VLOOKUP('Données projet'!$B$11,Paramètres!$A$1:$I$89,5,0)</f>
        <v>61.837225568065826</v>
      </c>
      <c r="BF19" s="14">
        <f t="shared" si="37"/>
        <v>17.631958757535369</v>
      </c>
      <c r="BG19" s="22">
        <f t="shared" si="7"/>
        <v>138.40882936708874</v>
      </c>
      <c r="BH19" s="62">
        <f t="shared" si="8"/>
        <v>431.74216270042206</v>
      </c>
      <c r="BI19" s="62">
        <f ca="1">AVERAGE(OFFSET($BH$3,0,0,'Données projet'!$E$11+1,1))-AVERAGE(OFFSET($H$3,0,0,'Données projet'!$E$11+1,1))</f>
        <v>71.420552731458145</v>
      </c>
      <c r="BJ19" s="62">
        <f t="shared" si="38"/>
        <v>436.74855282454985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4.3703703703703702</v>
      </c>
      <c r="BY19" s="13">
        <f>IF('Données projet'!$A$114&gt;35,BY18+BX19-CG18,IF(A19&lt;'Données projet'!$A$114,$BV$205^A19,IF(A19='Données projet'!$A$114,'Données projet'!$B$114,BY18+BX19-CG18)))</f>
        <v>16.895923335078734</v>
      </c>
      <c r="BZ19" s="14">
        <f>BY19*VLOOKUP('Données projet'!$B$12,Paramètres!$A$1:$I$89,3,0)*VLOOKUP('Données projet'!$B$12,Paramètres!$A$1:$I$89,5,0)</f>
        <v>10.103762154377083</v>
      </c>
      <c r="CA19" s="14">
        <f t="shared" si="39"/>
        <v>3.5572414534253478</v>
      </c>
      <c r="CB19" s="22">
        <f t="shared" si="10"/>
        <v>23.79291461692257</v>
      </c>
      <c r="CC19" s="62">
        <f t="shared" si="11"/>
        <v>317.1262479502559</v>
      </c>
      <c r="CD19" s="62">
        <f ca="1">AVERAGE(OFFSET($CC$3,0,0,'Données projet'!$E$12+1,1))-AVERAGE(OFFSET($H$3,0,0,'Données projet'!$E$12+1,1))</f>
        <v>145.14303899407867</v>
      </c>
      <c r="CE19" s="62">
        <f t="shared" si="40"/>
        <v>137.55906339137317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8.8258202576166855</v>
      </c>
      <c r="P20" s="14">
        <f t="shared" si="33"/>
        <v>3.1566123570253519</v>
      </c>
      <c r="Q20" s="22">
        <f t="shared" si="2"/>
        <v>20.869403470501549</v>
      </c>
      <c r="R20" s="62">
        <f t="shared" si="0"/>
        <v>314.20273680383485</v>
      </c>
      <c r="S20" s="62">
        <f ca="1">AVERAGE(OFFSET($R$3,0,0,'Données projet'!$E$9+1,1))-AVERAGE(OFFSET($H$3,0,0,'Données projet'!$E$9+1,1))</f>
        <v>98.272553716009838</v>
      </c>
      <c r="T20" s="62">
        <f t="shared" si="34"/>
        <v>68.315893120570763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353.82108070972311</v>
      </c>
      <c r="AN20" s="62">
        <f ca="1">AVERAGE(OFFSET($AM$3,0,0,'Données projet'!$E$10+1,1))-AVERAGE(OFFSET($H$3,0,0,'Données projet'!$E$10+1,1))</f>
        <v>85.701306948362742</v>
      </c>
      <c r="AO20" s="62">
        <f t="shared" si="36"/>
        <v>118.59281525447091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24.2</v>
      </c>
      <c r="BD20" s="13">
        <f>IF('Données projet'!$A$88&gt;35,BD19+BC20-BL19,IF(A20&lt;'Données projet'!$A$88,$BA$205^A20,IF(A20='Données projet'!$A$88,'Données projet'!$B$88,BD19+BC20-BL19)))</f>
        <v>191.47785662026743</v>
      </c>
      <c r="BE20" s="14">
        <f>BD20*VLOOKUP('Données projet'!$B$11,Paramètres!$A$1:$I$89,3,0)*VLOOKUP('Données projet'!$B$11,Paramètres!$A$1:$I$89,5,0)</f>
        <v>84.234938684388041</v>
      </c>
      <c r="BF20" s="14">
        <f t="shared" si="37"/>
        <v>23.169519612871824</v>
      </c>
      <c r="BG20" s="22">
        <f t="shared" si="7"/>
        <v>187.06276486772762</v>
      </c>
      <c r="BH20" s="62">
        <f t="shared" si="8"/>
        <v>480.39609820106091</v>
      </c>
      <c r="BI20" s="62">
        <f ca="1">AVERAGE(OFFSET($BH$3,0,0,'Données projet'!$E$11+1,1))-AVERAGE(OFFSET($H$3,0,0,'Données projet'!$E$11+1,1))</f>
        <v>71.420552731458145</v>
      </c>
      <c r="BJ20" s="62">
        <f t="shared" si="38"/>
        <v>436.74855282454985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4.3703703703703702</v>
      </c>
      <c r="BY20" s="13">
        <f>IF('Données projet'!$A$114&gt;35,BY19+BX20-CG19,IF(A20&lt;'Données projet'!$A$114,$BV$205^A20,IF(A20='Données projet'!$A$114,'Données projet'!$B$114,BY19+BX20-CG19)))</f>
        <v>20.161289272799031</v>
      </c>
      <c r="BZ20" s="14">
        <f>BY20*VLOOKUP('Données projet'!$B$12,Paramètres!$A$1:$I$89,3,0)*VLOOKUP('Données projet'!$B$12,Paramètres!$A$1:$I$89,5,0)</f>
        <v>12.056450985133822</v>
      </c>
      <c r="CA20" s="14">
        <f t="shared" si="39"/>
        <v>4.1583170764789594</v>
      </c>
      <c r="CB20" s="22">
        <f t="shared" si="10"/>
        <v>28.240721040642256</v>
      </c>
      <c r="CC20" s="62">
        <f t="shared" si="11"/>
        <v>321.57405437397557</v>
      </c>
      <c r="CD20" s="62">
        <f ca="1">AVERAGE(OFFSET($CC$3,0,0,'Données projet'!$E$12+1,1))-AVERAGE(OFFSET($H$3,0,0,'Données projet'!$E$12+1,1))</f>
        <v>145.14303899407867</v>
      </c>
      <c r="CE20" s="62">
        <f t="shared" si="40"/>
        <v>137.55906339137317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10.1120667738089</v>
      </c>
      <c r="P21" s="14">
        <f t="shared" si="33"/>
        <v>3.559824813263035</v>
      </c>
      <c r="Q21" s="22">
        <f t="shared" si="2"/>
        <v>23.811877847483618</v>
      </c>
      <c r="R21" s="62">
        <f t="shared" si="0"/>
        <v>317.14521118081694</v>
      </c>
      <c r="S21" s="62">
        <f ca="1">AVERAGE(OFFSET($R$3,0,0,'Données projet'!$E$9+1,1))-AVERAGE(OFFSET($H$3,0,0,'Données projet'!$E$9+1,1))</f>
        <v>98.272553716009838</v>
      </c>
      <c r="T21" s="62">
        <f t="shared" si="34"/>
        <v>68.315893120570763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369.5167972092915</v>
      </c>
      <c r="AN21" s="62">
        <f ca="1">AVERAGE(OFFSET($AM$3,0,0,'Données projet'!$E$10+1,1))-AVERAGE(OFFSET($H$3,0,0,'Données projet'!$E$10+1,1))</f>
        <v>85.701306948362742</v>
      </c>
      <c r="AO21" s="62">
        <f t="shared" si="36"/>
        <v>118.59281525447091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24.2</v>
      </c>
      <c r="BD21" s="13">
        <f>IF('Données projet'!$A$88&gt;35,BD20+BC21-BL20,IF(A21&lt;'Données projet'!$A$88,$BA$205^A21,IF(A21='Données projet'!$A$88,'Données projet'!$B$88,BD20+BC21-BL20)))</f>
        <v>260.83197238647983</v>
      </c>
      <c r="BE21" s="14">
        <f>BD21*VLOOKUP('Données projet'!$B$11,Paramètres!$A$1:$I$89,3,0)*VLOOKUP('Données projet'!$B$11,Paramètres!$A$1:$I$89,5,0)</f>
        <v>114.74520129226021</v>
      </c>
      <c r="BF21" s="14">
        <f t="shared" si="37"/>
        <v>30.446228151584585</v>
      </c>
      <c r="BG21" s="22">
        <f t="shared" si="7"/>
        <v>252.87507294802967</v>
      </c>
      <c r="BH21" s="62">
        <f t="shared" si="8"/>
        <v>546.20840628136295</v>
      </c>
      <c r="BI21" s="62">
        <f ca="1">AVERAGE(OFFSET($BH$3,0,0,'Données projet'!$E$11+1,1))-AVERAGE(OFFSET($H$3,0,0,'Données projet'!$E$11+1,1))</f>
        <v>71.420552731458145</v>
      </c>
      <c r="BJ21" s="62">
        <f t="shared" si="38"/>
        <v>436.74855282454985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4.3703703703703702</v>
      </c>
      <c r="BY21" s="13">
        <f>IF('Données projet'!$A$114&gt;35,BY20+BX21-CG20,IF(A21&lt;'Données projet'!$A$114,$BV$205^A21,IF(A21='Données projet'!$A$114,'Données projet'!$B$114,BY20+BX21-CG20)))</f>
        <v>24.057731387639919</v>
      </c>
      <c r="BZ21" s="14">
        <f>BY21*VLOOKUP('Données projet'!$B$12,Paramètres!$A$1:$I$89,3,0)*VLOOKUP('Données projet'!$B$12,Paramètres!$A$1:$I$89,5,0)</f>
        <v>14.386523369808673</v>
      </c>
      <c r="CA21" s="14">
        <f t="shared" si="39"/>
        <v>4.8609578896833261</v>
      </c>
      <c r="CB21" s="22">
        <f t="shared" si="10"/>
        <v>33.522696526948565</v>
      </c>
      <c r="CC21" s="62">
        <f t="shared" si="11"/>
        <v>326.85602986028186</v>
      </c>
      <c r="CD21" s="62">
        <f ca="1">AVERAGE(OFFSET($CC$3,0,0,'Données projet'!$E$12+1,1))-AVERAGE(OFFSET($H$3,0,0,'Données projet'!$E$12+1,1))</f>
        <v>145.14303899407867</v>
      </c>
      <c r="CE21" s="62">
        <f t="shared" si="40"/>
        <v>137.55906339137317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11.585766699670183</v>
      </c>
      <c r="P22" s="14">
        <f t="shared" si="33"/>
        <v>4.0145419417495543</v>
      </c>
      <c r="Q22" s="22">
        <f t="shared" si="2"/>
        <v>27.170537550472705</v>
      </c>
      <c r="R22" s="62">
        <f t="shared" si="0"/>
        <v>320.50387088380603</v>
      </c>
      <c r="S22" s="62">
        <f ca="1">AVERAGE(OFFSET($R$3,0,0,'Données projet'!$E$9+1,1))-AVERAGE(OFFSET($H$3,0,0,'Données projet'!$E$9+1,1))</f>
        <v>98.272553716009838</v>
      </c>
      <c r="T22" s="62">
        <f t="shared" si="34"/>
        <v>68.315893120570763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389.29846466872669</v>
      </c>
      <c r="AN22" s="62">
        <f ca="1">AVERAGE(OFFSET($AM$3,0,0,'Données projet'!$E$10+1,1))-AVERAGE(OFFSET($H$3,0,0,'Données projet'!$E$10+1,1))</f>
        <v>85.701306948362742</v>
      </c>
      <c r="AO22" s="62">
        <f t="shared" si="36"/>
        <v>118.59281525447091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24.2</v>
      </c>
      <c r="BD22" s="13">
        <f>IF('Données projet'!$A$88&gt;35,BD21+BC22-BL21,IF(A22&lt;'Données projet'!$A$88,$BA$205^A22,IF(A22='Données projet'!$A$88,'Données projet'!$B$88,BD21+BC22-BL21)))</f>
        <v>355.30645172168818</v>
      </c>
      <c r="BE22" s="14">
        <f>BD22*VLOOKUP('Données projet'!$B$11,Paramètres!$A$1:$I$89,3,0)*VLOOKUP('Données projet'!$B$11,Paramètres!$A$1:$I$89,5,0)</f>
        <v>156.30641424140504</v>
      </c>
      <c r="BF22" s="14">
        <f t="shared" si="37"/>
        <v>40.008287791317123</v>
      </c>
      <c r="BG22" s="22">
        <f t="shared" si="7"/>
        <v>341.91477270699107</v>
      </c>
      <c r="BH22" s="62">
        <f t="shared" si="8"/>
        <v>635.24810604032439</v>
      </c>
      <c r="BI22" s="62">
        <f ca="1">AVERAGE(OFFSET($BH$3,0,0,'Données projet'!$E$11+1,1))-AVERAGE(OFFSET($H$3,0,0,'Données projet'!$E$11+1,1))</f>
        <v>71.420552731458145</v>
      </c>
      <c r="BJ22" s="62">
        <f t="shared" si="38"/>
        <v>436.74855282454985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4.3703703703703702</v>
      </c>
      <c r="BY22" s="13">
        <f>IF('Données projet'!$A$114&gt;35,BY21+BX22-CG21,IF(A22&lt;'Données projet'!$A$114,$BV$205^A22,IF(A22='Données projet'!$A$114,'Données projet'!$B$114,BY21+BX22-CG21)))</f>
        <v>28.707213694944539</v>
      </c>
      <c r="BZ22" s="14">
        <f>BY22*VLOOKUP('Données projet'!$B$12,Paramètres!$A$1:$I$89,3,0)*VLOOKUP('Données projet'!$B$12,Paramètres!$A$1:$I$89,5,0)</f>
        <v>17.166913789576835</v>
      </c>
      <c r="CA22" s="14">
        <f t="shared" si="39"/>
        <v>5.6823256068972627</v>
      </c>
      <c r="CB22" s="22">
        <f t="shared" si="10"/>
        <v>39.79575861552572</v>
      </c>
      <c r="CC22" s="62">
        <f t="shared" si="11"/>
        <v>333.12909194885901</v>
      </c>
      <c r="CD22" s="62">
        <f ca="1">AVERAGE(OFFSET($CC$3,0,0,'Données projet'!$E$12+1,1))-AVERAGE(OFFSET($H$3,0,0,'Données projet'!$E$12+1,1))</f>
        <v>145.14303899407867</v>
      </c>
      <c r="CE22" s="62">
        <f t="shared" si="40"/>
        <v>137.55906339137317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13.274238889210405</v>
      </c>
      <c r="P23" s="14">
        <f t="shared" si="33"/>
        <v>4.5273427338390313</v>
      </c>
      <c r="Q23" s="22">
        <f t="shared" si="2"/>
        <v>31.004421326811102</v>
      </c>
      <c r="R23" s="62">
        <f t="shared" si="0"/>
        <v>324.33775466014441</v>
      </c>
      <c r="S23" s="62">
        <f ca="1">AVERAGE(OFFSET($R$3,0,0,'Données projet'!$E$9+1,1))-AVERAGE(OFFSET($H$3,0,0,'Données projet'!$E$9+1,1))</f>
        <v>98.272553716009838</v>
      </c>
      <c r="T23" s="62">
        <f t="shared" si="34"/>
        <v>68.315893120570763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414.23290956434556</v>
      </c>
      <c r="AN23" s="62">
        <f ca="1">AVERAGE(OFFSET($AM$3,0,0,'Données projet'!$E$10+1,1))-AVERAGE(OFFSET($H$3,0,0,'Données projet'!$E$10+1,1))</f>
        <v>85.701306948362742</v>
      </c>
      <c r="AO23" s="62">
        <f t="shared" si="36"/>
        <v>118.59281525447091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30</v>
      </c>
      <c r="AR23" s="17">
        <f>IF(ISNA(VLOOKUP(A23,'Données projet'!$A$61:$I$81,5,0)),0%,VLOOKUP(A23,'Données projet'!$A$61:$I$81,5,0)*VLOOKUP('Données projet'!$B$10,Paramètres!$A$1:$I$89,7,0))</f>
        <v>0.11000000000000001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2.048746144980826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12.717233165817264</v>
      </c>
      <c r="AX23" s="23">
        <f t="shared" si="6"/>
        <v>14.765979310798091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484</v>
      </c>
      <c r="BB23" s="13">
        <f>VLOOKUP(A23,'Données projet'!$A$87:$I$107,9,0)</f>
        <v>24.2</v>
      </c>
      <c r="BC23" s="13">
        <f t="array" ref="BC23">INDEX(BB:BB,MIN(IF(ISNUMBER(BB23:BB219),ROW(BB23:BB219),"")))</f>
        <v>24.2</v>
      </c>
      <c r="BD23" s="13">
        <f>IF('Données projet'!$A$88&gt;35,BD22+BC23-BL22,IF(A23&lt;'Données projet'!$A$88,$BA$205^A23,IF(A23='Données projet'!$A$88,'Données projet'!$B$88,BD22+BC23-BL22)))</f>
        <v>484</v>
      </c>
      <c r="BE23" s="14">
        <f>BD23*VLOOKUP('Données projet'!$B$11,Paramètres!$A$1:$I$89,3,0)*VLOOKUP('Données projet'!$B$11,Paramètres!$A$1:$I$89,5,0)</f>
        <v>212.92128</v>
      </c>
      <c r="BF23" s="14">
        <f t="shared" si="37"/>
        <v>52.57344469809297</v>
      </c>
      <c r="BG23" s="22">
        <f t="shared" si="7"/>
        <v>462.40331218251191</v>
      </c>
      <c r="BH23" s="62">
        <f t="shared" si="8"/>
        <v>755.73664551584523</v>
      </c>
      <c r="BI23" s="62">
        <f ca="1">AVERAGE(OFFSET($BH$3,0,0,'Données projet'!$E$11+1,1))-AVERAGE(OFFSET($H$3,0,0,'Données projet'!$E$11+1,1))</f>
        <v>71.420552731458145</v>
      </c>
      <c r="BJ23" s="62">
        <f t="shared" si="38"/>
        <v>436.74855282454985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484</v>
      </c>
      <c r="BM23" s="17">
        <f>IF(ISNA(VLOOKUP(A23,'Données projet'!$A$87:$I$107,5,0)),0%,VLOOKUP(A23,'Données projet'!$A$87:$I$107,5,0)*VLOOKUP('Données projet'!$B$11,Paramètres!$A$1:$I$89,7,0))</f>
        <v>0.48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0.2</v>
      </c>
      <c r="BP23" s="23">
        <f>EXP(-LN(2)/35)*BP22+(1-EXP(-LN(2)/35))/(LN(2)/35)*BL23*BM23*VLOOKUP('Données projet'!$B$11,Paramètres!$A$1:$I$89,3,0)*0.475*44/12</f>
        <v>112.98152074187591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40.179391674445988</v>
      </c>
      <c r="BS23" s="24">
        <f t="shared" si="9"/>
        <v>153.16091241632191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4.3703703703703702</v>
      </c>
      <c r="BY23" s="13">
        <f>IF('Données projet'!$A$114&gt;35,BY22+BX23-CG22,IF(A23&lt;'Données projet'!$A$114,$BV$205^A23,IF(A23='Données projet'!$A$114,'Données projet'!$B$114,BY22+BX23-CG22)))</f>
        <v>34.255271407286948</v>
      </c>
      <c r="BZ23" s="14">
        <f>BY23*VLOOKUP('Données projet'!$B$12,Paramètres!$A$1:$I$89,3,0)*VLOOKUP('Données projet'!$B$12,Paramètres!$A$1:$I$89,5,0)</f>
        <v>20.484652301557595</v>
      </c>
      <c r="CA23" s="14">
        <f t="shared" si="39"/>
        <v>6.6424817979453561</v>
      </c>
      <c r="CB23" s="22">
        <f t="shared" si="10"/>
        <v>47.246425223300974</v>
      </c>
      <c r="CC23" s="62">
        <f t="shared" si="11"/>
        <v>340.57975855663426</v>
      </c>
      <c r="CD23" s="62">
        <f ca="1">AVERAGE(OFFSET($CC$3,0,0,'Données projet'!$E$12+1,1))-AVERAGE(OFFSET($H$3,0,0,'Données projet'!$E$12+1,1))</f>
        <v>145.14303899407867</v>
      </c>
      <c r="CE23" s="62">
        <f t="shared" si="40"/>
        <v>137.55906339137317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15.208783557918705</v>
      </c>
      <c r="P24" s="14">
        <f t="shared" si="33"/>
        <v>5.1056465537167783</v>
      </c>
      <c r="Q24" s="22">
        <f t="shared" si="2"/>
        <v>35.380965777765134</v>
      </c>
      <c r="R24" s="62">
        <f t="shared" si="0"/>
        <v>328.71429911109846</v>
      </c>
      <c r="S24" s="62">
        <f ca="1">AVERAGE(OFFSET($R$3,0,0,'Données projet'!$E$9+1,1))-AVERAGE(OFFSET($H$3,0,0,'Données projet'!$E$9+1,1))</f>
        <v>98.272553716009838</v>
      </c>
      <c r="T24" s="62">
        <f t="shared" si="34"/>
        <v>68.315893120570763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91.5</v>
      </c>
      <c r="AJ24" s="14">
        <f>AI24*VLOOKUP('Données projet'!$B$10,Paramètres!$A$1:$I$89,3,0)*VLOOKUP('Données projet'!$B$10,Paramètres!$A$1:$I$89,5,0)</f>
        <v>42.821999999999996</v>
      </c>
      <c r="AK24" s="14">
        <f t="shared" si="35"/>
        <v>12.743624886701214</v>
      </c>
      <c r="AL24" s="22">
        <f t="shared" si="4"/>
        <v>96.776796677671271</v>
      </c>
      <c r="AM24" s="62">
        <f t="shared" si="5"/>
        <v>390.11013001100457</v>
      </c>
      <c r="AN24" s="62">
        <f ca="1">AVERAGE(OFFSET($AM$3,0,0,'Données projet'!$E$10+1,1))-AVERAGE(OFFSET($H$3,0,0,'Données projet'!$E$10+1,1))</f>
        <v>85.701306948362742</v>
      </c>
      <c r="AO24" s="62">
        <f t="shared" si="36"/>
        <v>118.59281525447091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2.0085714826895114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8.9924418094798533</v>
      </c>
      <c r="AX24" s="23">
        <f t="shared" si="6"/>
        <v>11.001013292169365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71.420552731458145</v>
      </c>
      <c r="BJ24" s="62">
        <f t="shared" si="38"/>
        <v>436.74855282454985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110.76602203205088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28.41112031695107</v>
      </c>
      <c r="BS24" s="24">
        <f t="shared" si="9"/>
        <v>139.17714234900194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4.3703703703703702</v>
      </c>
      <c r="BY24" s="13">
        <f>IF('Données projet'!$A$114&gt;35,BY23+BX24-CG23,IF(A24&lt;'Données projet'!$A$114,$BV$205^A24,IF(A24='Données projet'!$A$114,'Données projet'!$B$114,BY23+BX24-CG23)))</f>
        <v>40.875566387466414</v>
      </c>
      <c r="BZ24" s="14">
        <f>BY24*VLOOKUP('Données projet'!$B$12,Paramètres!$A$1:$I$89,3,0)*VLOOKUP('Données projet'!$B$12,Paramètres!$A$1:$I$89,5,0)</f>
        <v>24.443588699704918</v>
      </c>
      <c r="CA24" s="14">
        <f t="shared" si="39"/>
        <v>7.7648778842379169</v>
      </c>
      <c r="CB24" s="22">
        <f t="shared" si="10"/>
        <v>56.096412633700432</v>
      </c>
      <c r="CC24" s="62">
        <f t="shared" si="11"/>
        <v>349.42974596703374</v>
      </c>
      <c r="CD24" s="62">
        <f ca="1">AVERAGE(OFFSET($CC$3,0,0,'Données projet'!$E$12+1,1))-AVERAGE(OFFSET($H$3,0,0,'Données projet'!$E$12+1,1))</f>
        <v>145.14303899407867</v>
      </c>
      <c r="CE24" s="62">
        <f t="shared" si="40"/>
        <v>137.55906339137317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17.425262513516302</v>
      </c>
      <c r="P25" s="14">
        <f t="shared" si="33"/>
        <v>5.7578204841089118</v>
      </c>
      <c r="Q25" s="22">
        <f t="shared" si="2"/>
        <v>40.377202887530579</v>
      </c>
      <c r="R25" s="62">
        <f t="shared" si="0"/>
        <v>333.7105362208639</v>
      </c>
      <c r="S25" s="62">
        <f ca="1">AVERAGE(OFFSET($R$3,0,0,'Données projet'!$E$9+1,1))-AVERAGE(OFFSET($H$3,0,0,'Données projet'!$E$9+1,1))</f>
        <v>98.272553716009838</v>
      </c>
      <c r="T25" s="62">
        <f t="shared" si="34"/>
        <v>68.315893120570763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98</v>
      </c>
      <c r="AJ25" s="14">
        <f>AI25*VLOOKUP('Données projet'!$B$10,Paramètres!$A$1:$I$89,3,0)*VLOOKUP('Données projet'!$B$10,Paramètres!$A$1:$I$89,5,0)</f>
        <v>45.864000000000004</v>
      </c>
      <c r="AK25" s="14">
        <f t="shared" si="35"/>
        <v>13.540311673175401</v>
      </c>
      <c r="AL25" s="22">
        <f t="shared" si="4"/>
        <v>103.46250949744717</v>
      </c>
      <c r="AM25" s="62">
        <f t="shared" si="5"/>
        <v>396.79584283078049</v>
      </c>
      <c r="AN25" s="62">
        <f ca="1">AVERAGE(OFFSET($AM$3,0,0,'Données projet'!$E$10+1,1))-AVERAGE(OFFSET($H$3,0,0,'Données projet'!$E$10+1,1))</f>
        <v>85.701306948362742</v>
      </c>
      <c r="AO25" s="62">
        <f t="shared" si="36"/>
        <v>118.59281525447091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1.9691846210216051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6.358616582908633</v>
      </c>
      <c r="AX25" s="23">
        <f t="shared" si="6"/>
        <v>8.3278012039302389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71.420552731458145</v>
      </c>
      <c r="BJ25" s="62">
        <f t="shared" si="38"/>
        <v>436.74855282454985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108.59396790060475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20.089695837222997</v>
      </c>
      <c r="BS25" s="24">
        <f t="shared" si="9"/>
        <v>128.68366373782774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4.3703703703703702</v>
      </c>
      <c r="BY25" s="13">
        <f>IF('Données projet'!$A$114&gt;35,BY24+BX25-CG24,IF(A25&lt;'Données projet'!$A$114,$BV$205^A25,IF(A25='Données projet'!$A$114,'Données projet'!$B$114,BY24+BX25-CG24)))</f>
        <v>48.775323004469058</v>
      </c>
      <c r="BZ25" s="14">
        <f>BY25*VLOOKUP('Données projet'!$B$12,Paramètres!$A$1:$I$89,3,0)*VLOOKUP('Données projet'!$B$12,Paramètres!$A$1:$I$89,5,0)</f>
        <v>29.167643156672497</v>
      </c>
      <c r="CA25" s="14">
        <f t="shared" si="39"/>
        <v>9.0769279301265016</v>
      </c>
      <c r="CB25" s="22">
        <f t="shared" si="10"/>
        <v>66.60929464284159</v>
      </c>
      <c r="CC25" s="62">
        <f t="shared" si="11"/>
        <v>359.94262797617489</v>
      </c>
      <c r="CD25" s="62">
        <f ca="1">AVERAGE(OFFSET($CC$3,0,0,'Données projet'!$E$12+1,1))-AVERAGE(OFFSET($H$3,0,0,'Données projet'!$E$12+1,1))</f>
        <v>145.14303899407867</v>
      </c>
      <c r="CE25" s="62">
        <f t="shared" si="40"/>
        <v>137.55906339137317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19.964763947663744</v>
      </c>
      <c r="P26" s="14">
        <f t="shared" si="33"/>
        <v>6.4933003838838017</v>
      </c>
      <c r="Q26" s="22">
        <f t="shared" si="2"/>
        <v>46.081128710778643</v>
      </c>
      <c r="R26" s="62">
        <f t="shared" si="0"/>
        <v>339.41446204411193</v>
      </c>
      <c r="S26" s="62">
        <f ca="1">AVERAGE(OFFSET($R$3,0,0,'Données projet'!$E$9+1,1))-AVERAGE(OFFSET($H$3,0,0,'Données projet'!$E$9+1,1))</f>
        <v>98.272553716009838</v>
      </c>
      <c r="T26" s="62">
        <f t="shared" si="34"/>
        <v>68.315893120570763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104.5</v>
      </c>
      <c r="AJ26" s="14">
        <f>AI26*VLOOKUP('Données projet'!$B$10,Paramètres!$A$1:$I$89,3,0)*VLOOKUP('Données projet'!$B$10,Paramètres!$A$1:$I$89,5,0)</f>
        <v>48.905999999999999</v>
      </c>
      <c r="AK26" s="14">
        <f t="shared" si="35"/>
        <v>14.330866650402026</v>
      </c>
      <c r="AL26" s="22">
        <f t="shared" si="4"/>
        <v>110.13754274945018</v>
      </c>
      <c r="AM26" s="62">
        <f t="shared" si="5"/>
        <v>403.47087608278349</v>
      </c>
      <c r="AN26" s="62">
        <f ca="1">AVERAGE(OFFSET($AM$3,0,0,'Données projet'!$E$10+1,1))-AVERAGE(OFFSET($H$3,0,0,'Données projet'!$E$10+1,1))</f>
        <v>85.701306948362742</v>
      </c>
      <c r="AO26" s="62">
        <f t="shared" si="36"/>
        <v>118.59281525447091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1.930570111687393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4.4962209047399275</v>
      </c>
      <c r="AX26" s="23">
        <f t="shared" si="6"/>
        <v>6.4267910164273205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71.420552731458145</v>
      </c>
      <c r="BJ26" s="62">
        <f t="shared" si="38"/>
        <v>436.74855282454985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106.46450642585407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14.205560158475537</v>
      </c>
      <c r="BS26" s="24">
        <f t="shared" si="9"/>
        <v>120.6700665843296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4.3703703703703702</v>
      </c>
      <c r="BY26" s="13">
        <f>IF('Données projet'!$A$114&gt;35,BY25+BX26-CG25,IF(A26&lt;'Données projet'!$A$114,$BV$205^A26,IF(A26='Données projet'!$A$114,'Données projet'!$B$114,BY25+BX26-CG25)))</f>
        <v>58.201814542189823</v>
      </c>
      <c r="BZ26" s="14">
        <f>BY26*VLOOKUP('Données projet'!$B$12,Paramètres!$A$1:$I$89,3,0)*VLOOKUP('Données projet'!$B$12,Paramètres!$A$1:$I$89,5,0)</f>
        <v>34.804685096229512</v>
      </c>
      <c r="CA26" s="14">
        <f t="shared" si="39"/>
        <v>10.610678220189007</v>
      </c>
      <c r="CB26" s="22">
        <f t="shared" si="10"/>
        <v>79.098424442762266</v>
      </c>
      <c r="CC26" s="62">
        <f t="shared" si="11"/>
        <v>372.43175777609559</v>
      </c>
      <c r="CD26" s="62">
        <f ca="1">AVERAGE(OFFSET($CC$3,0,0,'Données projet'!$E$12+1,1))-AVERAGE(OFFSET($H$3,0,0,'Données projet'!$E$12+1,1))</f>
        <v>145.14303899407867</v>
      </c>
      <c r="CE26" s="62">
        <f t="shared" si="40"/>
        <v>137.55906339137317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22.874364112262707</v>
      </c>
      <c r="P27" s="14">
        <f t="shared" si="33"/>
        <v>7.3227274090450818</v>
      </c>
      <c r="Q27" s="22">
        <f t="shared" si="2"/>
        <v>52.593267732944405</v>
      </c>
      <c r="R27" s="62">
        <f t="shared" si="0"/>
        <v>345.92660106627773</v>
      </c>
      <c r="S27" s="62">
        <f ca="1">AVERAGE(OFFSET($R$3,0,0,'Données projet'!$E$9+1,1))-AVERAGE(OFFSET($H$3,0,0,'Données projet'!$E$9+1,1))</f>
        <v>98.272553716009838</v>
      </c>
      <c r="T27" s="62">
        <f t="shared" si="34"/>
        <v>68.315893120570763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111</v>
      </c>
      <c r="AJ27" s="14">
        <f>AI27*VLOOKUP('Données projet'!$B$10,Paramètres!$A$1:$I$89,3,0)*VLOOKUP('Données projet'!$B$10,Paramètres!$A$1:$I$89,5,0)</f>
        <v>51.948</v>
      </c>
      <c r="AK27" s="14">
        <f t="shared" si="35"/>
        <v>15.115714645211892</v>
      </c>
      <c r="AL27" s="22">
        <f t="shared" si="4"/>
        <v>116.8026363404107</v>
      </c>
      <c r="AM27" s="62">
        <f t="shared" si="5"/>
        <v>410.135969673744</v>
      </c>
      <c r="AN27" s="62">
        <f ca="1">AVERAGE(OFFSET($AM$3,0,0,'Données projet'!$E$10+1,1))-AVERAGE(OFFSET($H$3,0,0,'Données projet'!$E$10+1,1))</f>
        <v>85.701306948362742</v>
      </c>
      <c r="AO27" s="62">
        <f t="shared" si="36"/>
        <v>118.59281525447091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1.8927128093286998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3.1793082914543169</v>
      </c>
      <c r="AX27" s="23">
        <f t="shared" si="6"/>
        <v>5.0720211007830169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71.420552731458145</v>
      </c>
      <c r="BJ27" s="62">
        <f t="shared" si="38"/>
        <v>436.74855282454985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104.37680239178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10.044847918611499</v>
      </c>
      <c r="BS27" s="24">
        <f t="shared" si="9"/>
        <v>114.4216503103915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4.3703703703703702</v>
      </c>
      <c r="BY27" s="13">
        <f>IF('Données projet'!$A$114&gt;35,BY26+BX27-CG26,IF(A27&lt;'Données projet'!$A$114,$BV$205^A27,IF(A27='Données projet'!$A$114,'Données projet'!$B$114,BY26+BX27-CG26)))</f>
        <v>69.450103194459274</v>
      </c>
      <c r="BZ27" s="14">
        <f>BY27*VLOOKUP('Données projet'!$B$12,Paramètres!$A$1:$I$89,3,0)*VLOOKUP('Données projet'!$B$12,Paramètres!$A$1:$I$89,5,0)</f>
        <v>41.531161710286646</v>
      </c>
      <c r="CA27" s="14">
        <f t="shared" si="39"/>
        <v>12.40358997659513</v>
      </c>
      <c r="CB27" s="22">
        <f t="shared" si="10"/>
        <v>93.936359187985758</v>
      </c>
      <c r="CC27" s="62">
        <f t="shared" si="11"/>
        <v>387.26969252131909</v>
      </c>
      <c r="CD27" s="62">
        <f ca="1">AVERAGE(OFFSET($CC$3,0,0,'Données projet'!$E$12+1,1))-AVERAGE(OFFSET($H$3,0,0,'Données projet'!$E$12+1,1))</f>
        <v>145.14303899407867</v>
      </c>
      <c r="CE27" s="62">
        <f t="shared" si="40"/>
        <v>137.55906339137317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26.208000000000002</v>
      </c>
      <c r="P28" s="14">
        <f t="shared" si="33"/>
        <v>8.2581019723450986</v>
      </c>
      <c r="Q28" s="22">
        <f t="shared" si="2"/>
        <v>60.028460935167708</v>
      </c>
      <c r="R28" s="62">
        <f t="shared" si="0"/>
        <v>353.361794268501</v>
      </c>
      <c r="S28" s="62">
        <f ca="1">AVERAGE(OFFSET($R$3,0,0,'Données projet'!$E$9+1,1))-AVERAGE(OFFSET($H$3,0,0,'Données projet'!$E$9+1,1))</f>
        <v>98.272553716009838</v>
      </c>
      <c r="T28" s="62">
        <f t="shared" si="34"/>
        <v>68.315893120570763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117.5</v>
      </c>
      <c r="AJ28" s="14">
        <f>AI28*VLOOKUP('Données projet'!$B$10,Paramètres!$A$1:$I$89,3,0)*VLOOKUP('Données projet'!$B$10,Paramètres!$A$1:$I$89,5,0)</f>
        <v>54.989999999999995</v>
      </c>
      <c r="AK28" s="14">
        <f t="shared" si="35"/>
        <v>15.895227919347008</v>
      </c>
      <c r="AL28" s="22">
        <f t="shared" si="4"/>
        <v>123.45843862619603</v>
      </c>
      <c r="AM28" s="62">
        <f t="shared" si="5"/>
        <v>416.79177195952934</v>
      </c>
      <c r="AN28" s="62">
        <f ca="1">AVERAGE(OFFSET($AM$3,0,0,'Données projet'!$E$10+1,1))-AVERAGE(OFFSET($H$3,0,0,'Données projet'!$E$10+1,1))</f>
        <v>85.701306948362742</v>
      </c>
      <c r="AO28" s="62">
        <f t="shared" si="36"/>
        <v>118.59281525447091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1.8555978655785861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2.2481104523699642</v>
      </c>
      <c r="AX28" s="23">
        <f t="shared" si="6"/>
        <v>4.1037083179485503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71.420552731458145</v>
      </c>
      <c r="BJ28" s="62">
        <f t="shared" si="38"/>
        <v>436.74855282454985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102.3300369604404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7.1027800792377684</v>
      </c>
      <c r="BS28" s="24">
        <f t="shared" si="9"/>
        <v>109.43281703967817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4.3703703703703702</v>
      </c>
      <c r="BY28" s="13">
        <f>IF('Données projet'!$A$114&gt;35,BY27+BX28-CG27,IF(A28&lt;'Données projet'!$A$114,$BV$205^A28,IF(A28='Données projet'!$A$114,'Données projet'!$B$114,BY27+BX28-CG27)))</f>
        <v>82.872275918900684</v>
      </c>
      <c r="BZ28" s="14">
        <f>BY28*VLOOKUP('Données projet'!$B$12,Paramètres!$A$1:$I$89,3,0)*VLOOKUP('Données projet'!$B$12,Paramètres!$A$1:$I$89,5,0)</f>
        <v>49.557620999502618</v>
      </c>
      <c r="CA28" s="14">
        <f t="shared" si="39"/>
        <v>14.49945433410293</v>
      </c>
      <c r="CB28" s="22">
        <f t="shared" si="10"/>
        <v>111.56607287269634</v>
      </c>
      <c r="CC28" s="62">
        <f t="shared" si="11"/>
        <v>404.89940620602965</v>
      </c>
      <c r="CD28" s="62">
        <f ca="1">AVERAGE(OFFSET($CC$3,0,0,'Données projet'!$E$12+1,1))-AVERAGE(OFFSET($H$3,0,0,'Données projet'!$E$12+1,1))</f>
        <v>145.14303899407867</v>
      </c>
      <c r="CE28" s="62">
        <f t="shared" si="40"/>
        <v>137.55906339137317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30.40128</v>
      </c>
      <c r="P29" s="14">
        <f t="shared" si="33"/>
        <v>9.415325106609755</v>
      </c>
      <c r="Q29" s="22">
        <f t="shared" si="2"/>
        <v>69.347253894011999</v>
      </c>
      <c r="R29" s="62">
        <f t="shared" si="0"/>
        <v>362.68058722734531</v>
      </c>
      <c r="S29" s="62">
        <f ca="1">AVERAGE(OFFSET($R$3,0,0,'Données projet'!$E$9+1,1))-AVERAGE(OFFSET($H$3,0,0,'Données projet'!$E$9+1,1))</f>
        <v>98.272553716009838</v>
      </c>
      <c r="T29" s="62">
        <f t="shared" si="34"/>
        <v>68.315893120570763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124</v>
      </c>
      <c r="AJ29" s="14">
        <f>AI29*VLOOKUP('Données projet'!$B$10,Paramètres!$A$1:$I$89,3,0)*VLOOKUP('Données projet'!$B$10,Paramètres!$A$1:$I$89,5,0)</f>
        <v>58.032000000000004</v>
      </c>
      <c r="AK29" s="14">
        <f t="shared" si="35"/>
        <v>16.669735221992795</v>
      </c>
      <c r="AL29" s="22">
        <f t="shared" si="4"/>
        <v>130.10552217830414</v>
      </c>
      <c r="AM29" s="62">
        <f t="shared" si="5"/>
        <v>423.43885551163748</v>
      </c>
      <c r="AN29" s="62">
        <f ca="1">AVERAGE(OFFSET($AM$3,0,0,'Données projet'!$E$10+1,1))-AVERAGE(OFFSET($H$3,0,0,'Données projet'!$E$10+1,1))</f>
        <v>85.701306948362742</v>
      </c>
      <c r="AO29" s="62">
        <f t="shared" si="36"/>
        <v>118.59281525447091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1.8192107232375319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1.5896541457271587</v>
      </c>
      <c r="AX29" s="23">
        <f t="shared" si="6"/>
        <v>3.4088648689646908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71.420552731458145</v>
      </c>
      <c r="BJ29" s="62">
        <f t="shared" si="38"/>
        <v>436.74855282454985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100.32340735080572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5.0224239593057494</v>
      </c>
      <c r="BS29" s="24">
        <f t="shared" si="9"/>
        <v>105.34583131011148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4.3703703703703702</v>
      </c>
      <c r="BY29" s="13">
        <f>IF('Données projet'!$A$114&gt;35,BY28+BX29-CG28,IF(A29&lt;'Données projet'!$A$114,$BV$205^A29,IF(A29='Données projet'!$A$114,'Données projet'!$B$114,BY28+BX29-CG28)))</f>
        <v>98.888465244589028</v>
      </c>
      <c r="BZ29" s="14">
        <f>BY29*VLOOKUP('Données projet'!$B$12,Paramètres!$A$1:$I$89,3,0)*VLOOKUP('Données projet'!$B$12,Paramètres!$A$1:$I$89,5,0)</f>
        <v>59.135302216264243</v>
      </c>
      <c r="CA29" s="14">
        <f t="shared" si="39"/>
        <v>16.949461920575921</v>
      </c>
      <c r="CB29" s="22">
        <f t="shared" si="10"/>
        <v>132.51429753832994</v>
      </c>
      <c r="CC29" s="62">
        <f t="shared" si="11"/>
        <v>425.84763087166323</v>
      </c>
      <c r="CD29" s="62">
        <f ca="1">AVERAGE(OFFSET($CC$3,0,0,'Données projet'!$E$12+1,1))-AVERAGE(OFFSET($H$3,0,0,'Données projet'!$E$12+1,1))</f>
        <v>145.14303899407867</v>
      </c>
      <c r="CE29" s="62">
        <f t="shared" si="40"/>
        <v>137.55906339137317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34.594560000000001</v>
      </c>
      <c r="P30" s="14">
        <f t="shared" si="33"/>
        <v>10.554055336588245</v>
      </c>
      <c r="Q30" s="22">
        <f t="shared" si="2"/>
        <v>78.633838377891195</v>
      </c>
      <c r="R30" s="62">
        <f t="shared" si="0"/>
        <v>371.96717171122452</v>
      </c>
      <c r="S30" s="62">
        <f ca="1">AVERAGE(OFFSET($R$3,0,0,'Données projet'!$E$9+1,1))-AVERAGE(OFFSET($H$3,0,0,'Données projet'!$E$9+1,1))</f>
        <v>98.272553716009838</v>
      </c>
      <c r="T30" s="62">
        <f t="shared" si="34"/>
        <v>68.315893120570763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130.5</v>
      </c>
      <c r="AJ30" s="14">
        <f>AI30*VLOOKUP('Données projet'!$B$10,Paramètres!$A$1:$I$89,3,0)*VLOOKUP('Données projet'!$B$10,Paramètres!$A$1:$I$89,5,0)</f>
        <v>61.073999999999998</v>
      </c>
      <c r="AK30" s="14">
        <f t="shared" si="35"/>
        <v>17.439528890067717</v>
      </c>
      <c r="AL30" s="22">
        <f t="shared" si="4"/>
        <v>136.74439615020125</v>
      </c>
      <c r="AM30" s="62">
        <f t="shared" si="5"/>
        <v>430.07772948353454</v>
      </c>
      <c r="AN30" s="62">
        <f ca="1">AVERAGE(OFFSET($AM$3,0,0,'Données projet'!$E$10+1,1))-AVERAGE(OFFSET($H$3,0,0,'Données projet'!$E$10+1,1))</f>
        <v>85.701306948362742</v>
      </c>
      <c r="AO30" s="62">
        <f t="shared" si="36"/>
        <v>118.59281525447091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1.7835371105638202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1.1240552261849821</v>
      </c>
      <c r="AX30" s="23">
        <f t="shared" si="6"/>
        <v>2.9075923367488024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71.420552731458145</v>
      </c>
      <c r="BJ30" s="62">
        <f t="shared" si="38"/>
        <v>436.74855282454985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98.356126523892769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3.5513900396188842</v>
      </c>
      <c r="BS30" s="24">
        <f t="shared" si="9"/>
        <v>101.90751656351165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>
        <f>VLOOKUP(A30,'Données projet'!$A$113:$I$133,2,0)</f>
        <v>118</v>
      </c>
      <c r="BW30" s="13">
        <f>VLOOKUP(A30,'Données projet'!$A$113:$I$133,9,0)</f>
        <v>4.3703703703703702</v>
      </c>
      <c r="BX30" s="13">
        <f t="array" ref="BX30">INDEX(BW:BW,MIN(IF(ISNUMBER(BW30:BW226),ROW(BW30:BW226),"")))</f>
        <v>4.3703703703703702</v>
      </c>
      <c r="BY30" s="13">
        <f>IF('Données projet'!$A$114&gt;35,BY29+BX30-CG29,IF(A30&lt;'Données projet'!$A$114,$BV$205^A30,IF(A30='Données projet'!$A$114,'Données projet'!$B$114,BY29+BX30-CG29)))</f>
        <v>118</v>
      </c>
      <c r="BZ30" s="14">
        <f>BY30*VLOOKUP('Données projet'!$B$12,Paramètres!$A$1:$I$89,3,0)*VLOOKUP('Données projet'!$B$12,Paramètres!$A$1:$I$89,5,0)</f>
        <v>70.564000000000007</v>
      </c>
      <c r="CA30" s="14">
        <f t="shared" si="39"/>
        <v>19.813453167086163</v>
      </c>
      <c r="CB30" s="22">
        <f t="shared" si="10"/>
        <v>157.40739759934175</v>
      </c>
      <c r="CC30" s="62">
        <f t="shared" si="11"/>
        <v>450.74073093267509</v>
      </c>
      <c r="CD30" s="62">
        <f ca="1">AVERAGE(OFFSET($CC$3,0,0,'Données projet'!$E$12+1,1))-AVERAGE(OFFSET($H$3,0,0,'Données projet'!$E$12+1,1))</f>
        <v>145.14303899407867</v>
      </c>
      <c r="CE30" s="62">
        <f t="shared" si="40"/>
        <v>137.55906339137317</v>
      </c>
      <c r="CF30" s="16">
        <f>IF(ISNA(VLOOKUP(A30,'Données projet'!$A$113:$I$133,3,0)),0,VLOOKUP(A30,'Données projet'!$A$113:$I$133,3,0))</f>
        <v>1</v>
      </c>
      <c r="CG30" s="16">
        <f>IF(ISNA(VLOOKUP(A30,'Données projet'!$A$113:$I$133,4,0)),0,VLOOKUP(A30,'Données projet'!$A$113:$I$133,4,0))</f>
        <v>15</v>
      </c>
      <c r="CH30" s="17">
        <f>IF(ISNA(VLOOKUP(A30,'Données projet'!$A$113:$I$133,5,0)),0%,VLOOKUP(A30,'Données projet'!$A$113:$I$133,5,0)*VLOOKUP('Données projet'!$B$12,Paramètres!$A$1:$I$89,7,0))</f>
        <v>4.5000000000000005E-2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0.9</v>
      </c>
      <c r="CK30" s="23">
        <f>EXP(-LN(2)/35)*CK29+(1-EXP(-LN(2)/35))/(LN(2)/35)*CG30*CH30*VLOOKUP('Données projet'!$B$12,Paramètres!$A$1:$I$89,3,0)*0.475*44/12</f>
        <v>0.53546774243817052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9.1405113379311604</v>
      </c>
      <c r="CN30" s="24">
        <f t="shared" si="12"/>
        <v>9.6759790803693306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38.787839999999996</v>
      </c>
      <c r="P31" s="14">
        <f t="shared" si="33"/>
        <v>11.676790625830154</v>
      </c>
      <c r="Q31" s="22">
        <f t="shared" si="2"/>
        <v>87.892565006654181</v>
      </c>
      <c r="R31" s="62">
        <f t="shared" si="0"/>
        <v>381.22589833998751</v>
      </c>
      <c r="S31" s="62">
        <f ca="1">AVERAGE(OFFSET($R$3,0,0,'Données projet'!$E$9+1,1))-AVERAGE(OFFSET($H$3,0,0,'Données projet'!$E$9+1,1))</f>
        <v>98.272553716009838</v>
      </c>
      <c r="T31" s="62">
        <f t="shared" si="34"/>
        <v>68.315893120570763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137</v>
      </c>
      <c r="AJ31" s="14">
        <f>AI31*VLOOKUP('Données projet'!$B$10,Paramètres!$A$1:$I$89,3,0)*VLOOKUP('Données projet'!$B$10,Paramètres!$A$1:$I$89,5,0)</f>
        <v>64.116</v>
      </c>
      <c r="AK31" s="14">
        <f t="shared" si="35"/>
        <v>18.204870493705258</v>
      </c>
      <c r="AL31" s="22">
        <f t="shared" si="4"/>
        <v>143.37551610986998</v>
      </c>
      <c r="AM31" s="62">
        <f t="shared" si="5"/>
        <v>436.70884944320329</v>
      </c>
      <c r="AN31" s="62">
        <f ca="1">AVERAGE(OFFSET($AM$3,0,0,'Données projet'!$E$10+1,1))-AVERAGE(OFFSET($H$3,0,0,'Données projet'!$E$10+1,1))</f>
        <v>85.701306948362742</v>
      </c>
      <c r="AO31" s="62">
        <f t="shared" si="36"/>
        <v>118.59281525447091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1.7485630356758848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0.79482707286357934</v>
      </c>
      <c r="AX31" s="23">
        <f t="shared" si="6"/>
        <v>2.5433901085394641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71.420552731458145</v>
      </c>
      <c r="BJ31" s="62">
        <f t="shared" si="38"/>
        <v>436.74855282454985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96.427422874072761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2.5112119796528747</v>
      </c>
      <c r="BS31" s="24">
        <f t="shared" si="9"/>
        <v>98.938634853725631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9.6666666666666661</v>
      </c>
      <c r="BY31" s="13">
        <f>IF('Données projet'!$A$114&gt;35,BY30+BX31-CG30,IF(A31&lt;'Données projet'!$A$114,$BV$205^A31,IF(A31='Données projet'!$A$114,'Données projet'!$B$114,BY30+BX31-CG30)))</f>
        <v>112.66666666666667</v>
      </c>
      <c r="BZ31" s="14">
        <f>BY31*VLOOKUP('Données projet'!$B$12,Paramètres!$A$1:$I$89,3,0)*VLOOKUP('Données projet'!$B$12,Paramètres!$A$1:$I$89,5,0)</f>
        <v>67.37466666666667</v>
      </c>
      <c r="CA31" s="14">
        <f t="shared" si="39"/>
        <v>19.020051421525295</v>
      </c>
      <c r="CB31" s="22">
        <f t="shared" si="10"/>
        <v>150.47080067026766</v>
      </c>
      <c r="CC31" s="62">
        <f t="shared" si="11"/>
        <v>443.80413400360101</v>
      </c>
      <c r="CD31" s="62">
        <f ca="1">AVERAGE(OFFSET($CC$3,0,0,'Données projet'!$E$12+1,1))-AVERAGE(OFFSET($H$3,0,0,'Données projet'!$E$12+1,1))</f>
        <v>145.14303899407867</v>
      </c>
      <c r="CE31" s="62">
        <f t="shared" si="40"/>
        <v>137.55906339137317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0.52496754661203149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6.4633175505636462</v>
      </c>
      <c r="CN31" s="24">
        <f t="shared" si="12"/>
        <v>6.9882850971756776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42.981119999999997</v>
      </c>
      <c r="P32" s="14">
        <f t="shared" si="33"/>
        <v>12.785457279569085</v>
      </c>
      <c r="Q32" s="22">
        <f t="shared" si="2"/>
        <v>97.126788761916146</v>
      </c>
      <c r="R32" s="62">
        <f t="shared" si="0"/>
        <v>390.46012209524946</v>
      </c>
      <c r="S32" s="62">
        <f ca="1">AVERAGE(OFFSET($R$3,0,0,'Données projet'!$E$9+1,1))-AVERAGE(OFFSET($H$3,0,0,'Données projet'!$E$9+1,1))</f>
        <v>98.272553716009838</v>
      </c>
      <c r="T32" s="62">
        <f t="shared" si="34"/>
        <v>68.315893120570763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143.5</v>
      </c>
      <c r="AJ32" s="14">
        <f>AI32*VLOOKUP('Données projet'!$B$10,Paramètres!$A$1:$I$89,3,0)*VLOOKUP('Données projet'!$B$10,Paramètres!$A$1:$I$89,5,0)</f>
        <v>67.158000000000001</v>
      </c>
      <c r="AK32" s="14">
        <f t="shared" si="35"/>
        <v>18.965995379979955</v>
      </c>
      <c r="AL32" s="22">
        <f t="shared" si="4"/>
        <v>149.99929195346508</v>
      </c>
      <c r="AM32" s="62">
        <f t="shared" si="5"/>
        <v>443.33262528679836</v>
      </c>
      <c r="AN32" s="62">
        <f ca="1">AVERAGE(OFFSET($AM$3,0,0,'Données projet'!$E$10+1,1))-AVERAGE(OFFSET($H$3,0,0,'Données projet'!$E$10+1,1))</f>
        <v>85.701306948362742</v>
      </c>
      <c r="AO32" s="62">
        <f t="shared" si="36"/>
        <v>118.59281525447091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1.7142747810644225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0.56202761309249105</v>
      </c>
      <c r="AX32" s="23">
        <f t="shared" si="6"/>
        <v>2.2763023941569136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71.420552731458145</v>
      </c>
      <c r="BJ32" s="62">
        <f t="shared" si="38"/>
        <v>436.74855282454985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94.536539926432653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1.7756950198094421</v>
      </c>
      <c r="BS32" s="24">
        <f t="shared" si="9"/>
        <v>96.3122349462421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9.6666666666666661</v>
      </c>
      <c r="BY32" s="13">
        <f>IF('Données projet'!$A$114&gt;35,BY31+BX32-CG31,IF(A32&lt;'Données projet'!$A$114,$BV$205^A32,IF(A32='Données projet'!$A$114,'Données projet'!$B$114,BY31+BX32-CG31)))</f>
        <v>122.33333333333334</v>
      </c>
      <c r="BZ32" s="14">
        <f>BY32*VLOOKUP('Données projet'!$B$12,Paramètres!$A$1:$I$89,3,0)*VLOOKUP('Données projet'!$B$12,Paramètres!$A$1:$I$89,5,0)</f>
        <v>73.155333333333346</v>
      </c>
      <c r="CA32" s="14">
        <f t="shared" si="39"/>
        <v>20.455016056663315</v>
      </c>
      <c r="CB32" s="22">
        <f t="shared" si="10"/>
        <v>163.03802518757752</v>
      </c>
      <c r="CC32" s="62">
        <f t="shared" si="11"/>
        <v>456.3713585209108</v>
      </c>
      <c r="CD32" s="62">
        <f ca="1">AVERAGE(OFFSET($CC$3,0,0,'Données projet'!$E$12+1,1))-AVERAGE(OFFSET($H$3,0,0,'Données projet'!$E$12+1,1))</f>
        <v>145.14303899407867</v>
      </c>
      <c r="CE32" s="62">
        <f t="shared" si="40"/>
        <v>137.55906339137317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0.51467325322155599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4.5702556689655811</v>
      </c>
      <c r="CN32" s="24">
        <f t="shared" si="12"/>
        <v>5.084928922187137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47.174399999999991</v>
      </c>
      <c r="P33" s="14">
        <f t="shared" si="33"/>
        <v>13.881584044427926</v>
      </c>
      <c r="Q33" s="22">
        <f t="shared" si="2"/>
        <v>106.33917221071194</v>
      </c>
      <c r="R33" s="62">
        <f t="shared" si="0"/>
        <v>399.67250554404524</v>
      </c>
      <c r="S33" s="62">
        <f ca="1">AVERAGE(OFFSET($R$3,0,0,'Données projet'!$E$9+1,1))-AVERAGE(OFFSET($H$3,0,0,'Données projet'!$E$9+1,1))</f>
        <v>98.272553716009838</v>
      </c>
      <c r="T33" s="62">
        <f t="shared" si="34"/>
        <v>68.315893120570763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150</v>
      </c>
      <c r="AJ33" s="14">
        <f>AI33*VLOOKUP('Données projet'!$B$10,Paramètres!$A$1:$I$89,3,0)*VLOOKUP('Données projet'!$B$10,Paramètres!$A$1:$I$89,5,0)</f>
        <v>70.2</v>
      </c>
      <c r="AK33" s="14">
        <f t="shared" si="35"/>
        <v>19.723116370112194</v>
      </c>
      <c r="AL33" s="22">
        <f t="shared" si="4"/>
        <v>156.61609434461207</v>
      </c>
      <c r="AM33" s="62">
        <f t="shared" si="5"/>
        <v>449.94942767794538</v>
      </c>
      <c r="AN33" s="62">
        <f ca="1">AVERAGE(OFFSET($AM$3,0,0,'Données projet'!$E$10+1,1))-AVERAGE(OFFSET($H$3,0,0,'Données projet'!$E$10+1,1))</f>
        <v>85.701306948362742</v>
      </c>
      <c r="AO33" s="62">
        <f t="shared" si="36"/>
        <v>118.59281525447091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40</v>
      </c>
      <c r="AR33" s="17">
        <f>IF(ISNA(VLOOKUP(A33,'Données projet'!$A$61:$I$81,5,0)),0%,VLOOKUP(A33,'Données projet'!$A$61:$I$81,5,0)*VLOOKUP('Données projet'!$B$10,Paramètres!$A$1:$I$89,7,0))</f>
        <v>0.16500000000000001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5.7781511881737719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15.234185563218594</v>
      </c>
      <c r="AX33" s="23">
        <f t="shared" si="6"/>
        <v>21.012336751392365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71.420552731458145</v>
      </c>
      <c r="BJ33" s="62">
        <f t="shared" si="38"/>
        <v>436.74855282454985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92.682736040071049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1.2556059898264373</v>
      </c>
      <c r="BS33" s="24">
        <f t="shared" si="9"/>
        <v>93.938342029897484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132</v>
      </c>
      <c r="BW33" s="13">
        <f>VLOOKUP(A33,'Données projet'!$A$113:$I$133,9,0)</f>
        <v>9.6666666666666661</v>
      </c>
      <c r="BX33" s="13">
        <f t="array" ref="BX33">INDEX(BW:BW,MIN(IF(ISNUMBER(BW33:BW229),ROW(BW33:BW229),"")))</f>
        <v>9.6666666666666661</v>
      </c>
      <c r="BY33" s="13">
        <f>IF('Données projet'!$A$114&gt;35,BY32+BX33-CG32,IF(A33&lt;'Données projet'!$A$114,$BV$205^A33,IF(A33='Données projet'!$A$114,'Données projet'!$B$114,BY32+BX33-CG32)))</f>
        <v>132</v>
      </c>
      <c r="BZ33" s="14">
        <f>BY33*VLOOKUP('Données projet'!$B$12,Paramètres!$A$1:$I$89,3,0)*VLOOKUP('Données projet'!$B$12,Paramètres!$A$1:$I$89,5,0)</f>
        <v>78.936000000000007</v>
      </c>
      <c r="CA33" s="14">
        <f t="shared" si="39"/>
        <v>21.876828219051273</v>
      </c>
      <c r="CB33" s="22">
        <f t="shared" si="10"/>
        <v>175.5823424815143</v>
      </c>
      <c r="CC33" s="62">
        <f t="shared" si="11"/>
        <v>468.91567581484765</v>
      </c>
      <c r="CD33" s="62">
        <f ca="1">AVERAGE(OFFSET($CC$3,0,0,'Données projet'!$E$12+1,1))-AVERAGE(OFFSET($H$3,0,0,'Données projet'!$E$12+1,1))</f>
        <v>145.14303899407867</v>
      </c>
      <c r="CE33" s="62">
        <f t="shared" si="40"/>
        <v>137.55906339137317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13</v>
      </c>
      <c r="CH33" s="17">
        <f>IF(ISNA(VLOOKUP(A33,'Données projet'!$A$113:$I$133,5,0)),0%,VLOOKUP(A33,'Données projet'!$A$113:$I$133,5,0)*VLOOKUP('Données projet'!$B$12,Paramètres!$A$1:$I$89,7,0))</f>
        <v>0.13500000000000001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0.7</v>
      </c>
      <c r="CK33" s="23">
        <f>EXP(-LN(2)/35)*CK32+(1-EXP(-LN(2)/35))/(LN(2)/35)*CG33*CH33*VLOOKUP('Données projet'!$B$12,Paramètres!$A$1:$I$89,3,0)*0.475*44/12</f>
        <v>1.8967969549848118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9.3930404919613455</v>
      </c>
      <c r="CN33" s="24">
        <f t="shared" si="12"/>
        <v>11.289837446946157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2.4</v>
      </c>
      <c r="N34" s="14">
        <f>IF('Données projet'!$A$36&gt;35,N33+M34-V33,IF(A34&lt;'Données projet'!$A$36,$K$205^A34,IF(A34='Données projet'!$A$36,'Données projet'!$B$36,N33+M34-V33)))</f>
        <v>56.399999999999984</v>
      </c>
      <c r="O34" s="14">
        <f>N34*VLOOKUP('Données projet'!$B$9,Paramètres!$A$1:$I$89,3,0)*VLOOKUP('Données projet'!$B$9,Paramètres!$A$1:$I$89,5,0)</f>
        <v>49.271039999999992</v>
      </c>
      <c r="P34" s="14">
        <f t="shared" si="33"/>
        <v>14.425341953309852</v>
      </c>
      <c r="Q34" s="22">
        <f t="shared" si="2"/>
        <v>110.93786523534799</v>
      </c>
      <c r="R34" s="62">
        <f t="shared" si="0"/>
        <v>404.27119856868131</v>
      </c>
      <c r="S34" s="62">
        <f ca="1">AVERAGE(OFFSET($R$3,0,0,'Données projet'!$E$9+1,1))-AVERAGE(OFFSET($H$3,0,0,'Données projet'!$E$9+1,1))</f>
        <v>98.272553716009838</v>
      </c>
      <c r="T34" s="62">
        <f t="shared" si="34"/>
        <v>68.315893120570763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117</v>
      </c>
      <c r="AJ34" s="14">
        <f>AI34*VLOOKUP('Données projet'!$B$10,Paramètres!$A$1:$I$89,3,0)*VLOOKUP('Données projet'!$B$10,Paramètres!$A$1:$I$89,5,0)</f>
        <v>54.756</v>
      </c>
      <c r="AK34" s="14">
        <f t="shared" si="35"/>
        <v>15.835447037242044</v>
      </c>
      <c r="AL34" s="22">
        <f t="shared" si="4"/>
        <v>122.94677025652992</v>
      </c>
      <c r="AM34" s="62">
        <f t="shared" si="5"/>
        <v>416.28010358986324</v>
      </c>
      <c r="AN34" s="62">
        <f ca="1">AVERAGE(OFFSET($AM$3,0,0,'Données projet'!$E$10+1,1))-AVERAGE(OFFSET($H$3,0,0,'Données projet'!$E$10+1,1))</f>
        <v>85.701306948362742</v>
      </c>
      <c r="AO34" s="62">
        <f t="shared" si="36"/>
        <v>118.59281525447091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5.6648451676979112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10.772195917606073</v>
      </c>
      <c r="AX34" s="23">
        <f t="shared" si="6"/>
        <v>16.437041085303985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71.420552731458145</v>
      </c>
      <c r="BJ34" s="62">
        <f t="shared" si="38"/>
        <v>436.74855282454985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90.865284117212283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0.88784750990472106</v>
      </c>
      <c r="BS34" s="24">
        <f t="shared" si="9"/>
        <v>91.753131627117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</v>
      </c>
      <c r="BY34" s="13">
        <f>IF('Données projet'!$A$114&gt;35,BY33+BX34-CG33,IF(A34&lt;'Données projet'!$A$114,$BV$205^A34,IF(A34='Données projet'!$A$114,'Données projet'!$B$114,BY33+BX34-CG33)))</f>
        <v>129</v>
      </c>
      <c r="BZ34" s="14">
        <f>BY34*VLOOKUP('Données projet'!$B$12,Paramètres!$A$1:$I$89,3,0)*VLOOKUP('Données projet'!$B$12,Paramètres!$A$1:$I$89,5,0)</f>
        <v>77.14200000000001</v>
      </c>
      <c r="CA34" s="14">
        <f t="shared" si="39"/>
        <v>21.436915648510755</v>
      </c>
      <c r="CB34" s="22">
        <f t="shared" si="10"/>
        <v>171.69161142115624</v>
      </c>
      <c r="CC34" s="62">
        <f t="shared" si="11"/>
        <v>465.02494475448952</v>
      </c>
      <c r="CD34" s="62">
        <f ca="1">AVERAGE(OFFSET($CC$3,0,0,'Données projet'!$E$12+1,1))-AVERAGE(OFFSET($H$3,0,0,'Données projet'!$E$12+1,1))</f>
        <v>145.14303899407867</v>
      </c>
      <c r="CE34" s="62">
        <f t="shared" si="40"/>
        <v>137.55906339137317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1.8596019236294647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6.6418826278256926</v>
      </c>
      <c r="CN34" s="24">
        <f t="shared" si="12"/>
        <v>8.5014845514551567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2.4</v>
      </c>
      <c r="N35" s="14">
        <f>IF('Données projet'!$A$36&gt;35,N34+M35-V34,IF(A35&lt;'Données projet'!$A$36,$K$205^A35,IF(A35='Données projet'!$A$36,'Données projet'!$B$36,N34+M35-V34)))</f>
        <v>58.799999999999983</v>
      </c>
      <c r="O35" s="14">
        <f>N35*VLOOKUP('Données projet'!$B$9,Paramètres!$A$1:$I$89,3,0)*VLOOKUP('Données projet'!$B$9,Paramètres!$A$1:$I$89,5,0)</f>
        <v>51.367679999999986</v>
      </c>
      <c r="P35" s="14">
        <f t="shared" si="33"/>
        <v>14.966412327909149</v>
      </c>
      <c r="Q35" s="22">
        <f t="shared" ref="Q35:Q66" si="53">(O35+P35)*0.475*44/12</f>
        <v>115.53187747110839</v>
      </c>
      <c r="R35" s="62">
        <f t="shared" si="0"/>
        <v>408.86521080444169</v>
      </c>
      <c r="S35" s="62">
        <f ca="1">AVERAGE(OFFSET($R$3,0,0,'Données projet'!$E$9+1,1))-AVERAGE(OFFSET($H$3,0,0,'Données projet'!$E$9+1,1))</f>
        <v>98.272553716009838</v>
      </c>
      <c r="T35" s="62">
        <f t="shared" si="34"/>
        <v>68.315893120570763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124</v>
      </c>
      <c r="AJ35" s="14">
        <f>AI35*VLOOKUP('Données projet'!$B$10,Paramètres!$A$1:$I$89,3,0)*VLOOKUP('Données projet'!$B$10,Paramètres!$A$1:$I$89,5,0)</f>
        <v>58.032000000000004</v>
      </c>
      <c r="AK35" s="14">
        <f t="shared" si="35"/>
        <v>16.669735221992795</v>
      </c>
      <c r="AL35" s="22">
        <f t="shared" si="4"/>
        <v>130.10552217830414</v>
      </c>
      <c r="AM35" s="62">
        <f t="shared" si="5"/>
        <v>423.43885551163748</v>
      </c>
      <c r="AN35" s="62">
        <f ca="1">AVERAGE(OFFSET($AM$3,0,0,'Données projet'!$E$10+1,1))-AVERAGE(OFFSET($H$3,0,0,'Données projet'!$E$10+1,1))</f>
        <v>85.701306948362742</v>
      </c>
      <c r="AO35" s="62">
        <f t="shared" si="36"/>
        <v>118.59281525447091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5.5537610091737335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7.6170927816092986</v>
      </c>
      <c r="AX35" s="23">
        <f t="shared" si="6"/>
        <v>13.170853790783031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71.420552731458145</v>
      </c>
      <c r="BJ35" s="62">
        <f t="shared" si="38"/>
        <v>436.74855282454985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89.083471318024564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0.62780299491321867</v>
      </c>
      <c r="BS35" s="24">
        <f t="shared" si="9"/>
        <v>89.711274312937789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</v>
      </c>
      <c r="BY35" s="13">
        <f>IF('Données projet'!$A$114&gt;35,BY34+BX35-CG34,IF(A35&lt;'Données projet'!$A$114,$BV$205^A35,IF(A35='Données projet'!$A$114,'Données projet'!$B$114,BY34+BX35-CG34)))</f>
        <v>139</v>
      </c>
      <c r="BZ35" s="14">
        <f>BY35*VLOOKUP('Données projet'!$B$12,Paramètres!$A$1:$I$89,3,0)*VLOOKUP('Données projet'!$B$12,Paramètres!$A$1:$I$89,5,0)</f>
        <v>83.122000000000014</v>
      </c>
      <c r="CA35" s="14">
        <f t="shared" si="39"/>
        <v>22.898820278178533</v>
      </c>
      <c r="CB35" s="22">
        <f t="shared" si="10"/>
        <v>184.65292865116098</v>
      </c>
      <c r="CC35" s="62">
        <f t="shared" si="11"/>
        <v>477.98626198449426</v>
      </c>
      <c r="CD35" s="62">
        <f ca="1">AVERAGE(OFFSET($CC$3,0,0,'Données projet'!$E$12+1,1))-AVERAGE(OFFSET($H$3,0,0,'Données projet'!$E$12+1,1))</f>
        <v>145.14303899407867</v>
      </c>
      <c r="CE35" s="62">
        <f t="shared" si="40"/>
        <v>137.55906339137317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1.823136264152267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4.6965202459806736</v>
      </c>
      <c r="CN35" s="24">
        <f t="shared" si="12"/>
        <v>6.5196565101329407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2.4</v>
      </c>
      <c r="N36" s="14">
        <f>IF('Données projet'!$A$36&gt;35,N35+M36-V35,IF(A36&lt;'Données projet'!$A$36,$K$205^A36,IF(A36='Données projet'!$A$36,'Données projet'!$B$36,N35+M36-V35)))</f>
        <v>61.199999999999982</v>
      </c>
      <c r="O36" s="14">
        <f>N36*VLOOKUP('Données projet'!$B$9,Paramètres!$A$1:$I$89,3,0)*VLOOKUP('Données projet'!$B$9,Paramètres!$A$1:$I$89,5,0)</f>
        <v>53.464319999999987</v>
      </c>
      <c r="P36" s="14">
        <f t="shared" si="33"/>
        <v>15.50491741077613</v>
      </c>
      <c r="Q36" s="22">
        <f t="shared" si="53"/>
        <v>120.1214218237684</v>
      </c>
      <c r="R36" s="62">
        <f t="shared" si="0"/>
        <v>413.45475515710172</v>
      </c>
      <c r="S36" s="62">
        <f ca="1">AVERAGE(OFFSET($R$3,0,0,'Données projet'!$E$9+1,1))-AVERAGE(OFFSET($H$3,0,0,'Données projet'!$E$9+1,1))</f>
        <v>98.272553716009838</v>
      </c>
      <c r="T36" s="62">
        <f t="shared" si="34"/>
        <v>68.315893120570763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131</v>
      </c>
      <c r="AJ36" s="14">
        <f>AI36*VLOOKUP('Données projet'!$B$10,Paramètres!$A$1:$I$89,3,0)*VLOOKUP('Données projet'!$B$10,Paramètres!$A$1:$I$89,5,0)</f>
        <v>61.308</v>
      </c>
      <c r="AK36" s="14">
        <f t="shared" si="35"/>
        <v>17.498556232826882</v>
      </c>
      <c r="AL36" s="22">
        <f t="shared" si="4"/>
        <v>137.25475210550681</v>
      </c>
      <c r="AM36" s="62">
        <f t="shared" si="5"/>
        <v>430.58808543884015</v>
      </c>
      <c r="AN36" s="62">
        <f ca="1">AVERAGE(OFFSET($AM$3,0,0,'Données projet'!$E$10+1,1))-AVERAGE(OFFSET($H$3,0,0,'Données projet'!$E$10+1,1))</f>
        <v>85.701306948362742</v>
      </c>
      <c r="AO36" s="62">
        <f t="shared" si="36"/>
        <v>118.59281525447091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5.4448551432435686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5.3860979588030373</v>
      </c>
      <c r="AX36" s="23">
        <f t="shared" si="6"/>
        <v>10.830953102046607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71.420552731458145</v>
      </c>
      <c r="BJ36" s="62">
        <f t="shared" si="38"/>
        <v>436.74855282454985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87.336598781030418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0.44392375495236053</v>
      </c>
      <c r="BS36" s="24">
        <f t="shared" si="9"/>
        <v>87.780522535982783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</v>
      </c>
      <c r="BY36" s="13">
        <f>IF('Données projet'!$A$114&gt;35,BY35+BX36-CG35,IF(A36&lt;'Données projet'!$A$114,$BV$205^A36,IF(A36='Données projet'!$A$114,'Données projet'!$B$114,BY35+BX36-CG35)))</f>
        <v>149</v>
      </c>
      <c r="BZ36" s="14">
        <f>BY36*VLOOKUP('Données projet'!$B$12,Paramètres!$A$1:$I$89,3,0)*VLOOKUP('Données projet'!$B$12,Paramètres!$A$1:$I$89,5,0)</f>
        <v>89.102000000000018</v>
      </c>
      <c r="CA36" s="14">
        <f t="shared" si="39"/>
        <v>24.348522781128082</v>
      </c>
      <c r="CB36" s="22">
        <f t="shared" si="10"/>
        <v>197.5929938437981</v>
      </c>
      <c r="CC36" s="62">
        <f t="shared" si="11"/>
        <v>490.92632717713138</v>
      </c>
      <c r="CD36" s="62">
        <f ca="1">AVERAGE(OFFSET($CC$3,0,0,'Données projet'!$E$12+1,1))-AVERAGE(OFFSET($H$3,0,0,'Données projet'!$E$12+1,1))</f>
        <v>145.14303899407867</v>
      </c>
      <c r="CE36" s="62">
        <f t="shared" si="40"/>
        <v>137.55906339137317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1.7873856740155609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3.3209413139128467</v>
      </c>
      <c r="CN36" s="24">
        <f t="shared" si="12"/>
        <v>5.1083269879284074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2.4</v>
      </c>
      <c r="N37" s="14">
        <f>IF('Données projet'!$A$36&gt;35,N36+M37-V36,IF(A37&lt;'Données projet'!$A$36,$K$205^A37,IF(A37='Données projet'!$A$36,'Données projet'!$B$36,N36+M37-V36)))</f>
        <v>63.59999999999998</v>
      </c>
      <c r="O37" s="14">
        <f>N37*VLOOKUP('Données projet'!$B$9,Paramètres!$A$1:$I$89,3,0)*VLOOKUP('Données projet'!$B$9,Paramètres!$A$1:$I$89,5,0)</f>
        <v>55.560959999999987</v>
      </c>
      <c r="P37" s="14">
        <f t="shared" si="33"/>
        <v>16.040969313984579</v>
      </c>
      <c r="Q37" s="22">
        <f t="shared" si="53"/>
        <v>124.7066935551898</v>
      </c>
      <c r="R37" s="62">
        <f t="shared" si="0"/>
        <v>418.04002688852313</v>
      </c>
      <c r="S37" s="62">
        <f ca="1">AVERAGE(OFFSET($R$3,0,0,'Données projet'!$E$9+1,1))-AVERAGE(OFFSET($H$3,0,0,'Données projet'!$E$9+1,1))</f>
        <v>98.272553716009838</v>
      </c>
      <c r="T37" s="62">
        <f t="shared" si="34"/>
        <v>68.315893120570763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138</v>
      </c>
      <c r="AJ37" s="14">
        <f>AI37*VLOOKUP('Données projet'!$B$10,Paramètres!$A$1:$I$89,3,0)*VLOOKUP('Données projet'!$B$10,Paramètres!$A$1:$I$89,5,0)</f>
        <v>64.584000000000003</v>
      </c>
      <c r="AK37" s="14">
        <f t="shared" si="35"/>
        <v>18.322235519392734</v>
      </c>
      <c r="AL37" s="22">
        <f t="shared" si="4"/>
        <v>144.39502686294233</v>
      </c>
      <c r="AM37" s="62">
        <f t="shared" si="5"/>
        <v>437.72836019627562</v>
      </c>
      <c r="AN37" s="62">
        <f ca="1">AVERAGE(OFFSET($AM$3,0,0,'Données projet'!$E$10+1,1))-AVERAGE(OFFSET($H$3,0,0,'Données projet'!$E$10+1,1))</f>
        <v>85.701306948362742</v>
      </c>
      <c r="AO37" s="62">
        <f t="shared" si="36"/>
        <v>118.59281525447091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5.3380848549182751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3.8085463908046497</v>
      </c>
      <c r="AX37" s="23">
        <f t="shared" si="6"/>
        <v>9.1466312457229257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71.420552731458145</v>
      </c>
      <c r="BJ37" s="62">
        <f t="shared" si="38"/>
        <v>436.74855282454985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85.623981348999692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0.31390149745660934</v>
      </c>
      <c r="BS37" s="24">
        <f t="shared" si="9"/>
        <v>85.937882846456304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</v>
      </c>
      <c r="BY37" s="13">
        <f>IF('Données projet'!$A$114&gt;35,BY36+BX37-CG36,IF(A37&lt;'Données projet'!$A$114,$BV$205^A37,IF(A37='Données projet'!$A$114,'Données projet'!$B$114,BY36+BX37-CG36)))</f>
        <v>159</v>
      </c>
      <c r="BZ37" s="14">
        <f>BY37*VLOOKUP('Données projet'!$B$12,Paramètres!$A$1:$I$89,3,0)*VLOOKUP('Données projet'!$B$12,Paramètres!$A$1:$I$89,5,0)</f>
        <v>95.082000000000008</v>
      </c>
      <c r="CA37" s="14">
        <f t="shared" si="39"/>
        <v>25.786935269387122</v>
      </c>
      <c r="CB37" s="22">
        <f t="shared" si="10"/>
        <v>210.51339559418258</v>
      </c>
      <c r="CC37" s="62">
        <f t="shared" si="11"/>
        <v>503.84672892751587</v>
      </c>
      <c r="CD37" s="62">
        <f ca="1">AVERAGE(OFFSET($CC$3,0,0,'Données projet'!$E$12+1,1))-AVERAGE(OFFSET($H$3,0,0,'Données projet'!$E$12+1,1))</f>
        <v>145.14303899407867</v>
      </c>
      <c r="CE37" s="62">
        <f t="shared" si="40"/>
        <v>137.55906339137317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1.7523361311457288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2.3482601229903373</v>
      </c>
      <c r="CN37" s="24">
        <f t="shared" si="12"/>
        <v>4.1005962541360663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66</v>
      </c>
      <c r="L38" s="13">
        <f>VLOOKUP(A38,'Données projet'!$A$35:$I$55,9,0)</f>
        <v>2.4</v>
      </c>
      <c r="M38" s="13">
        <f t="array" ref="M38">INDEX(L:L,MIN(IF(ISNUMBER(L38:L234),ROW(L38:L234),"")))</f>
        <v>2.4</v>
      </c>
      <c r="N38" s="14">
        <f>IF('Données projet'!$A$36&gt;35,N37+M38-V37,IF(A38&lt;'Données projet'!$A$36,$K$205^A38,IF(A38='Données projet'!$A$36,'Données projet'!$B$36,N37+M38-V37)))</f>
        <v>65.999999999999986</v>
      </c>
      <c r="O38" s="14">
        <f>N38*VLOOKUP('Données projet'!$B$9,Paramètres!$A$1:$I$89,3,0)*VLOOKUP('Données projet'!$B$9,Paramètres!$A$1:$I$89,5,0)</f>
        <v>57.657599999999995</v>
      </c>
      <c r="P38" s="14">
        <f t="shared" si="33"/>
        <v>16.574671209026025</v>
      </c>
      <c r="Q38" s="22">
        <f t="shared" si="53"/>
        <v>129.28787235572034</v>
      </c>
      <c r="R38" s="62">
        <f t="shared" si="0"/>
        <v>422.62120568905368</v>
      </c>
      <c r="S38" s="62">
        <f ca="1">AVERAGE(OFFSET($R$3,0,0,'Données projet'!$E$9+1,1))-AVERAGE(OFFSET($H$3,0,0,'Données projet'!$E$9+1,1))</f>
        <v>98.272553716009838</v>
      </c>
      <c r="T38" s="62">
        <f t="shared" si="34"/>
        <v>68.315893120570763</v>
      </c>
      <c r="U38" s="16">
        <f>IF(ISNA(VLOOKUP(A38,'Données projet'!$A$35:$I$55,3,0)),0,VLOOKUP(A38,'Données projet'!$A$35:$I$55,3,0))</f>
        <v>1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145</v>
      </c>
      <c r="AJ38" s="14">
        <f>AI38*VLOOKUP('Données projet'!$B$10,Paramètres!$A$1:$I$89,3,0)*VLOOKUP('Données projet'!$B$10,Paramètres!$A$1:$I$89,5,0)</f>
        <v>67.86</v>
      </c>
      <c r="AK38" s="14">
        <f t="shared" si="35"/>
        <v>19.141063649731766</v>
      </c>
      <c r="AL38" s="22">
        <f t="shared" si="4"/>
        <v>151.52685252328283</v>
      </c>
      <c r="AM38" s="62">
        <f t="shared" si="5"/>
        <v>444.86018585661611</v>
      </c>
      <c r="AN38" s="62">
        <f ca="1">AVERAGE(OFFSET($AM$3,0,0,'Données projet'!$E$10+1,1))-AVERAGE(OFFSET($H$3,0,0,'Données projet'!$E$10+1,1))</f>
        <v>85.701306948362742</v>
      </c>
      <c r="AO38" s="62">
        <f t="shared" si="36"/>
        <v>118.59281525447091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5.2334082668235951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2.6930489794015191</v>
      </c>
      <c r="AX38" s="23">
        <f t="shared" si="6"/>
        <v>7.9264572462251142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71.420552731458145</v>
      </c>
      <c r="BJ38" s="62">
        <f t="shared" si="38"/>
        <v>436.74855282454985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83.944947300217592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0.22196187747618026</v>
      </c>
      <c r="BS38" s="24">
        <f t="shared" si="9"/>
        <v>84.166909177693768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169</v>
      </c>
      <c r="BW38" s="13">
        <f>VLOOKUP(A38,'Données projet'!$A$113:$I$133,9,0)</f>
        <v>10</v>
      </c>
      <c r="BX38" s="13">
        <f t="array" ref="BX38">INDEX(BW:BW,MIN(IF(ISNUMBER(BW38:BW234),ROW(BW38:BW234),"")))</f>
        <v>10</v>
      </c>
      <c r="BY38" s="13">
        <f>IF('Données projet'!$A$114&gt;35,BY37+BX38-CG37,IF(A38&lt;'Données projet'!$A$114,$BV$205^A38,IF(A38='Données projet'!$A$114,'Données projet'!$B$114,BY37+BX38-CG37)))</f>
        <v>169</v>
      </c>
      <c r="BZ38" s="14">
        <f>BY38*VLOOKUP('Données projet'!$B$12,Paramètres!$A$1:$I$89,3,0)*VLOOKUP('Données projet'!$B$12,Paramètres!$A$1:$I$89,5,0)</f>
        <v>101.06200000000001</v>
      </c>
      <c r="CA38" s="14">
        <f t="shared" si="39"/>
        <v>27.214848638810562</v>
      </c>
      <c r="CB38" s="22">
        <f t="shared" si="10"/>
        <v>223.41551137926174</v>
      </c>
      <c r="CC38" s="62">
        <f t="shared" si="11"/>
        <v>516.74884471259509</v>
      </c>
      <c r="CD38" s="62">
        <f ca="1">AVERAGE(OFFSET($CC$3,0,0,'Données projet'!$E$12+1,1))-AVERAGE(OFFSET($H$3,0,0,'Données projet'!$E$12+1,1))</f>
        <v>145.14303899407867</v>
      </c>
      <c r="CE38" s="62">
        <f t="shared" si="40"/>
        <v>137.55906339137317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23</v>
      </c>
      <c r="CH38" s="17">
        <f>IF(ISNA(VLOOKUP(A38,'Données projet'!$A$113:$I$133,5,0)),0%,VLOOKUP(A38,'Données projet'!$A$113:$I$133,5,0)*VLOOKUP('Données projet'!$B$12,Paramètres!$A$1:$I$89,7,0))</f>
        <v>0.22500000000000001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0.5</v>
      </c>
      <c r="CK38" s="23">
        <f>EXP(-LN(2)/35)*CK37+(1-EXP(-LN(2)/35))/(LN(2)/35)*CG38*CH38*VLOOKUP('Données projet'!$B$12,Paramètres!$A$1:$I$89,3,0)*0.475*44/12</f>
        <v>5.823226580459437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9.4468321670459297</v>
      </c>
      <c r="CN38" s="24">
        <f t="shared" si="12"/>
        <v>15.270058747505367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5.2</v>
      </c>
      <c r="N39" s="14">
        <f>IF('Données projet'!$A$36&gt;35,N38+M39-V38,IF(A39&lt;'Données projet'!$A$36,$K$205^A39,IF(A39='Données projet'!$A$36,'Données projet'!$B$36,N38+M39-V38)))</f>
        <v>58.199999999999989</v>
      </c>
      <c r="O39" s="14">
        <f>N39*VLOOKUP('Données projet'!$B$9,Paramètres!$A$1:$I$89,3,0)*VLOOKUP('Données projet'!$B$9,Paramètres!$A$1:$I$89,5,0)</f>
        <v>50.843519999999998</v>
      </c>
      <c r="P39" s="14">
        <f t="shared" si="33"/>
        <v>14.831389822344645</v>
      </c>
      <c r="Q39" s="22">
        <f t="shared" si="53"/>
        <v>114.38380127391692</v>
      </c>
      <c r="R39" s="62">
        <f t="shared" si="0"/>
        <v>407.71713460725022</v>
      </c>
      <c r="S39" s="62">
        <f ca="1">AVERAGE(OFFSET($R$3,0,0,'Données projet'!$E$9+1,1))-AVERAGE(OFFSET($H$3,0,0,'Données projet'!$E$9+1,1))</f>
        <v>98.272553716009838</v>
      </c>
      <c r="T39" s="62">
        <f t="shared" si="34"/>
        <v>68.315893120570763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152</v>
      </c>
      <c r="AJ39" s="14">
        <f>AI39*VLOOKUP('Données projet'!$B$10,Paramètres!$A$1:$I$89,3,0)*VLOOKUP('Données projet'!$B$10,Paramètres!$A$1:$I$89,5,0)</f>
        <v>71.135999999999996</v>
      </c>
      <c r="AK39" s="14">
        <f t="shared" si="35"/>
        <v>19.955301551927469</v>
      </c>
      <c r="AL39" s="22">
        <f t="shared" si="4"/>
        <v>158.65068353627368</v>
      </c>
      <c r="AM39" s="62">
        <f t="shared" si="5"/>
        <v>451.98401686960699</v>
      </c>
      <c r="AN39" s="62">
        <f ca="1">AVERAGE(OFFSET($AM$3,0,0,'Données projet'!$E$10+1,1))-AVERAGE(OFFSET($H$3,0,0,'Données projet'!$E$10+1,1))</f>
        <v>85.701306948362742</v>
      </c>
      <c r="AO39" s="62">
        <f t="shared" si="36"/>
        <v>118.59281525447091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5.1307843227750372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1.9042731954023253</v>
      </c>
      <c r="AX39" s="23">
        <f t="shared" si="6"/>
        <v>7.0350575181773625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71.420552731458145</v>
      </c>
      <c r="BJ39" s="62">
        <f t="shared" si="38"/>
        <v>436.74855282454985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82.298838085022467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0.15695074872830467</v>
      </c>
      <c r="BS39" s="24">
        <f t="shared" si="9"/>
        <v>82.455788833750773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12.4</v>
      </c>
      <c r="BY39" s="13">
        <f>IF('Données projet'!$A$114&gt;35,BY38+BX39-CG38,IF(A39&lt;'Données projet'!$A$114,$BV$205^A39,IF(A39='Données projet'!$A$114,'Données projet'!$B$114,BY38+BX39-CG38)))</f>
        <v>158.4</v>
      </c>
      <c r="BZ39" s="14">
        <f>BY39*VLOOKUP('Données projet'!$B$12,Paramètres!$A$1:$I$89,3,0)*VLOOKUP('Données projet'!$B$12,Paramètres!$A$1:$I$89,5,0)</f>
        <v>94.723200000000006</v>
      </c>
      <c r="CA39" s="14">
        <f t="shared" si="39"/>
        <v>25.700933959119112</v>
      </c>
      <c r="CB39" s="22">
        <f t="shared" si="10"/>
        <v>209.7386999787991</v>
      </c>
      <c r="CC39" s="62">
        <f t="shared" si="11"/>
        <v>503.07203331213242</v>
      </c>
      <c r="CD39" s="62">
        <f ca="1">AVERAGE(OFFSET($CC$3,0,0,'Données projet'!$E$12+1,1))-AVERAGE(OFFSET($H$3,0,0,'Données projet'!$E$12+1,1))</f>
        <v>145.14303899407867</v>
      </c>
      <c r="CE39" s="62">
        <f t="shared" si="40"/>
        <v>137.55906339137317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5.7090366590341288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6.6799190860493853</v>
      </c>
      <c r="CN39" s="24">
        <f t="shared" si="12"/>
        <v>12.388955745083514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5.2</v>
      </c>
      <c r="N40" s="14">
        <f>IF('Données projet'!$A$36&gt;35,N39+M40-V39,IF(A40&lt;'Données projet'!$A$36,$K$205^A40,IF(A40='Données projet'!$A$36,'Données projet'!$B$36,N39+M40-V39)))</f>
        <v>63.399999999999991</v>
      </c>
      <c r="O40" s="14">
        <f>N40*VLOOKUP('Données projet'!$B$9,Paramètres!$A$1:$I$89,3,0)*VLOOKUP('Données projet'!$B$9,Paramètres!$A$1:$I$89,5,0)</f>
        <v>55.386240000000001</v>
      </c>
      <c r="P40" s="14">
        <f t="shared" si="33"/>
        <v>15.996389447319554</v>
      </c>
      <c r="Q40" s="22">
        <f t="shared" si="53"/>
        <v>124.32474628741488</v>
      </c>
      <c r="R40" s="62">
        <f t="shared" si="0"/>
        <v>417.6580796207482</v>
      </c>
      <c r="S40" s="62">
        <f ca="1">AVERAGE(OFFSET($R$3,0,0,'Données projet'!$E$9+1,1))-AVERAGE(OFFSET($H$3,0,0,'Données projet'!$E$9+1,1))</f>
        <v>98.272553716009838</v>
      </c>
      <c r="T40" s="62">
        <f t="shared" si="34"/>
        <v>68.315893120570763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159</v>
      </c>
      <c r="AJ40" s="14">
        <f>AI40*VLOOKUP('Données projet'!$B$10,Paramètres!$A$1:$I$89,3,0)*VLOOKUP('Données projet'!$B$10,Paramètres!$A$1:$I$89,5,0)</f>
        <v>74.411999999999992</v>
      </c>
      <c r="AK40" s="14">
        <f t="shared" si="35"/>
        <v>20.765184762876824</v>
      </c>
      <c r="AL40" s="22">
        <f t="shared" si="4"/>
        <v>165.76693012867713</v>
      </c>
      <c r="AM40" s="62">
        <f t="shared" si="5"/>
        <v>459.10026346201045</v>
      </c>
      <c r="AN40" s="62">
        <f ca="1">AVERAGE(OFFSET($AM$3,0,0,'Données projet'!$E$10+1,1))-AVERAGE(OFFSET($H$3,0,0,'Données projet'!$E$10+1,1))</f>
        <v>85.701306948362742</v>
      </c>
      <c r="AO40" s="62">
        <f t="shared" si="36"/>
        <v>118.59281525447091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5.0301727716748461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1.3465244897007598</v>
      </c>
      <c r="AX40" s="23">
        <f t="shared" si="6"/>
        <v>6.3766972613756057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71.420552731458145</v>
      </c>
      <c r="BJ40" s="62">
        <f t="shared" si="38"/>
        <v>436.74855282454985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80.685008067509827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0.11098093873809013</v>
      </c>
      <c r="BS40" s="24">
        <f t="shared" si="9"/>
        <v>80.795989006247922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12.4</v>
      </c>
      <c r="BY40" s="13">
        <f>IF('Données projet'!$A$114&gt;35,BY39+BX40-CG39,IF(A40&lt;'Données projet'!$A$114,$BV$205^A40,IF(A40='Données projet'!$A$114,'Données projet'!$B$114,BY39+BX40-CG39)))</f>
        <v>170.8</v>
      </c>
      <c r="BZ40" s="14">
        <f>BY40*VLOOKUP('Données projet'!$B$12,Paramètres!$A$1:$I$89,3,0)*VLOOKUP('Données projet'!$B$12,Paramètres!$A$1:$I$89,5,0)</f>
        <v>102.13840000000002</v>
      </c>
      <c r="CA40" s="14">
        <f t="shared" si="39"/>
        <v>27.470812821300004</v>
      </c>
      <c r="CB40" s="22">
        <f t="shared" si="10"/>
        <v>225.7360456637642</v>
      </c>
      <c r="CC40" s="62">
        <f t="shared" si="11"/>
        <v>519.06937899709749</v>
      </c>
      <c r="CD40" s="62">
        <f ca="1">AVERAGE(OFFSET($CC$3,0,0,'Données projet'!$E$12+1,1))-AVERAGE(OFFSET($H$3,0,0,'Données projet'!$E$12+1,1))</f>
        <v>145.14303899407867</v>
      </c>
      <c r="CE40" s="62">
        <f t="shared" si="40"/>
        <v>137.55906339137317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5.5970859323189961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4.7234160835229657</v>
      </c>
      <c r="CN40" s="24">
        <f t="shared" si="12"/>
        <v>10.320502015841962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5.2</v>
      </c>
      <c r="N41" s="14">
        <f>IF('Données projet'!$A$36&gt;35,N40+M41-V40,IF(A41&lt;'Données projet'!$A$36,$K$205^A41,IF(A41='Données projet'!$A$36,'Données projet'!$B$36,N40+M41-V40)))</f>
        <v>68.599999999999994</v>
      </c>
      <c r="O41" s="14">
        <f>N41*VLOOKUP('Données projet'!$B$9,Paramètres!$A$1:$I$89,3,0)*VLOOKUP('Données projet'!$B$9,Paramètres!$A$1:$I$89,5,0)</f>
        <v>59.928960000000011</v>
      </c>
      <c r="P41" s="14">
        <f t="shared" si="33"/>
        <v>17.150306633391633</v>
      </c>
      <c r="Q41" s="22">
        <f t="shared" si="53"/>
        <v>134.24638938649042</v>
      </c>
      <c r="R41" s="62">
        <f t="shared" si="0"/>
        <v>427.57972271982374</v>
      </c>
      <c r="S41" s="62">
        <f ca="1">AVERAGE(OFFSET($R$3,0,0,'Données projet'!$E$9+1,1))-AVERAGE(OFFSET($H$3,0,0,'Données projet'!$E$9+1,1))</f>
        <v>98.272553716009838</v>
      </c>
      <c r="T41" s="62">
        <f t="shared" si="34"/>
        <v>68.315893120570763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166</v>
      </c>
      <c r="AJ41" s="14">
        <f>AI41*VLOOKUP('Données projet'!$B$10,Paramètres!$A$1:$I$89,3,0)*VLOOKUP('Données projet'!$B$10,Paramètres!$A$1:$I$89,5,0)</f>
        <v>77.688000000000002</v>
      </c>
      <c r="AK41" s="14">
        <f t="shared" si="35"/>
        <v>21.570926907728207</v>
      </c>
      <c r="AL41" s="22">
        <f t="shared" si="4"/>
        <v>172.87596436429328</v>
      </c>
      <c r="AM41" s="62">
        <f t="shared" si="5"/>
        <v>466.2092976976266</v>
      </c>
      <c r="AN41" s="62">
        <f ca="1">AVERAGE(OFFSET($AM$3,0,0,'Données projet'!$E$10+1,1))-AVERAGE(OFFSET($H$3,0,0,'Données projet'!$E$10+1,1))</f>
        <v>85.701306948362742</v>
      </c>
      <c r="AO41" s="62">
        <f t="shared" si="36"/>
        <v>118.59281525447091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4.9315341517247431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0.95213659770116277</v>
      </c>
      <c r="AX41" s="23">
        <f t="shared" si="6"/>
        <v>5.8836707494259057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71.420552731458145</v>
      </c>
      <c r="BJ41" s="62">
        <f t="shared" si="38"/>
        <v>436.74855282454985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79.102824272301504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7.8475374364152334E-2</v>
      </c>
      <c r="BS41" s="24">
        <f t="shared" si="9"/>
        <v>79.18129964666565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12.4</v>
      </c>
      <c r="BY41" s="13">
        <f>IF('Données projet'!$A$114&gt;35,BY40+BX41-CG40,IF(A41&lt;'Données projet'!$A$114,$BV$205^A41,IF(A41='Données projet'!$A$114,'Données projet'!$B$114,BY40+BX41-CG40)))</f>
        <v>183.20000000000002</v>
      </c>
      <c r="BZ41" s="14">
        <f>BY41*VLOOKUP('Données projet'!$B$12,Paramètres!$A$1:$I$89,3,0)*VLOOKUP('Données projet'!$B$12,Paramètres!$A$1:$I$89,5,0)</f>
        <v>109.55360000000002</v>
      </c>
      <c r="CA41" s="14">
        <f t="shared" si="39"/>
        <v>29.225784372214765</v>
      </c>
      <c r="CB41" s="22">
        <f t="shared" si="10"/>
        <v>241.70742778160744</v>
      </c>
      <c r="CC41" s="62">
        <f t="shared" si="11"/>
        <v>535.04076111494078</v>
      </c>
      <c r="CD41" s="62">
        <f ca="1">AVERAGE(OFFSET($CC$3,0,0,'Données projet'!$E$12+1,1))-AVERAGE(OFFSET($H$3,0,0,'Données projet'!$E$12+1,1))</f>
        <v>145.14303899407867</v>
      </c>
      <c r="CE41" s="62">
        <f t="shared" si="40"/>
        <v>137.55906339137317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5.4873304910715461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3.3399595430246931</v>
      </c>
      <c r="CN41" s="24">
        <f t="shared" si="12"/>
        <v>8.8272900340962401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5.2</v>
      </c>
      <c r="N42" s="14">
        <f>IF('Données projet'!$A$36&gt;35,N41+M42-V41,IF(A42&lt;'Données projet'!$A$36,$K$205^A42,IF(A42='Données projet'!$A$36,'Données projet'!$B$36,N41+M42-V41)))</f>
        <v>73.8</v>
      </c>
      <c r="O42" s="14">
        <f>N42*VLOOKUP('Données projet'!$B$9,Paramètres!$A$1:$I$89,3,0)*VLOOKUP('Données projet'!$B$9,Paramètres!$A$1:$I$89,5,0)</f>
        <v>64.471680000000006</v>
      </c>
      <c r="P42" s="14">
        <f t="shared" si="33"/>
        <v>18.29407696803942</v>
      </c>
      <c r="Q42" s="22">
        <f t="shared" si="53"/>
        <v>144.15036005266867</v>
      </c>
      <c r="R42" s="62">
        <f t="shared" si="0"/>
        <v>437.48369338600196</v>
      </c>
      <c r="S42" s="62">
        <f ca="1">AVERAGE(OFFSET($R$3,0,0,'Données projet'!$E$9+1,1))-AVERAGE(OFFSET($H$3,0,0,'Données projet'!$E$9+1,1))</f>
        <v>98.272553716009838</v>
      </c>
      <c r="T42" s="62">
        <f t="shared" si="34"/>
        <v>68.315893120570763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173</v>
      </c>
      <c r="AJ42" s="14">
        <f>AI42*VLOOKUP('Données projet'!$B$10,Paramètres!$A$1:$I$89,3,0)*VLOOKUP('Données projet'!$B$10,Paramètres!$A$1:$I$89,5,0)</f>
        <v>80.963999999999999</v>
      </c>
      <c r="AK42" s="14">
        <f t="shared" si="35"/>
        <v>22.37272257588274</v>
      </c>
      <c r="AL42" s="22">
        <f t="shared" si="4"/>
        <v>179.97812515299574</v>
      </c>
      <c r="AM42" s="62">
        <f t="shared" si="5"/>
        <v>473.31145848632906</v>
      </c>
      <c r="AN42" s="62">
        <f ca="1">AVERAGE(OFFSET($AM$3,0,0,'Données projet'!$E$10+1,1))-AVERAGE(OFFSET($H$3,0,0,'Données projet'!$E$10+1,1))</f>
        <v>85.701306948362742</v>
      </c>
      <c r="AO42" s="62">
        <f t="shared" si="36"/>
        <v>118.59281525447091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4.8348297749482443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0.67326224485038</v>
      </c>
      <c r="AX42" s="23">
        <f t="shared" si="6"/>
        <v>5.5080920197986245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71.420552731458145</v>
      </c>
      <c r="BJ42" s="62">
        <f t="shared" si="38"/>
        <v>436.74855282454985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77.551666136280389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5.5490469369045066E-2</v>
      </c>
      <c r="BS42" s="24">
        <f t="shared" si="9"/>
        <v>77.607156605649436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12.4</v>
      </c>
      <c r="BY42" s="13">
        <f>IF('Données projet'!$A$114&gt;35,BY41+BX42-CG41,IF(A42&lt;'Données projet'!$A$114,$BV$205^A42,IF(A42='Données projet'!$A$114,'Données projet'!$B$114,BY41+BX42-CG41)))</f>
        <v>195.60000000000002</v>
      </c>
      <c r="BZ42" s="14">
        <f>BY42*VLOOKUP('Données projet'!$B$12,Paramètres!$A$1:$I$89,3,0)*VLOOKUP('Données projet'!$B$12,Paramètres!$A$1:$I$89,5,0)</f>
        <v>116.96880000000002</v>
      </c>
      <c r="CA42" s="14">
        <f t="shared" si="39"/>
        <v>30.966972418998537</v>
      </c>
      <c r="CB42" s="22">
        <f t="shared" si="10"/>
        <v>257.6548036297558</v>
      </c>
      <c r="CC42" s="62">
        <f t="shared" si="11"/>
        <v>550.98813696308912</v>
      </c>
      <c r="CD42" s="62">
        <f ca="1">AVERAGE(OFFSET($CC$3,0,0,'Données projet'!$E$12+1,1))-AVERAGE(OFFSET($H$3,0,0,'Données projet'!$E$12+1,1))</f>
        <v>145.14303899407867</v>
      </c>
      <c r="CE42" s="62">
        <f t="shared" si="40"/>
        <v>137.55906339137317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5.3797272870827495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2.3617080417614833</v>
      </c>
      <c r="CN42" s="24">
        <f t="shared" si="12"/>
        <v>7.7414353288442328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79</v>
      </c>
      <c r="L43" s="13">
        <f>VLOOKUP(A43,'Données projet'!$A$35:$I$55,9,0)</f>
        <v>5.2</v>
      </c>
      <c r="M43" s="13">
        <f t="array" ref="M43">INDEX(L:L,MIN(IF(ISNUMBER(L43:L239),ROW(L43:L239),"")))</f>
        <v>5.2</v>
      </c>
      <c r="N43" s="14">
        <f>IF('Données projet'!$A$36&gt;35,N42+M43-V42,IF(A43&lt;'Données projet'!$A$36,$K$205^A43,IF(A43='Données projet'!$A$36,'Données projet'!$B$36,N42+M43-V42)))</f>
        <v>79</v>
      </c>
      <c r="O43" s="14">
        <f>N43*VLOOKUP('Données projet'!$B$9,Paramètres!$A$1:$I$89,3,0)*VLOOKUP('Données projet'!$B$9,Paramètres!$A$1:$I$89,5,0)</f>
        <v>69.014400000000009</v>
      </c>
      <c r="P43" s="14">
        <f t="shared" si="33"/>
        <v>19.428496726251055</v>
      </c>
      <c r="Q43" s="22">
        <f t="shared" si="53"/>
        <v>154.03804513155393</v>
      </c>
      <c r="R43" s="62">
        <f t="shared" si="0"/>
        <v>447.37137846488724</v>
      </c>
      <c r="S43" s="62">
        <f ca="1">AVERAGE(OFFSET($R$3,0,0,'Données projet'!$E$9+1,1))-AVERAGE(OFFSET($H$3,0,0,'Données projet'!$E$9+1,1))</f>
        <v>98.272553716009838</v>
      </c>
      <c r="T43" s="62">
        <f t="shared" si="34"/>
        <v>68.315893120570763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180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180</v>
      </c>
      <c r="AJ43" s="14">
        <f>AI43*VLOOKUP('Données projet'!$B$10,Paramètres!$A$1:$I$89,3,0)*VLOOKUP('Données projet'!$B$10,Paramètres!$A$1:$I$89,5,0)</f>
        <v>84.24</v>
      </c>
      <c r="AK43" s="14">
        <f t="shared" si="35"/>
        <v>23.170749718409468</v>
      </c>
      <c r="AL43" s="22">
        <f t="shared" si="4"/>
        <v>187.07372242622981</v>
      </c>
      <c r="AM43" s="62">
        <f t="shared" si="5"/>
        <v>480.40705575956315</v>
      </c>
      <c r="AN43" s="62">
        <f ca="1">AVERAGE(OFFSET($AM$3,0,0,'Données projet'!$E$10+1,1))-AVERAGE(OFFSET($H$3,0,0,'Données projet'!$E$10+1,1))</f>
        <v>85.701306948362742</v>
      </c>
      <c r="AO43" s="62">
        <f t="shared" si="36"/>
        <v>118.59281525447091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50</v>
      </c>
      <c r="AR43" s="17">
        <f>IF(ISNA(VLOOKUP(A43,'Données projet'!$A$61:$I$81,5,0)),0%,VLOOKUP(A43,'Données projet'!$A$61:$I$81,5,0)*VLOOKUP('Données projet'!$B$10,Paramètres!$A$1:$I$89,7,0))</f>
        <v>0.27500000000000002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0.5</v>
      </c>
      <c r="AU43" s="23">
        <f>EXP(-LN(2)/35)*AU42+(1-EXP(-LN(2)/35))/(LN(2)/35)*AQ43*AR43*VLOOKUP('Données projet'!$B$10,Paramètres!$A$1:$I$89,3,0)*0.475*44/12</f>
        <v>13.276463982769929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13.723186179910231</v>
      </c>
      <c r="AX43" s="23">
        <f t="shared" si="6"/>
        <v>26.999650162680162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71.420552731458145</v>
      </c>
      <c r="BJ43" s="62">
        <f t="shared" si="38"/>
        <v>436.74855282454985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76.030925265193602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3.9237687182076167E-2</v>
      </c>
      <c r="BS43" s="24">
        <f t="shared" si="9"/>
        <v>76.070162952375682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208</v>
      </c>
      <c r="BW43" s="13">
        <f>VLOOKUP(A43,'Données projet'!$A$113:$I$133,9,0)</f>
        <v>12.4</v>
      </c>
      <c r="BX43" s="13">
        <f t="array" ref="BX43">INDEX(BW:BW,MIN(IF(ISNUMBER(BW43:BW239),ROW(BW43:BW239),"")))</f>
        <v>12.4</v>
      </c>
      <c r="BY43" s="13">
        <f>IF('Données projet'!$A$114&gt;35,BY42+BX43-CG42,IF(A43&lt;'Données projet'!$A$114,$BV$205^A43,IF(A43='Données projet'!$A$114,'Données projet'!$B$114,BY42+BX43-CG42)))</f>
        <v>208.00000000000003</v>
      </c>
      <c r="BZ43" s="14">
        <f>BY43*VLOOKUP('Données projet'!$B$12,Paramètres!$A$1:$I$89,3,0)*VLOOKUP('Données projet'!$B$12,Paramètres!$A$1:$I$89,5,0)</f>
        <v>124.38400000000003</v>
      </c>
      <c r="CA43" s="14">
        <f t="shared" si="39"/>
        <v>32.695350227217695</v>
      </c>
      <c r="CB43" s="22">
        <f t="shared" si="10"/>
        <v>273.57986831240419</v>
      </c>
      <c r="CC43" s="62">
        <f t="shared" si="11"/>
        <v>566.91320164573744</v>
      </c>
      <c r="CD43" s="62">
        <f ca="1">AVERAGE(OFFSET($CC$3,0,0,'Données projet'!$E$12+1,1))-AVERAGE(OFFSET($H$3,0,0,'Données projet'!$E$12+1,1))</f>
        <v>145.14303899407867</v>
      </c>
      <c r="CE43" s="62">
        <f t="shared" si="40"/>
        <v>137.55906339137317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34</v>
      </c>
      <c r="CH43" s="17">
        <f>IF(ISNA(VLOOKUP(A43,'Données projet'!$A$113:$I$133,5,0)),0%,VLOOKUP(A43,'Données projet'!$A$113:$I$133,5,0)*VLOOKUP('Données projet'!$B$12,Paramètres!$A$1:$I$89,7,0))</f>
        <v>0.315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0.3</v>
      </c>
      <c r="CK43" s="23">
        <f>EXP(-LN(2)/35)*CK42+(1-EXP(-LN(2)/35))/(LN(2)/35)*CG43*CH43*VLOOKUP('Données projet'!$B$12,Paramètres!$A$1:$I$89,3,0)*0.475*44/12</f>
        <v>13.770322296311669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8.5761438935047778</v>
      </c>
      <c r="CN43" s="24">
        <f t="shared" si="12"/>
        <v>22.346466189816447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70.599999999999994</v>
      </c>
      <c r="O44" s="14">
        <f>N44*VLOOKUP('Données projet'!$B$9,Paramètres!$A$1:$I$89,3,0)*VLOOKUP('Données projet'!$B$9,Paramètres!$A$1:$I$89,5,0)</f>
        <v>61.676160000000003</v>
      </c>
      <c r="P44" s="14">
        <f t="shared" si="33"/>
        <v>17.591372886075671</v>
      </c>
      <c r="Q44" s="22">
        <f t="shared" si="53"/>
        <v>138.05761977658179</v>
      </c>
      <c r="R44" s="62">
        <f t="shared" si="0"/>
        <v>431.39095310991513</v>
      </c>
      <c r="S44" s="62">
        <f ca="1">AVERAGE(OFFSET($R$3,0,0,'Données projet'!$E$9+1,1))-AVERAGE(OFFSET($H$3,0,0,'Données projet'!$E$9+1,1))</f>
        <v>98.272553716009838</v>
      </c>
      <c r="T44" s="62">
        <f t="shared" si="34"/>
        <v>68.315893120570763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137</v>
      </c>
      <c r="AJ44" s="14">
        <f>AI44*VLOOKUP('Données projet'!$B$10,Paramètres!$A$1:$I$89,3,0)*VLOOKUP('Données projet'!$B$10,Paramètres!$A$1:$I$89,5,0)</f>
        <v>64.116</v>
      </c>
      <c r="AK44" s="14">
        <f t="shared" si="35"/>
        <v>18.204870493705258</v>
      </c>
      <c r="AL44" s="22">
        <f t="shared" si="4"/>
        <v>143.37551610986998</v>
      </c>
      <c r="AM44" s="62">
        <f t="shared" si="5"/>
        <v>436.70884944320329</v>
      </c>
      <c r="AN44" s="62">
        <f ca="1">AVERAGE(OFFSET($AM$3,0,0,'Données projet'!$E$10+1,1))-AVERAGE(OFFSET($H$3,0,0,'Données projet'!$E$10+1,1))</f>
        <v>85.701306948362742</v>
      </c>
      <c r="AO44" s="62">
        <f t="shared" si="36"/>
        <v>118.59281525447091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13.016120621911245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9.7037580073000367</v>
      </c>
      <c r="AX44" s="23">
        <f t="shared" si="6"/>
        <v>22.71987862921128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71.420552731458145</v>
      </c>
      <c r="BJ44" s="62">
        <f t="shared" si="38"/>
        <v>436.74855282454985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74.540005195028485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2.7745234684522533E-2</v>
      </c>
      <c r="BS44" s="24">
        <f t="shared" si="9"/>
        <v>74.567750429713001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14.1</v>
      </c>
      <c r="BY44" s="13">
        <f>IF('Données projet'!$A$114&gt;35,BY43+BX44-CG43,IF(A44&lt;'Données projet'!$A$114,$BV$205^A44,IF(A44='Données projet'!$A$114,'Données projet'!$B$114,BY43+BX44-CG43)))</f>
        <v>188.10000000000002</v>
      </c>
      <c r="BZ44" s="14">
        <f>BY44*VLOOKUP('Données projet'!$B$12,Paramètres!$A$1:$I$89,3,0)*VLOOKUP('Données projet'!$B$12,Paramètres!$A$1:$I$89,5,0)</f>
        <v>112.48380000000002</v>
      </c>
      <c r="CA44" s="14">
        <f t="shared" si="39"/>
        <v>29.915424563902814</v>
      </c>
      <c r="CB44" s="22">
        <f t="shared" si="10"/>
        <v>248.01198278213079</v>
      </c>
      <c r="CC44" s="62">
        <f t="shared" si="11"/>
        <v>541.34531611546413</v>
      </c>
      <c r="CD44" s="62">
        <f ca="1">AVERAGE(OFFSET($CC$3,0,0,'Données projet'!$E$12+1,1))-AVERAGE(OFFSET($H$3,0,0,'Données projet'!$E$12+1,1))</f>
        <v>145.14303899407867</v>
      </c>
      <c r="CE44" s="62">
        <f t="shared" si="40"/>
        <v>137.55906339137317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13.500294675148259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6.0642495035288286</v>
      </c>
      <c r="CN44" s="24">
        <f t="shared" si="12"/>
        <v>19.564544178677089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76.199999999999989</v>
      </c>
      <c r="O45" s="14">
        <f>N45*VLOOKUP('Données projet'!$B$9,Paramètres!$A$1:$I$89,3,0)*VLOOKUP('Données projet'!$B$9,Paramètres!$A$1:$I$89,5,0)</f>
        <v>66.56832</v>
      </c>
      <c r="P45" s="14">
        <f t="shared" si="33"/>
        <v>18.818773418977681</v>
      </c>
      <c r="Q45" s="22">
        <f t="shared" si="53"/>
        <v>148.71585437138614</v>
      </c>
      <c r="R45" s="62">
        <f t="shared" si="0"/>
        <v>442.04918770471943</v>
      </c>
      <c r="S45" s="62">
        <f ca="1">AVERAGE(OFFSET($R$3,0,0,'Données projet'!$E$9+1,1))-AVERAGE(OFFSET($H$3,0,0,'Données projet'!$E$9+1,1))</f>
        <v>98.272553716009838</v>
      </c>
      <c r="T45" s="62">
        <f t="shared" si="34"/>
        <v>68.315893120570763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144</v>
      </c>
      <c r="AJ45" s="14">
        <f>AI45*VLOOKUP('Données projet'!$B$10,Paramètres!$A$1:$I$89,3,0)*VLOOKUP('Données projet'!$B$10,Paramètres!$A$1:$I$89,5,0)</f>
        <v>67.391999999999996</v>
      </c>
      <c r="AK45" s="14">
        <f t="shared" si="35"/>
        <v>19.02437502991798</v>
      </c>
      <c r="AL45" s="22">
        <f t="shared" si="4"/>
        <v>150.5085198437738</v>
      </c>
      <c r="AM45" s="62">
        <f t="shared" si="5"/>
        <v>443.84185317710711</v>
      </c>
      <c r="AN45" s="62">
        <f ca="1">AVERAGE(OFFSET($AM$3,0,0,'Données projet'!$E$10+1,1))-AVERAGE(OFFSET($H$3,0,0,'Données projet'!$E$10+1,1))</f>
        <v>85.701306948362742</v>
      </c>
      <c r="AO45" s="62">
        <f t="shared" si="36"/>
        <v>118.59281525447091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12.760882435565229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6.8615930899551163</v>
      </c>
      <c r="AX45" s="23">
        <f t="shared" si="6"/>
        <v>19.622475525520343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71.420552731458145</v>
      </c>
      <c r="BJ45" s="62">
        <f t="shared" si="38"/>
        <v>436.74855282454985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73.078321158067851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1.9618843591038083E-2</v>
      </c>
      <c r="BS45" s="24">
        <f t="shared" si="9"/>
        <v>73.097940001658884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14.1</v>
      </c>
      <c r="BY45" s="13">
        <f>IF('Données projet'!$A$114&gt;35,BY44+BX45-CG44,IF(A45&lt;'Données projet'!$A$114,$BV$205^A45,IF(A45='Données projet'!$A$114,'Données projet'!$B$114,BY44+BX45-CG44)))</f>
        <v>202.20000000000002</v>
      </c>
      <c r="BZ45" s="14">
        <f>BY45*VLOOKUP('Données projet'!$B$12,Paramètres!$A$1:$I$89,3,0)*VLOOKUP('Données projet'!$B$12,Paramètres!$A$1:$I$89,5,0)</f>
        <v>120.91560000000003</v>
      </c>
      <c r="CA45" s="14">
        <f t="shared" si="39"/>
        <v>31.888453396738488</v>
      </c>
      <c r="CB45" s="22">
        <f t="shared" si="10"/>
        <v>266.13372633265288</v>
      </c>
      <c r="CC45" s="62">
        <f t="shared" si="11"/>
        <v>559.4670596659862</v>
      </c>
      <c r="CD45" s="62">
        <f ca="1">AVERAGE(OFFSET($CC$3,0,0,'Données projet'!$E$12+1,1))-AVERAGE(OFFSET($H$3,0,0,'Données projet'!$E$12+1,1))</f>
        <v>145.14303899407867</v>
      </c>
      <c r="CE45" s="62">
        <f t="shared" si="40"/>
        <v>137.55906339137317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13.235562130935278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4.2880719467523889</v>
      </c>
      <c r="CN45" s="24">
        <f t="shared" si="12"/>
        <v>17.523634077687667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81.799999999999983</v>
      </c>
      <c r="O46" s="14">
        <f>N46*VLOOKUP('Données projet'!$B$9,Paramètres!$A$1:$I$89,3,0)*VLOOKUP('Données projet'!$B$9,Paramètres!$A$1:$I$89,5,0)</f>
        <v>71.46047999999999</v>
      </c>
      <c r="P46" s="14">
        <f t="shared" si="33"/>
        <v>20.035709203981977</v>
      </c>
      <c r="Q46" s="22">
        <f t="shared" si="53"/>
        <v>159.35586286360191</v>
      </c>
      <c r="R46" s="62">
        <f t="shared" si="0"/>
        <v>452.6891961969352</v>
      </c>
      <c r="S46" s="62">
        <f ca="1">AVERAGE(OFFSET($R$3,0,0,'Données projet'!$E$9+1,1))-AVERAGE(OFFSET($H$3,0,0,'Données projet'!$E$9+1,1))</f>
        <v>98.272553716009838</v>
      </c>
      <c r="T46" s="62">
        <f t="shared" si="34"/>
        <v>68.315893120570763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151</v>
      </c>
      <c r="AJ46" s="14">
        <f>AI46*VLOOKUP('Données projet'!$B$10,Paramètres!$A$1:$I$89,3,0)*VLOOKUP('Données projet'!$B$10,Paramètres!$A$1:$I$89,5,0)</f>
        <v>70.668000000000006</v>
      </c>
      <c r="AK46" s="14">
        <f t="shared" si="35"/>
        <v>19.839253706984856</v>
      </c>
      <c r="AL46" s="22">
        <f t="shared" si="4"/>
        <v>157.63346687299864</v>
      </c>
      <c r="AM46" s="62">
        <f t="shared" si="5"/>
        <v>450.96680020633198</v>
      </c>
      <c r="AN46" s="62">
        <f ca="1">AVERAGE(OFFSET($AM$3,0,0,'Données projet'!$E$10+1,1))-AVERAGE(OFFSET($H$3,0,0,'Données projet'!$E$10+1,1))</f>
        <v>85.701306948362742</v>
      </c>
      <c r="AO46" s="62">
        <f t="shared" si="36"/>
        <v>118.59281525447091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12.510649314373536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4.8518790036500192</v>
      </c>
      <c r="AX46" s="23">
        <f t="shared" si="6"/>
        <v>17.362528318023557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71.420552731458145</v>
      </c>
      <c r="BJ46" s="62">
        <f t="shared" si="38"/>
        <v>436.74855282454985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71.645299853532791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1.3872617342261266E-2</v>
      </c>
      <c r="BS46" s="24">
        <f t="shared" si="9"/>
        <v>71.659172470875049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14.1</v>
      </c>
      <c r="BY46" s="13">
        <f>IF('Données projet'!$A$114&gt;35,BY45+BX46-CG45,IF(A46&lt;'Données projet'!$A$114,$BV$205^A46,IF(A46='Données projet'!$A$114,'Données projet'!$B$114,BY45+BX46-CG45)))</f>
        <v>216.3</v>
      </c>
      <c r="BZ46" s="14">
        <f>BY46*VLOOKUP('Données projet'!$B$12,Paramètres!$A$1:$I$89,3,0)*VLOOKUP('Données projet'!$B$12,Paramètres!$A$1:$I$89,5,0)</f>
        <v>129.34740000000002</v>
      </c>
      <c r="CA46" s="14">
        <f t="shared" si="39"/>
        <v>33.845518493267228</v>
      </c>
      <c r="CB46" s="22">
        <f t="shared" si="10"/>
        <v>284.22766637577377</v>
      </c>
      <c r="CC46" s="62">
        <f t="shared" si="11"/>
        <v>577.56099970910714</v>
      </c>
      <c r="CD46" s="62">
        <f ca="1">AVERAGE(OFFSET($CC$3,0,0,'Données projet'!$E$12+1,1))-AVERAGE(OFFSET($H$3,0,0,'Données projet'!$E$12+1,1))</f>
        <v>145.14303899407867</v>
      </c>
      <c r="CE46" s="62">
        <f t="shared" si="40"/>
        <v>137.55906339137317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12.976020830443405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3.0321247517644143</v>
      </c>
      <c r="CN46" s="24">
        <f t="shared" si="12"/>
        <v>16.00814558220782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87.399999999999977</v>
      </c>
      <c r="O47" s="14">
        <f>N47*VLOOKUP('Données projet'!$B$9,Paramètres!$A$1:$I$89,3,0)*VLOOKUP('Données projet'!$B$9,Paramètres!$A$1:$I$89,5,0)</f>
        <v>76.35263999999998</v>
      </c>
      <c r="P47" s="14">
        <f t="shared" si="33"/>
        <v>21.242978155474471</v>
      </c>
      <c r="Q47" s="22">
        <f t="shared" si="53"/>
        <v>169.97903495411802</v>
      </c>
      <c r="R47" s="62">
        <f t="shared" si="0"/>
        <v>463.31236828745136</v>
      </c>
      <c r="S47" s="62">
        <f ca="1">AVERAGE(OFFSET($R$3,0,0,'Données projet'!$E$9+1,1))-AVERAGE(OFFSET($H$3,0,0,'Données projet'!$E$9+1,1))</f>
        <v>98.272553716009838</v>
      </c>
      <c r="T47" s="62">
        <f t="shared" si="34"/>
        <v>68.315893120570763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158</v>
      </c>
      <c r="AJ47" s="14">
        <f>AI47*VLOOKUP('Données projet'!$B$10,Paramètres!$A$1:$I$89,3,0)*VLOOKUP('Données projet'!$B$10,Paramètres!$A$1:$I$89,5,0)</f>
        <v>73.944000000000003</v>
      </c>
      <c r="AK47" s="14">
        <f t="shared" si="35"/>
        <v>20.649745460165708</v>
      </c>
      <c r="AL47" s="22">
        <f t="shared" si="4"/>
        <v>164.75077334312192</v>
      </c>
      <c r="AM47" s="62">
        <f t="shared" si="5"/>
        <v>458.08410667645524</v>
      </c>
      <c r="AN47" s="62">
        <f ca="1">AVERAGE(OFFSET($AM$3,0,0,'Données projet'!$E$10+1,1))-AVERAGE(OFFSET($H$3,0,0,'Données projet'!$E$10+1,1))</f>
        <v>85.701306948362742</v>
      </c>
      <c r="AO47" s="62">
        <f t="shared" si="36"/>
        <v>118.59281525447091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12.26532311206128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3.4307965449775586</v>
      </c>
      <c r="AX47" s="23">
        <f t="shared" si="6"/>
        <v>15.696119657038839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71.420552731458145</v>
      </c>
      <c r="BJ47" s="62">
        <f t="shared" si="38"/>
        <v>436.74855282454985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70.240379222722979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9.8094217955190417E-3</v>
      </c>
      <c r="BS47" s="24">
        <f t="shared" si="9"/>
        <v>70.250188644518502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14.1</v>
      </c>
      <c r="BY47" s="13">
        <f>IF('Données projet'!$A$114&gt;35,BY46+BX47-CG46,IF(A47&lt;'Données projet'!$A$114,$BV$205^A47,IF(A47='Données projet'!$A$114,'Données projet'!$B$114,BY46+BX47-CG46)))</f>
        <v>230.4</v>
      </c>
      <c r="BZ47" s="14">
        <f>BY47*VLOOKUP('Données projet'!$B$12,Paramètres!$A$1:$I$89,3,0)*VLOOKUP('Données projet'!$B$12,Paramètres!$A$1:$I$89,5,0)</f>
        <v>137.7792</v>
      </c>
      <c r="CA47" s="14">
        <f t="shared" si="39"/>
        <v>35.787778913287674</v>
      </c>
      <c r="CB47" s="22">
        <f t="shared" si="10"/>
        <v>302.29582160730934</v>
      </c>
      <c r="CC47" s="62">
        <f t="shared" si="11"/>
        <v>595.62915494064259</v>
      </c>
      <c r="CD47" s="62">
        <f ca="1">AVERAGE(OFFSET($CC$3,0,0,'Données projet'!$E$12+1,1))-AVERAGE(OFFSET($H$3,0,0,'Données projet'!$E$12+1,1))</f>
        <v>145.14303899407867</v>
      </c>
      <c r="CE47" s="62">
        <f t="shared" si="40"/>
        <v>137.55906339137317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12.721568976549616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2.1440359733761944</v>
      </c>
      <c r="CN47" s="24">
        <f t="shared" si="12"/>
        <v>14.86560494992581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93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92.999999999999972</v>
      </c>
      <c r="O48" s="14">
        <f>N48*VLOOKUP('Données projet'!$B$9,Paramètres!$A$1:$I$89,3,0)*VLOOKUP('Données projet'!$B$9,Paramètres!$A$1:$I$89,5,0)</f>
        <v>81.244799999999984</v>
      </c>
      <c r="P48" s="14">
        <f t="shared" si="33"/>
        <v>22.441270156928962</v>
      </c>
      <c r="Q48" s="22">
        <f t="shared" si="53"/>
        <v>180.58657218998459</v>
      </c>
      <c r="R48" s="62">
        <f t="shared" si="0"/>
        <v>473.91990552331788</v>
      </c>
      <c r="S48" s="62">
        <f ca="1">AVERAGE(OFFSET($R$3,0,0,'Données projet'!$E$9+1,1))-AVERAGE(OFFSET($H$3,0,0,'Données projet'!$E$9+1,1))</f>
        <v>98.272553716009838</v>
      </c>
      <c r="T48" s="62">
        <f t="shared" si="34"/>
        <v>68.315893120570763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8.6000000000000007E-2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1.1627496639662225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1.1627496639662225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165</v>
      </c>
      <c r="AJ48" s="14">
        <f>AI48*VLOOKUP('Données projet'!$B$10,Paramètres!$A$1:$I$89,3,0)*VLOOKUP('Données projet'!$B$10,Paramètres!$A$1:$I$89,5,0)</f>
        <v>77.22</v>
      </c>
      <c r="AK48" s="14">
        <f t="shared" si="35"/>
        <v>21.456066856215884</v>
      </c>
      <c r="AL48" s="22">
        <f t="shared" si="4"/>
        <v>171.86081644124263</v>
      </c>
      <c r="AM48" s="62">
        <f t="shared" si="5"/>
        <v>465.19414977457598</v>
      </c>
      <c r="AN48" s="62">
        <f ca="1">AVERAGE(OFFSET($AM$3,0,0,'Données projet'!$E$10+1,1))-AVERAGE(OFFSET($H$3,0,0,'Données projet'!$E$10+1,1))</f>
        <v>85.701306948362742</v>
      </c>
      <c r="AO48" s="62">
        <f t="shared" si="36"/>
        <v>118.59281525447091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12.024807606942158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2.4259395018250101</v>
      </c>
      <c r="AX48" s="23">
        <f t="shared" si="6"/>
        <v>14.450747108767168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71.420552731458145</v>
      </c>
      <c r="BJ48" s="62">
        <f t="shared" si="38"/>
        <v>436.74855282454985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68.863008228566372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6.9363086711306332E-3</v>
      </c>
      <c r="BS48" s="24">
        <f t="shared" si="9"/>
        <v>68.869944537237501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14.1</v>
      </c>
      <c r="BY48" s="13">
        <f>IF('Données projet'!$A$114&gt;35,BY47+BX48-CG47,IF(A48&lt;'Données projet'!$A$114,$BV$205^A48,IF(A48='Données projet'!$A$114,'Données projet'!$B$114,BY47+BX48-CG47)))</f>
        <v>244.5</v>
      </c>
      <c r="BZ48" s="14">
        <f>BY48*VLOOKUP('Données projet'!$B$12,Paramètres!$A$1:$I$89,3,0)*VLOOKUP('Données projet'!$B$12,Paramètres!$A$1:$I$89,5,0)</f>
        <v>146.21100000000001</v>
      </c>
      <c r="CA48" s="14">
        <f t="shared" si="39"/>
        <v>37.71624383608448</v>
      </c>
      <c r="CB48" s="22">
        <f t="shared" si="10"/>
        <v>320.33994968118049</v>
      </c>
      <c r="CC48" s="62">
        <f t="shared" si="11"/>
        <v>613.6732830145138</v>
      </c>
      <c r="CD48" s="62">
        <f ca="1">AVERAGE(OFFSET($CC$3,0,0,'Données projet'!$E$12+1,1))-AVERAGE(OFFSET($H$3,0,0,'Données projet'!$E$12+1,1))</f>
        <v>145.14303899407867</v>
      </c>
      <c r="CE48" s="62">
        <f t="shared" si="40"/>
        <v>137.55906339137317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12.472106768310377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1.5160623758822072</v>
      </c>
      <c r="CN48" s="24">
        <f t="shared" si="12"/>
        <v>13.988169144192584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84.599999999999966</v>
      </c>
      <c r="O49" s="14">
        <f>N49*VLOOKUP('Données projet'!$B$9,Paramètres!$A$1:$I$89,3,0)*VLOOKUP('Données projet'!$B$9,Paramètres!$A$1:$I$89,5,0)</f>
        <v>73.906559999999971</v>
      </c>
      <c r="P49" s="14">
        <f t="shared" si="33"/>
        <v>20.640506648584481</v>
      </c>
      <c r="Q49" s="22">
        <f t="shared" si="53"/>
        <v>164.66947441295125</v>
      </c>
      <c r="R49" s="62">
        <f t="shared" si="0"/>
        <v>458.00280774628459</v>
      </c>
      <c r="S49" s="62">
        <f ca="1">AVERAGE(OFFSET($R$3,0,0,'Données projet'!$E$9+1,1))-AVERAGE(OFFSET($H$3,0,0,'Données projet'!$E$9+1,1))</f>
        <v>98.272553716009838</v>
      </c>
      <c r="T49" s="62">
        <f t="shared" si="34"/>
        <v>68.315893120570763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1.1399488522631114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1.1399488522631114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172</v>
      </c>
      <c r="AJ49" s="14">
        <f>AI49*VLOOKUP('Données projet'!$B$10,Paramètres!$A$1:$I$89,3,0)*VLOOKUP('Données projet'!$B$10,Paramètres!$A$1:$I$89,5,0)</f>
        <v>80.495999999999995</v>
      </c>
      <c r="AK49" s="14">
        <f t="shared" si="35"/>
        <v>22.258415047134118</v>
      </c>
      <c r="AL49" s="22">
        <f t="shared" si="4"/>
        <v>178.96393954042523</v>
      </c>
      <c r="AM49" s="62">
        <f t="shared" si="5"/>
        <v>472.29727287375852</v>
      </c>
      <c r="AN49" s="62">
        <f ca="1">AVERAGE(OFFSET($AM$3,0,0,'Données projet'!$E$10+1,1))-AVERAGE(OFFSET($H$3,0,0,'Données projet'!$E$10+1,1))</f>
        <v>85.701306948362742</v>
      </c>
      <c r="AO49" s="62">
        <f t="shared" si="36"/>
        <v>118.59281525447091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11.789008464178449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1.7153982724887795</v>
      </c>
      <c r="AX49" s="23">
        <f t="shared" si="6"/>
        <v>13.504406736667228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71.420552731458145</v>
      </c>
      <c r="BJ49" s="62">
        <f t="shared" si="38"/>
        <v>436.74855282454985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67.51264663949182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4.9047108977595209E-3</v>
      </c>
      <c r="BS49" s="24">
        <f t="shared" si="9"/>
        <v>67.517551350389581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14.1</v>
      </c>
      <c r="BY49" s="13">
        <f>IF('Données projet'!$A$114&gt;35,BY48+BX49-CG48,IF(A49&lt;'Données projet'!$A$114,$BV$205^A49,IF(A49='Données projet'!$A$114,'Données projet'!$B$114,BY48+BX49-CG48)))</f>
        <v>258.60000000000002</v>
      </c>
      <c r="BZ49" s="14">
        <f>BY49*VLOOKUP('Données projet'!$B$12,Paramètres!$A$1:$I$89,3,0)*VLOOKUP('Données projet'!$B$12,Paramètres!$A$1:$I$89,5,0)</f>
        <v>154.64280000000002</v>
      </c>
      <c r="CA49" s="14">
        <f t="shared" si="39"/>
        <v>39.631799470164985</v>
      </c>
      <c r="CB49" s="22">
        <f t="shared" si="10"/>
        <v>338.36159407720407</v>
      </c>
      <c r="CC49" s="62">
        <f t="shared" si="11"/>
        <v>631.69492741053739</v>
      </c>
      <c r="CD49" s="62">
        <f ca="1">AVERAGE(OFFSET($CC$3,0,0,'Données projet'!$E$12+1,1))-AVERAGE(OFFSET($H$3,0,0,'Données projet'!$E$12+1,1))</f>
        <v>145.14303899407867</v>
      </c>
      <c r="CE49" s="62">
        <f t="shared" si="40"/>
        <v>137.55906339137317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12.227536361817787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1.0720179866880972</v>
      </c>
      <c r="CN49" s="24">
        <f t="shared" si="12"/>
        <v>13.299554348505884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90.19999999999996</v>
      </c>
      <c r="O50" s="14">
        <f>N50*VLOOKUP('Données projet'!$B$9,Paramètres!$A$1:$I$89,3,0)*VLOOKUP('Données projet'!$B$9,Paramètres!$A$1:$I$89,5,0)</f>
        <v>78.798719999999975</v>
      </c>
      <c r="P50" s="14">
        <f t="shared" si="33"/>
        <v>21.843206787310475</v>
      </c>
      <c r="Q50" s="22">
        <f t="shared" si="53"/>
        <v>175.28468915456571</v>
      </c>
      <c r="R50" s="62">
        <f t="shared" si="0"/>
        <v>468.618022487899</v>
      </c>
      <c r="S50" s="62">
        <f ca="1">AVERAGE(OFFSET($R$3,0,0,'Données projet'!$E$9+1,1))-AVERAGE(OFFSET($H$3,0,0,'Données projet'!$E$9+1,1))</f>
        <v>98.272553716009838</v>
      </c>
      <c r="T50" s="62">
        <f t="shared" si="34"/>
        <v>68.315893120570763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1.1175951505703765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1.1175951505703765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179</v>
      </c>
      <c r="AJ50" s="14">
        <f>AI50*VLOOKUP('Données projet'!$B$10,Paramètres!$A$1:$I$89,3,0)*VLOOKUP('Données projet'!$B$10,Paramètres!$A$1:$I$89,5,0)</f>
        <v>83.772000000000006</v>
      </c>
      <c r="AK50" s="14">
        <f t="shared" si="35"/>
        <v>23.056970229527074</v>
      </c>
      <c r="AL50" s="22">
        <f t="shared" si="4"/>
        <v>186.06045648309296</v>
      </c>
      <c r="AM50" s="62">
        <f t="shared" si="5"/>
        <v>479.39378981642631</v>
      </c>
      <c r="AN50" s="62">
        <f ca="1">AVERAGE(OFFSET($AM$3,0,0,'Données projet'!$E$10+1,1))-AVERAGE(OFFSET($H$3,0,0,'Données projet'!$E$10+1,1))</f>
        <v>85.701306948362742</v>
      </c>
      <c r="AO50" s="62">
        <f t="shared" si="36"/>
        <v>118.59281525447091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11.557833198781061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1.212969750912505</v>
      </c>
      <c r="AX50" s="23">
        <f t="shared" si="6"/>
        <v>12.770802949693566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71.420552731458145</v>
      </c>
      <c r="BJ50" s="62">
        <f t="shared" si="38"/>
        <v>436.74855282454985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66.188764817539777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3.4681543355653166E-3</v>
      </c>
      <c r="BS50" s="24">
        <f t="shared" si="9"/>
        <v>66.192232971875342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14.1</v>
      </c>
      <c r="BY50" s="13">
        <f>IF('Données projet'!$A$114&gt;35,BY49+BX50-CG49,IF(A50&lt;'Données projet'!$A$114,$BV$205^A50,IF(A50='Données projet'!$A$114,'Données projet'!$B$114,BY49+BX50-CG49)))</f>
        <v>272.70000000000005</v>
      </c>
      <c r="BZ50" s="14">
        <f>BY50*VLOOKUP('Données projet'!$B$12,Paramètres!$A$1:$I$89,3,0)*VLOOKUP('Données projet'!$B$12,Paramètres!$A$1:$I$89,5,0)</f>
        <v>163.07460000000003</v>
      </c>
      <c r="CA50" s="14">
        <f t="shared" si="39"/>
        <v>41.535229926099966</v>
      </c>
      <c r="CB50" s="22">
        <f t="shared" si="10"/>
        <v>356.36212045462412</v>
      </c>
      <c r="CC50" s="62">
        <f t="shared" si="11"/>
        <v>649.69545378795738</v>
      </c>
      <c r="CD50" s="62">
        <f ca="1">AVERAGE(OFFSET($CC$3,0,0,'Données projet'!$E$12+1,1))-AVERAGE(OFFSET($H$3,0,0,'Données projet'!$E$12+1,1))</f>
        <v>145.14303899407867</v>
      </c>
      <c r="CE50" s="62">
        <f t="shared" si="40"/>
        <v>137.55906339137317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11.987761831823299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0.75803118794110358</v>
      </c>
      <c r="CN50" s="24">
        <f t="shared" si="12"/>
        <v>12.745793019764402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95.799999999999955</v>
      </c>
      <c r="O51" s="14">
        <f>N51*VLOOKUP('Données projet'!$B$9,Paramètres!$A$1:$I$89,3,0)*VLOOKUP('Données projet'!$B$9,Paramètres!$A$1:$I$89,5,0)</f>
        <v>83.690879999999979</v>
      </c>
      <c r="P51" s="14">
        <f t="shared" si="33"/>
        <v>23.037240938104041</v>
      </c>
      <c r="Q51" s="22">
        <f t="shared" si="53"/>
        <v>185.88481063386448</v>
      </c>
      <c r="R51" s="62">
        <f t="shared" si="0"/>
        <v>479.21814396719776</v>
      </c>
      <c r="S51" s="62">
        <f ca="1">AVERAGE(OFFSET($R$3,0,0,'Données projet'!$E$9+1,1))-AVERAGE(OFFSET($H$3,0,0,'Données projet'!$E$9+1,1))</f>
        <v>98.272553716009838</v>
      </c>
      <c r="T51" s="62">
        <f t="shared" si="34"/>
        <v>68.315893120570763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1.0956797913334244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1.0956797913334244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186</v>
      </c>
      <c r="AJ51" s="14">
        <f>AI51*VLOOKUP('Données projet'!$B$10,Paramètres!$A$1:$I$89,3,0)*VLOOKUP('Données projet'!$B$10,Paramètres!$A$1:$I$89,5,0)</f>
        <v>87.048000000000002</v>
      </c>
      <c r="AK51" s="14">
        <f t="shared" si="35"/>
        <v>23.851897708444891</v>
      </c>
      <c r="AL51" s="22">
        <f t="shared" si="4"/>
        <v>193.15065517554152</v>
      </c>
      <c r="AM51" s="62">
        <f t="shared" si="5"/>
        <v>486.48398850887486</v>
      </c>
      <c r="AN51" s="62">
        <f ca="1">AVERAGE(OFFSET($AM$3,0,0,'Données projet'!$E$10+1,1))-AVERAGE(OFFSET($H$3,0,0,'Données projet'!$E$10+1,1))</f>
        <v>85.701306948362742</v>
      </c>
      <c r="AO51" s="62">
        <f t="shared" si="36"/>
        <v>118.59281525447091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11.331191139335127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0.85769913624438976</v>
      </c>
      <c r="AX51" s="23">
        <f t="shared" si="6"/>
        <v>12.188890275579517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71.420552731458145</v>
      </c>
      <c r="BJ51" s="62">
        <f t="shared" si="38"/>
        <v>436.74855282454985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64.890843510628045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2.4523554488797604E-3</v>
      </c>
      <c r="BS51" s="24">
        <f t="shared" si="9"/>
        <v>64.893295866076926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14.1</v>
      </c>
      <c r="BY51" s="13">
        <f>IF('Données projet'!$A$114&gt;35,BY50+BX51-CG50,IF(A51&lt;'Données projet'!$A$114,$BV$205^A51,IF(A51='Données projet'!$A$114,'Données projet'!$B$114,BY50+BX51-CG50)))</f>
        <v>286.80000000000007</v>
      </c>
      <c r="BZ51" s="14">
        <f>BY51*VLOOKUP('Données projet'!$B$12,Paramètres!$A$1:$I$89,3,0)*VLOOKUP('Données projet'!$B$12,Paramètres!$A$1:$I$89,5,0)</f>
        <v>171.50640000000004</v>
      </c>
      <c r="CA51" s="14">
        <f t="shared" si="39"/>
        <v>43.427233649451665</v>
      </c>
      <c r="CB51" s="22">
        <f t="shared" si="10"/>
        <v>374.34274527279507</v>
      </c>
      <c r="CC51" s="62">
        <f t="shared" si="11"/>
        <v>667.67607860612839</v>
      </c>
      <c r="CD51" s="62">
        <f ca="1">AVERAGE(OFFSET($CC$3,0,0,'Données projet'!$E$12+1,1))-AVERAGE(OFFSET($H$3,0,0,'Données projet'!$E$12+1,1))</f>
        <v>145.14303899407867</v>
      </c>
      <c r="CE51" s="62">
        <f t="shared" si="40"/>
        <v>137.55906339137317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11.752689134113981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0.53600899334404861</v>
      </c>
      <c r="CN51" s="24">
        <f t="shared" si="12"/>
        <v>12.28869812745803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101.39999999999995</v>
      </c>
      <c r="O52" s="14">
        <f>N52*VLOOKUP('Données projet'!$B$9,Paramètres!$A$1:$I$89,3,0)*VLOOKUP('Données projet'!$B$9,Paramètres!$A$1:$I$89,5,0)</f>
        <v>88.583039999999968</v>
      </c>
      <c r="P52" s="14">
        <f t="shared" si="33"/>
        <v>24.223173378642482</v>
      </c>
      <c r="Q52" s="22">
        <f t="shared" si="53"/>
        <v>196.47082163446893</v>
      </c>
      <c r="R52" s="62">
        <f t="shared" si="0"/>
        <v>489.80415496780222</v>
      </c>
      <c r="S52" s="62">
        <f ca="1">AVERAGE(OFFSET($R$3,0,0,'Données projet'!$E$9+1,1))-AVERAGE(OFFSET($H$3,0,0,'Données projet'!$E$9+1,1))</f>
        <v>98.272553716009838</v>
      </c>
      <c r="T52" s="62">
        <f t="shared" si="34"/>
        <v>68.315893120570763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1.0741941789240597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1.0741941789240597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193</v>
      </c>
      <c r="AJ52" s="14">
        <f>AI52*VLOOKUP('Données projet'!$B$10,Paramètres!$A$1:$I$89,3,0)*VLOOKUP('Données projet'!$B$10,Paramètres!$A$1:$I$89,5,0)</f>
        <v>90.324000000000012</v>
      </c>
      <c r="AK52" s="14">
        <f t="shared" si="35"/>
        <v>24.643349641795833</v>
      </c>
      <c r="AL52" s="22">
        <f t="shared" si="4"/>
        <v>200.23480062612774</v>
      </c>
      <c r="AM52" s="62">
        <f t="shared" si="5"/>
        <v>493.56813395946108</v>
      </c>
      <c r="AN52" s="62">
        <f ca="1">AVERAGE(OFFSET($AM$3,0,0,'Données projet'!$E$10+1,1))-AVERAGE(OFFSET($H$3,0,0,'Données projet'!$E$10+1,1))</f>
        <v>85.701306948362742</v>
      </c>
      <c r="AO52" s="62">
        <f t="shared" si="36"/>
        <v>118.59281525447091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11.108993392436922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0.60648487545625251</v>
      </c>
      <c r="AX52" s="23">
        <f t="shared" si="6"/>
        <v>11.715478267893175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71.420552731458145</v>
      </c>
      <c r="BJ52" s="62">
        <f t="shared" si="38"/>
        <v>436.74855282454985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63.618373648891016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1.7340771677826583E-3</v>
      </c>
      <c r="BS52" s="24">
        <f t="shared" si="9"/>
        <v>63.620107726058798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14.1</v>
      </c>
      <c r="BY52" s="13">
        <f>IF('Données projet'!$A$114&gt;35,BY51+BX52-CG51,IF(A52&lt;'Données projet'!$A$114,$BV$205^A52,IF(A52='Données projet'!$A$114,'Données projet'!$B$114,BY51+BX52-CG51)))</f>
        <v>300.90000000000009</v>
      </c>
      <c r="BZ52" s="14">
        <f>BY52*VLOOKUP('Données projet'!$B$12,Paramètres!$A$1:$I$89,3,0)*VLOOKUP('Données projet'!$B$12,Paramètres!$A$1:$I$89,5,0)</f>
        <v>179.93820000000005</v>
      </c>
      <c r="CA52" s="14">
        <f t="shared" si="39"/>
        <v>45.308436530386629</v>
      </c>
      <c r="CB52" s="22">
        <f t="shared" si="10"/>
        <v>392.30455862375675</v>
      </c>
      <c r="CC52" s="62">
        <f t="shared" si="11"/>
        <v>685.63789195709001</v>
      </c>
      <c r="CD52" s="62">
        <f ca="1">AVERAGE(OFFSET($CC$3,0,0,'Données projet'!$E$12+1,1))-AVERAGE(OFFSET($H$3,0,0,'Données projet'!$E$12+1,1))</f>
        <v>145.14303899407867</v>
      </c>
      <c r="CE52" s="62">
        <f t="shared" si="40"/>
        <v>137.55906339137317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11.522226068626553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0.37901559397055179</v>
      </c>
      <c r="CN52" s="24">
        <f t="shared" si="12"/>
        <v>11.901241662597105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107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106.99999999999994</v>
      </c>
      <c r="O53" s="14">
        <f>N53*VLOOKUP('Données projet'!$B$9,Paramètres!$A$1:$I$89,3,0)*VLOOKUP('Données projet'!$B$9,Paramètres!$A$1:$I$89,5,0)</f>
        <v>93.475199999999958</v>
      </c>
      <c r="P53" s="14">
        <f t="shared" si="33"/>
        <v>25.401502539965641</v>
      </c>
      <c r="Q53" s="22">
        <f t="shared" si="53"/>
        <v>207.04359025710676</v>
      </c>
      <c r="R53" s="62">
        <f t="shared" si="0"/>
        <v>500.37692359044007</v>
      </c>
      <c r="S53" s="62">
        <f ca="1">AVERAGE(OFFSET($R$3,0,0,'Données projet'!$E$9+1,1))-AVERAGE(OFFSET($H$3,0,0,'Données projet'!$E$9+1,1))</f>
        <v>98.272553716009838</v>
      </c>
      <c r="T53" s="62">
        <f t="shared" si="34"/>
        <v>68.315893120570763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0.17200000000000001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3.3786292142015579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3.3786292142015579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200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200</v>
      </c>
      <c r="AJ53" s="14">
        <f>AI53*VLOOKUP('Données projet'!$B$10,Paramètres!$A$1:$I$89,3,0)*VLOOKUP('Données projet'!$B$10,Paramètres!$A$1:$I$89,5,0)</f>
        <v>93.600000000000009</v>
      </c>
      <c r="AK53" s="14">
        <f t="shared" si="35"/>
        <v>25.431466524572937</v>
      </c>
      <c r="AL53" s="22">
        <f t="shared" si="4"/>
        <v>207.31313753029789</v>
      </c>
      <c r="AM53" s="62">
        <f t="shared" si="5"/>
        <v>500.64647086363118</v>
      </c>
      <c r="AN53" s="62">
        <f ca="1">AVERAGE(OFFSET($AM$3,0,0,'Données projet'!$E$10+1,1))-AVERAGE(OFFSET($H$3,0,0,'Données projet'!$E$10+1,1))</f>
        <v>85.701306948362742</v>
      </c>
      <c r="AO53" s="62">
        <f t="shared" si="36"/>
        <v>118.59281525447091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60</v>
      </c>
      <c r="AR53" s="17">
        <f>IF(ISNA(VLOOKUP(A53,'Données projet'!$A$61:$I$81,5,0)),0%,VLOOKUP(A53,'Données projet'!$A$61:$I$81,5,0)*VLOOKUP('Données projet'!$B$10,Paramètres!$A$1:$I$89,7,0))</f>
        <v>0.38500000000000001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0.3</v>
      </c>
      <c r="AU53" s="23">
        <f>EXP(-LN(2)/35)*AU52+(1-EXP(-LN(2)/35))/(LN(2)/35)*AQ53*AR53*VLOOKUP('Données projet'!$B$10,Paramètres!$A$1:$I$89,3,0)*0.475*44/12</f>
        <v>25.232375822693925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9.966774442485141</v>
      </c>
      <c r="AX53" s="23">
        <f t="shared" si="6"/>
        <v>35.199150265179064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71.420552731458145</v>
      </c>
      <c r="BJ53" s="62">
        <f t="shared" si="38"/>
        <v>436.74855282454985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62.370856145012674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1.2261777244398802E-3</v>
      </c>
      <c r="BS53" s="24">
        <f t="shared" si="9"/>
        <v>62.372082322737114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315</v>
      </c>
      <c r="BW53" s="13">
        <f>VLOOKUP(A53,'Données projet'!$A$113:$I$133,9,0)</f>
        <v>14.1</v>
      </c>
      <c r="BX53" s="13">
        <f t="array" ref="BX53">INDEX(BW:BW,MIN(IF(ISNUMBER(BW53:BW249),ROW(BW53:BW249),"")))</f>
        <v>14.1</v>
      </c>
      <c r="BY53" s="13">
        <f>IF('Données projet'!$A$114&gt;35,BY52+BX53-CG52,IF(A53&lt;'Données projet'!$A$114,$BV$205^A53,IF(A53='Données projet'!$A$114,'Données projet'!$B$114,BY52+BX53-CG52)))</f>
        <v>315.00000000000011</v>
      </c>
      <c r="BZ53" s="14">
        <f>BY53*VLOOKUP('Données projet'!$B$12,Paramètres!$A$1:$I$89,3,0)*VLOOKUP('Données projet'!$B$12,Paramètres!$A$1:$I$89,5,0)</f>
        <v>188.37000000000009</v>
      </c>
      <c r="CA53" s="14">
        <f t="shared" si="39"/>
        <v>47.179402486491341</v>
      </c>
      <c r="CB53" s="22">
        <f t="shared" si="10"/>
        <v>410.24854266397256</v>
      </c>
      <c r="CC53" s="62">
        <f t="shared" si="11"/>
        <v>703.58187599730581</v>
      </c>
      <c r="CD53" s="62">
        <f ca="1">AVERAGE(OFFSET($CC$3,0,0,'Données projet'!$E$12+1,1))-AVERAGE(OFFSET($H$3,0,0,'Données projet'!$E$12+1,1))</f>
        <v>145.14303899407867</v>
      </c>
      <c r="CE53" s="62">
        <f t="shared" si="40"/>
        <v>137.55906339137317</v>
      </c>
      <c r="CF53" s="16">
        <f>IF(ISNA(VLOOKUP(A53,'Données projet'!$A$113:$I$133,3,0)),0,VLOOKUP(A53,'Données projet'!$A$113:$I$133,3,0))</f>
        <v>5</v>
      </c>
      <c r="CG53" s="16">
        <f>IF(ISNA(VLOOKUP(A53,'Données projet'!$A$113:$I$133,4,0)),0,VLOOKUP(A53,'Données projet'!$A$113:$I$133,4,0))</f>
        <v>79</v>
      </c>
      <c r="CH53" s="17">
        <f>IF(ISNA(VLOOKUP(A53,'Données projet'!$A$113:$I$133,5,0)),0%,VLOOKUP(A53,'Données projet'!$A$113:$I$133,5,0)*VLOOKUP('Données projet'!$B$12,Paramètres!$A$1:$I$89,7,0))</f>
        <v>0.315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0.3</v>
      </c>
      <c r="CK53" s="23">
        <f>EXP(-LN(2)/35)*CK52+(1-EXP(-LN(2)/35))/(LN(2)/35)*CG53*CH53*VLOOKUP('Données projet'!$B$12,Paramètres!$A$1:$I$89,3,0)*0.475*44/12</f>
        <v>31.037193014505299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16.314679956595612</v>
      </c>
      <c r="CN53" s="24">
        <f t="shared" si="12"/>
        <v>47.35187297110091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98.599999999999937</v>
      </c>
      <c r="O54" s="14">
        <f>N54*VLOOKUP('Données projet'!$B$9,Paramètres!$A$1:$I$89,3,0)*VLOOKUP('Données projet'!$B$9,Paramètres!$A$1:$I$89,5,0)</f>
        <v>86.136959999999959</v>
      </c>
      <c r="P54" s="14">
        <f t="shared" si="33"/>
        <v>23.631187314916207</v>
      </c>
      <c r="Q54" s="22">
        <f t="shared" si="53"/>
        <v>191.17952324014564</v>
      </c>
      <c r="R54" s="62">
        <f t="shared" si="0"/>
        <v>484.51285657347898</v>
      </c>
      <c r="S54" s="62">
        <f ca="1">AVERAGE(OFFSET($R$3,0,0,'Données projet'!$E$9+1,1))-AVERAGE(OFFSET($H$3,0,0,'Données projet'!$E$9+1,1))</f>
        <v>98.272553716009838</v>
      </c>
      <c r="T54" s="62">
        <f t="shared" si="34"/>
        <v>68.315893120570763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3.312376356071403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3.312376356071403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148</v>
      </c>
      <c r="AJ54" s="14">
        <f>AI54*VLOOKUP('Données projet'!$B$10,Paramètres!$A$1:$I$89,3,0)*VLOOKUP('Données projet'!$B$10,Paramètres!$A$1:$I$89,5,0)</f>
        <v>69.26400000000001</v>
      </c>
      <c r="AK54" s="14">
        <f t="shared" si="35"/>
        <v>19.490570545800445</v>
      </c>
      <c r="AL54" s="22">
        <f t="shared" si="4"/>
        <v>154.58087703393579</v>
      </c>
      <c r="AM54" s="62">
        <f t="shared" si="5"/>
        <v>447.91421036726911</v>
      </c>
      <c r="AN54" s="62">
        <f ca="1">AVERAGE(OFFSET($AM$3,0,0,'Données projet'!$E$10+1,1))-AVERAGE(OFFSET($H$3,0,0,'Données projet'!$E$10+1,1))</f>
        <v>85.701306948362742</v>
      </c>
      <c r="AO54" s="62">
        <f t="shared" si="36"/>
        <v>118.59281525447091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24.73758432304049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7.0475737948380148</v>
      </c>
      <c r="AX54" s="23">
        <f t="shared" si="6"/>
        <v>31.785158117878506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71.420552731458145</v>
      </c>
      <c r="BJ54" s="62">
        <f t="shared" si="38"/>
        <v>436.74855282454985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61.147801698474844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8.6703858389132916E-4</v>
      </c>
      <c r="BS54" s="24">
        <f t="shared" si="9"/>
        <v>61.148668737058735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15.7</v>
      </c>
      <c r="BY54" s="13">
        <f>IF('Données projet'!$A$114&gt;35,BY53+BX54-CG53,IF(A54&lt;'Données projet'!$A$114,$BV$205^A54,IF(A54='Données projet'!$A$114,'Données projet'!$B$114,BY53+BX54-CG53)))</f>
        <v>251.7000000000001</v>
      </c>
      <c r="BZ54" s="14">
        <f>BY54*VLOOKUP('Données projet'!$B$12,Paramètres!$A$1:$I$89,3,0)*VLOOKUP('Données projet'!$B$12,Paramètres!$A$1:$I$89,5,0)</f>
        <v>150.51660000000007</v>
      </c>
      <c r="CA54" s="14">
        <f t="shared" si="39"/>
        <v>38.695961323116059</v>
      </c>
      <c r="CB54" s="22">
        <f t="shared" si="10"/>
        <v>329.54521097109392</v>
      </c>
      <c r="CC54" s="62">
        <f t="shared" si="11"/>
        <v>622.87854430442724</v>
      </c>
      <c r="CD54" s="62">
        <f ca="1">AVERAGE(OFFSET($CC$3,0,0,'Données projet'!$E$12+1,1))-AVERAGE(OFFSET($H$3,0,0,'Données projet'!$E$12+1,1))</f>
        <v>145.14303899407867</v>
      </c>
      <c r="CE54" s="62">
        <f t="shared" si="40"/>
        <v>137.55906339137317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30.428572590309326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11.536220830197006</v>
      </c>
      <c r="CN54" s="24">
        <f t="shared" si="12"/>
        <v>41.964793420506332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104.19999999999993</v>
      </c>
      <c r="O55" s="14">
        <f>N55*VLOOKUP('Données projet'!$B$9,Paramètres!$A$1:$I$89,3,0)*VLOOKUP('Données projet'!$B$9,Paramètres!$A$1:$I$89,5,0)</f>
        <v>91.029119999999949</v>
      </c>
      <c r="P55" s="14">
        <f t="shared" si="33"/>
        <v>24.813259479575787</v>
      </c>
      <c r="Q55" s="22">
        <f t="shared" si="53"/>
        <v>201.75881092692774</v>
      </c>
      <c r="R55" s="62">
        <f t="shared" si="0"/>
        <v>495.09214426026108</v>
      </c>
      <c r="S55" s="62">
        <f ca="1">AVERAGE(OFFSET($R$3,0,0,'Données projet'!$E$9+1,1))-AVERAGE(OFFSET($H$3,0,0,'Données projet'!$E$9+1,1))</f>
        <v>98.272553716009838</v>
      </c>
      <c r="T55" s="62">
        <f t="shared" si="34"/>
        <v>68.315893120570763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3.2474226760789269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3.2474226760789269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156</v>
      </c>
      <c r="AJ55" s="14">
        <f>AI55*VLOOKUP('Données projet'!$B$10,Paramètres!$A$1:$I$89,3,0)*VLOOKUP('Données projet'!$B$10,Paramètres!$A$1:$I$89,5,0)</f>
        <v>73.007999999999996</v>
      </c>
      <c r="AK55" s="14">
        <f t="shared" si="35"/>
        <v>20.418611018263636</v>
      </c>
      <c r="AL55" s="22">
        <f t="shared" si="4"/>
        <v>162.7180141901425</v>
      </c>
      <c r="AM55" s="62">
        <f t="shared" si="5"/>
        <v>456.05134752347578</v>
      </c>
      <c r="AN55" s="62">
        <f ca="1">AVERAGE(OFFSET($AM$3,0,0,'Données projet'!$E$10+1,1))-AVERAGE(OFFSET($H$3,0,0,'Données projet'!$E$10+1,1))</f>
        <v>85.701306948362742</v>
      </c>
      <c r="AO55" s="62">
        <f t="shared" si="36"/>
        <v>118.59281525447091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24.252495382902243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4.9833872212425705</v>
      </c>
      <c r="AX55" s="23">
        <f t="shared" si="6"/>
        <v>29.235882604144813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71.420552731458145</v>
      </c>
      <c r="BJ55" s="62">
        <f t="shared" si="38"/>
        <v>436.74855282454985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59.948730603644066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6.1308886221994011E-4</v>
      </c>
      <c r="BS55" s="24">
        <f t="shared" si="9"/>
        <v>59.949343692506282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15.7</v>
      </c>
      <c r="BY55" s="13">
        <f>IF('Données projet'!$A$114&gt;35,BY54+BX55-CG54,IF(A55&lt;'Données projet'!$A$114,$BV$205^A55,IF(A55='Données projet'!$A$114,'Données projet'!$B$114,BY54+BX55-CG54)))</f>
        <v>267.40000000000009</v>
      </c>
      <c r="BZ55" s="14">
        <f>BY55*VLOOKUP('Données projet'!$B$12,Paramètres!$A$1:$I$89,3,0)*VLOOKUP('Données projet'!$B$12,Paramètres!$A$1:$I$89,5,0)</f>
        <v>159.90520000000006</v>
      </c>
      <c r="CA55" s="14">
        <f t="shared" si="39"/>
        <v>40.821132264574658</v>
      </c>
      <c r="CB55" s="22">
        <f t="shared" si="10"/>
        <v>349.59836202746766</v>
      </c>
      <c r="CC55" s="62">
        <f t="shared" si="11"/>
        <v>642.93169536080097</v>
      </c>
      <c r="CD55" s="62">
        <f ca="1">AVERAGE(OFFSET($CC$3,0,0,'Données projet'!$E$12+1,1))-AVERAGE(OFFSET($H$3,0,0,'Données projet'!$E$12+1,1))</f>
        <v>145.14303899407867</v>
      </c>
      <c r="CE55" s="62">
        <f t="shared" si="40"/>
        <v>137.55906339137317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29.831886841410032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8.1573399782978075</v>
      </c>
      <c r="CN55" s="24">
        <f t="shared" si="12"/>
        <v>37.989226819707838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109.79999999999993</v>
      </c>
      <c r="O56" s="14">
        <f>N56*VLOOKUP('Données projet'!$B$9,Paramètres!$A$1:$I$89,3,0)*VLOOKUP('Données projet'!$B$9,Paramètres!$A$1:$I$89,5,0)</f>
        <v>95.921279999999953</v>
      </c>
      <c r="P56" s="14">
        <f t="shared" si="33"/>
        <v>25.987956333280735</v>
      </c>
      <c r="Q56" s="22">
        <f t="shared" si="53"/>
        <v>212.32525328046384</v>
      </c>
      <c r="R56" s="62">
        <f t="shared" si="0"/>
        <v>505.65858661379718</v>
      </c>
      <c r="S56" s="62">
        <f ca="1">AVERAGE(OFFSET($R$3,0,0,'Données projet'!$E$9+1,1))-AVERAGE(OFFSET($H$3,0,0,'Données projet'!$E$9+1,1))</f>
        <v>98.272553716009838</v>
      </c>
      <c r="T56" s="62">
        <f t="shared" si="34"/>
        <v>68.315893120570763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3.1837426981332704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3.1837426981332704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164</v>
      </c>
      <c r="AJ56" s="14">
        <f>AI56*VLOOKUP('Données projet'!$B$10,Paramètres!$A$1:$I$89,3,0)*VLOOKUP('Données projet'!$B$10,Paramètres!$A$1:$I$89,5,0)</f>
        <v>76.751999999999995</v>
      </c>
      <c r="AK56" s="14">
        <f t="shared" si="35"/>
        <v>21.341125747045119</v>
      </c>
      <c r="AL56" s="22">
        <f t="shared" si="4"/>
        <v>170.84552734277023</v>
      </c>
      <c r="AM56" s="62">
        <f t="shared" si="5"/>
        <v>464.17886067610357</v>
      </c>
      <c r="AN56" s="62">
        <f ca="1">AVERAGE(OFFSET($AM$3,0,0,'Données projet'!$E$10+1,1))-AVERAGE(OFFSET($H$3,0,0,'Données projet'!$E$10+1,1))</f>
        <v>85.701306948362742</v>
      </c>
      <c r="AO56" s="62">
        <f t="shared" si="36"/>
        <v>118.59281525447091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23.776918741005069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3.5237868974190074</v>
      </c>
      <c r="AX56" s="23">
        <f t="shared" si="6"/>
        <v>27.300705638424077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71.420552731458145</v>
      </c>
      <c r="BJ56" s="62">
        <f t="shared" si="38"/>
        <v>436.74855282454985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58.77317256162177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4.3351929194566458E-4</v>
      </c>
      <c r="BS56" s="24">
        <f t="shared" si="9"/>
        <v>58.773606080913716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15.7</v>
      </c>
      <c r="BY56" s="13">
        <f>IF('Données projet'!$A$114&gt;35,BY55+BX56-CG55,IF(A56&lt;'Données projet'!$A$114,$BV$205^A56,IF(A56='Données projet'!$A$114,'Données projet'!$B$114,BY55+BX56-CG55)))</f>
        <v>283.10000000000008</v>
      </c>
      <c r="BZ56" s="14">
        <f>BY56*VLOOKUP('Données projet'!$B$12,Paramètres!$A$1:$I$89,3,0)*VLOOKUP('Données projet'!$B$12,Paramètres!$A$1:$I$89,5,0)</f>
        <v>169.29380000000009</v>
      </c>
      <c r="CA56" s="14">
        <f t="shared" si="39"/>
        <v>42.931819978697277</v>
      </c>
      <c r="CB56" s="22">
        <f t="shared" si="10"/>
        <v>369.6262881295645</v>
      </c>
      <c r="CC56" s="62">
        <f t="shared" si="11"/>
        <v>662.95962146289776</v>
      </c>
      <c r="CD56" s="62">
        <f ca="1">AVERAGE(OFFSET($CC$3,0,0,'Données projet'!$E$12+1,1))-AVERAGE(OFFSET($H$3,0,0,'Données projet'!$E$12+1,1))</f>
        <v>145.14303899407867</v>
      </c>
      <c r="CE56" s="62">
        <f t="shared" si="40"/>
        <v>137.55906339137317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29.246901736104284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5.7681104150985041</v>
      </c>
      <c r="CN56" s="24">
        <f t="shared" si="12"/>
        <v>35.015012151202789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115.39999999999992</v>
      </c>
      <c r="O57" s="14">
        <f>N57*VLOOKUP('Données projet'!$B$9,Paramètres!$A$1:$I$89,3,0)*VLOOKUP('Données projet'!$B$9,Paramètres!$A$1:$I$89,5,0)</f>
        <v>100.81343999999996</v>
      </c>
      <c r="P57" s="14">
        <f t="shared" si="33"/>
        <v>27.155696942944218</v>
      </c>
      <c r="Q57" s="22">
        <f t="shared" si="53"/>
        <v>222.87958017562775</v>
      </c>
      <c r="R57" s="62">
        <f t="shared" si="0"/>
        <v>516.21291350896104</v>
      </c>
      <c r="S57" s="62">
        <f ca="1">AVERAGE(OFFSET($R$3,0,0,'Données projet'!$E$9+1,1))-AVERAGE(OFFSET($H$3,0,0,'Données projet'!$E$9+1,1))</f>
        <v>98.272553716009838</v>
      </c>
      <c r="T57" s="62">
        <f t="shared" si="34"/>
        <v>68.315893120570763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3.1213114457141771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3.1213114457141771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172</v>
      </c>
      <c r="AJ57" s="14">
        <f>AI57*VLOOKUP('Données projet'!$B$10,Paramètres!$A$1:$I$89,3,0)*VLOOKUP('Données projet'!$B$10,Paramètres!$A$1:$I$89,5,0)</f>
        <v>80.495999999999995</v>
      </c>
      <c r="AK57" s="14">
        <f t="shared" si="35"/>
        <v>22.258415047134118</v>
      </c>
      <c r="AL57" s="22">
        <f t="shared" si="4"/>
        <v>178.96393954042523</v>
      </c>
      <c r="AM57" s="62">
        <f t="shared" si="5"/>
        <v>472.29727287375852</v>
      </c>
      <c r="AN57" s="62">
        <f ca="1">AVERAGE(OFFSET($AM$3,0,0,'Données projet'!$E$10+1,1))-AVERAGE(OFFSET($H$3,0,0,'Données projet'!$E$10+1,1))</f>
        <v>85.701306948362742</v>
      </c>
      <c r="AO57" s="62">
        <f t="shared" si="36"/>
        <v>118.59281525447091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23.310667866982389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2.4916936106212852</v>
      </c>
      <c r="AX57" s="23">
        <f t="shared" si="6"/>
        <v>25.802361477603675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71.420552731458145</v>
      </c>
      <c r="BJ57" s="62">
        <f t="shared" si="38"/>
        <v>436.74855282454985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57.620666495783922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3.0654443110997005E-4</v>
      </c>
      <c r="BS57" s="24">
        <f t="shared" si="9"/>
        <v>57.620973040215034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15.7</v>
      </c>
      <c r="BY57" s="13">
        <f>IF('Données projet'!$A$114&gt;35,BY56+BX57-CG56,IF(A57&lt;'Données projet'!$A$114,$BV$205^A57,IF(A57='Données projet'!$A$114,'Données projet'!$B$114,BY56+BX57-CG56)))</f>
        <v>298.80000000000007</v>
      </c>
      <c r="BZ57" s="14">
        <f>BY57*VLOOKUP('Données projet'!$B$12,Paramètres!$A$1:$I$89,3,0)*VLOOKUP('Données projet'!$B$12,Paramètres!$A$1:$I$89,5,0)</f>
        <v>178.68240000000006</v>
      </c>
      <c r="CA57" s="14">
        <f t="shared" si="39"/>
        <v>45.028919214980071</v>
      </c>
      <c r="CB57" s="22">
        <f t="shared" si="10"/>
        <v>389.63054763275704</v>
      </c>
      <c r="CC57" s="62">
        <f t="shared" si="11"/>
        <v>682.9638809660903</v>
      </c>
      <c r="CD57" s="62">
        <f ca="1">AVERAGE(OFFSET($CC$3,0,0,'Données projet'!$E$12+1,1))-AVERAGE(OFFSET($H$3,0,0,'Données projet'!$E$12+1,1))</f>
        <v>145.14303899407867</v>
      </c>
      <c r="CE57" s="62">
        <f t="shared" si="40"/>
        <v>137.55906339137317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28.673387831907899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4.0786699891489038</v>
      </c>
      <c r="CN57" s="24">
        <f t="shared" si="12"/>
        <v>32.752057821056802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121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120.99999999999991</v>
      </c>
      <c r="O58" s="14">
        <f>N58*VLOOKUP('Données projet'!$B$9,Paramètres!$A$1:$I$89,3,0)*VLOOKUP('Données projet'!$B$9,Paramètres!$A$1:$I$89,5,0)</f>
        <v>105.70559999999995</v>
      </c>
      <c r="P58" s="14">
        <f t="shared" si="33"/>
        <v>28.316857405559993</v>
      </c>
      <c r="Q58" s="22">
        <f t="shared" si="53"/>
        <v>233.42244664801692</v>
      </c>
      <c r="R58" s="62">
        <f t="shared" si="0"/>
        <v>526.7557799813502</v>
      </c>
      <c r="S58" s="62">
        <f ca="1">AVERAGE(OFFSET($R$3,0,0,'Données projet'!$E$9+1,1))-AVERAGE(OFFSET($H$3,0,0,'Données projet'!$E$9+1,1))</f>
        <v>98.272553716009838</v>
      </c>
      <c r="T58" s="62">
        <f t="shared" si="34"/>
        <v>68.315893120570763</v>
      </c>
      <c r="U58" s="16">
        <f>IF(ISNA(VLOOKUP(A58,'Données projet'!$A$35:$I$55,3,0)),0,VLOOKUP(A58,'Données projet'!$A$35:$I$55,3,0))</f>
        <v>5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0.25800000000000001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6.548353423974385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6.548353423974385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180</v>
      </c>
      <c r="AJ58" s="14">
        <f>AI58*VLOOKUP('Données projet'!$B$10,Paramètres!$A$1:$I$89,3,0)*VLOOKUP('Données projet'!$B$10,Paramètres!$A$1:$I$89,5,0)</f>
        <v>84.24</v>
      </c>
      <c r="AK58" s="14">
        <f t="shared" si="35"/>
        <v>23.170749718409468</v>
      </c>
      <c r="AL58" s="22">
        <f t="shared" si="4"/>
        <v>187.07372242622981</v>
      </c>
      <c r="AM58" s="62">
        <f t="shared" si="5"/>
        <v>480.40705575956315</v>
      </c>
      <c r="AN58" s="62">
        <f ca="1">AVERAGE(OFFSET($AM$3,0,0,'Données projet'!$E$10+1,1))-AVERAGE(OFFSET($H$3,0,0,'Données projet'!$E$10+1,1))</f>
        <v>85.701306948362742</v>
      </c>
      <c r="AO58" s="62">
        <f t="shared" si="36"/>
        <v>118.59281525447091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22.853559888214342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1.7618934487095037</v>
      </c>
      <c r="AX58" s="23">
        <f t="shared" si="6"/>
        <v>24.615453336923846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71.420552731458145</v>
      </c>
      <c r="BJ58" s="62">
        <f t="shared" si="38"/>
        <v>436.74855282454985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56.490760370937871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2.1675964597283229E-4</v>
      </c>
      <c r="BS58" s="24">
        <f t="shared" si="9"/>
        <v>56.490977130583843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15.7</v>
      </c>
      <c r="BY58" s="13">
        <f>IF('Données projet'!$A$114&gt;35,BY57+BX58-CG57,IF(A58&lt;'Données projet'!$A$114,$BV$205^A58,IF(A58='Données projet'!$A$114,'Données projet'!$B$114,BY57+BX58-CG57)))</f>
        <v>314.50000000000006</v>
      </c>
      <c r="BZ58" s="14">
        <f>BY58*VLOOKUP('Données projet'!$B$12,Paramètres!$A$1:$I$89,3,0)*VLOOKUP('Données projet'!$B$12,Paramètres!$A$1:$I$89,5,0)</f>
        <v>188.07100000000005</v>
      </c>
      <c r="CA58" s="14">
        <f t="shared" si="39"/>
        <v>47.113225385753083</v>
      </c>
      <c r="CB58" s="22">
        <f t="shared" si="10"/>
        <v>409.61252588018669</v>
      </c>
      <c r="CC58" s="62">
        <f t="shared" si="11"/>
        <v>702.94585921351995</v>
      </c>
      <c r="CD58" s="62">
        <f ca="1">AVERAGE(OFFSET($CC$3,0,0,'Données projet'!$E$12+1,1))-AVERAGE(OFFSET($H$3,0,0,'Données projet'!$E$12+1,1))</f>
        <v>145.14303899407867</v>
      </c>
      <c r="CE58" s="62">
        <f t="shared" si="40"/>
        <v>137.55906339137317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28.111120185563863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2.884055207549252</v>
      </c>
      <c r="CN58" s="24">
        <f t="shared" si="12"/>
        <v>30.995175393113115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5.4</v>
      </c>
      <c r="N59" s="14">
        <f>IF('Données projet'!$A$36&gt;35,N58+M59-V58,IF(A59&lt;'Données projet'!$A$36,$K$205^A59,IF(A59='Données projet'!$A$36,'Données projet'!$B$36,N58+M59-V58)))</f>
        <v>112.39999999999992</v>
      </c>
      <c r="O59" s="14">
        <f>N59*VLOOKUP('Données projet'!$B$9,Paramètres!$A$1:$I$89,3,0)*VLOOKUP('Données projet'!$B$9,Paramètres!$A$1:$I$89,5,0)</f>
        <v>98.19263999999994</v>
      </c>
      <c r="P59" s="14">
        <f t="shared" si="33"/>
        <v>26.530962957008402</v>
      </c>
      <c r="Q59" s="22">
        <f t="shared" si="53"/>
        <v>217.22694181678949</v>
      </c>
      <c r="R59" s="62">
        <f t="shared" si="0"/>
        <v>510.56027515012283</v>
      </c>
      <c r="S59" s="62">
        <f ca="1">AVERAGE(OFFSET($R$3,0,0,'Données projet'!$E$9+1,1))-AVERAGE(OFFSET($H$3,0,0,'Données projet'!$E$9+1,1))</f>
        <v>98.272553716009838</v>
      </c>
      <c r="T59" s="62">
        <f t="shared" si="34"/>
        <v>68.315893120570763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6.4199442074314508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6.4199442074314508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188</v>
      </c>
      <c r="AJ59" s="14">
        <f>AI59*VLOOKUP('Données projet'!$B$10,Paramètres!$A$1:$I$89,3,0)*VLOOKUP('Données projet'!$B$10,Paramètres!$A$1:$I$89,5,0)</f>
        <v>87.983999999999995</v>
      </c>
      <c r="AK59" s="14">
        <f t="shared" si="35"/>
        <v>24.078375128721785</v>
      </c>
      <c r="AL59" s="22">
        <f t="shared" si="4"/>
        <v>195.17530334919044</v>
      </c>
      <c r="AM59" s="62">
        <f t="shared" si="5"/>
        <v>488.50863668252373</v>
      </c>
      <c r="AN59" s="62">
        <f ca="1">AVERAGE(OFFSET($AM$3,0,0,'Données projet'!$E$10+1,1))-AVERAGE(OFFSET($H$3,0,0,'Données projet'!$E$10+1,1))</f>
        <v>85.701306948362742</v>
      </c>
      <c r="AO59" s="62">
        <f t="shared" si="36"/>
        <v>118.59281525447091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22.405415518101599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1.2458468053106426</v>
      </c>
      <c r="AX59" s="23">
        <f t="shared" si="6"/>
        <v>23.65126232341224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71.420552731458145</v>
      </c>
      <c r="BJ59" s="62">
        <f t="shared" si="38"/>
        <v>436.74855282454985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55.383011016025364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1.5327221555498503E-4</v>
      </c>
      <c r="BS59" s="24">
        <f t="shared" si="9"/>
        <v>55.38316428824092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15.7</v>
      </c>
      <c r="BY59" s="13">
        <f>IF('Données projet'!$A$114&gt;35,BY58+BX59-CG58,IF(A59&lt;'Données projet'!$A$114,$BV$205^A59,IF(A59='Données projet'!$A$114,'Données projet'!$B$114,BY58+BX59-CG58)))</f>
        <v>330.20000000000005</v>
      </c>
      <c r="BZ59" s="14">
        <f>BY59*VLOOKUP('Données projet'!$B$12,Paramètres!$A$1:$I$89,3,0)*VLOOKUP('Données projet'!$B$12,Paramètres!$A$1:$I$89,5,0)</f>
        <v>197.45960000000005</v>
      </c>
      <c r="CA59" s="14">
        <f t="shared" si="39"/>
        <v>49.185450002435452</v>
      </c>
      <c r="CB59" s="22">
        <f t="shared" si="10"/>
        <v>429.57346208757514</v>
      </c>
      <c r="CC59" s="62">
        <f t="shared" si="11"/>
        <v>722.90679542090845</v>
      </c>
      <c r="CD59" s="62">
        <f ca="1">AVERAGE(OFFSET($CC$3,0,0,'Données projet'!$E$12+1,1))-AVERAGE(OFFSET($H$3,0,0,'Données projet'!$E$12+1,1))</f>
        <v>145.14303899407867</v>
      </c>
      <c r="CE59" s="62">
        <f t="shared" si="40"/>
        <v>137.55906339137317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27.559878264815232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2.0393349945744519</v>
      </c>
      <c r="CN59" s="24">
        <f t="shared" si="12"/>
        <v>29.599213259389686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5.4</v>
      </c>
      <c r="N60" s="14">
        <f>IF('Données projet'!$A$36&gt;35,N59+M60-V59,IF(A60&lt;'Données projet'!$A$36,$K$205^A60,IF(A60='Données projet'!$A$36,'Données projet'!$B$36,N59+M60-V59)))</f>
        <v>117.79999999999993</v>
      </c>
      <c r="O60" s="14">
        <f>N60*VLOOKUP('Données projet'!$B$9,Paramètres!$A$1:$I$89,3,0)*VLOOKUP('Données projet'!$B$9,Paramètres!$A$1:$I$89,5,0)</f>
        <v>102.91007999999994</v>
      </c>
      <c r="P60" s="14">
        <f t="shared" si="33"/>
        <v>27.654122306790402</v>
      </c>
      <c r="Q60" s="22">
        <f t="shared" si="53"/>
        <v>227.39931901765985</v>
      </c>
      <c r="R60" s="62">
        <f t="shared" si="0"/>
        <v>520.73265235099313</v>
      </c>
      <c r="S60" s="62">
        <f ca="1">AVERAGE(OFFSET($R$3,0,0,'Données projet'!$E$9+1,1))-AVERAGE(OFFSET($H$3,0,0,'Données projet'!$E$9+1,1))</f>
        <v>98.272553716009838</v>
      </c>
      <c r="T60" s="62">
        <f t="shared" si="34"/>
        <v>68.315893120570763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6.2940530173030353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6.2940530173030353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196</v>
      </c>
      <c r="AJ60" s="14">
        <f>AI60*VLOOKUP('Données projet'!$B$10,Paramètres!$A$1:$I$89,3,0)*VLOOKUP('Données projet'!$B$10,Paramètres!$A$1:$I$89,5,0)</f>
        <v>91.728000000000009</v>
      </c>
      <c r="AK60" s="14">
        <f t="shared" si="35"/>
        <v>24.981514582386563</v>
      </c>
      <c r="AL60" s="22">
        <f t="shared" si="4"/>
        <v>203.26907123098991</v>
      </c>
      <c r="AM60" s="62">
        <f t="shared" si="5"/>
        <v>496.60240456432325</v>
      </c>
      <c r="AN60" s="62">
        <f ca="1">AVERAGE(OFFSET($AM$3,0,0,'Données projet'!$E$10+1,1))-AVERAGE(OFFSET($H$3,0,0,'Données projet'!$E$10+1,1))</f>
        <v>85.701306948362742</v>
      </c>
      <c r="AO60" s="62">
        <f t="shared" si="36"/>
        <v>118.59281525447091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21.96605898574569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0.88094672435475185</v>
      </c>
      <c r="AX60" s="23">
        <f t="shared" si="6"/>
        <v>22.84700571010044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71.420552731458145</v>
      </c>
      <c r="BJ60" s="62">
        <f t="shared" si="38"/>
        <v>436.74855282454985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54.296983950302298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1.0837982298641614E-4</v>
      </c>
      <c r="BS60" s="24">
        <f t="shared" si="9"/>
        <v>54.297092330125288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15.7</v>
      </c>
      <c r="BY60" s="13">
        <f>IF('Données projet'!$A$114&gt;35,BY59+BX60-CG59,IF(A60&lt;'Données projet'!$A$114,$BV$205^A60,IF(A60='Données projet'!$A$114,'Données projet'!$B$114,BY59+BX60-CG59)))</f>
        <v>345.90000000000003</v>
      </c>
      <c r="BZ60" s="14">
        <f>BY60*VLOOKUP('Données projet'!$B$12,Paramètres!$A$1:$I$89,3,0)*VLOOKUP('Données projet'!$B$12,Paramètres!$A$1:$I$89,5,0)</f>
        <v>206.84820000000005</v>
      </c>
      <c r="CA60" s="14">
        <f t="shared" si="39"/>
        <v>51.246233092829954</v>
      </c>
      <c r="CB60" s="22">
        <f t="shared" si="10"/>
        <v>449.51447097001227</v>
      </c>
      <c r="CC60" s="62">
        <f t="shared" si="11"/>
        <v>742.84780430334558</v>
      </c>
      <c r="CD60" s="62">
        <f ca="1">AVERAGE(OFFSET($CC$3,0,0,'Données projet'!$E$12+1,1))-AVERAGE(OFFSET($H$3,0,0,'Données projet'!$E$12+1,1))</f>
        <v>145.14303899407867</v>
      </c>
      <c r="CE60" s="62">
        <f t="shared" si="40"/>
        <v>137.55906339137317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27.01944586190811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1.442027603774626</v>
      </c>
      <c r="CN60" s="24">
        <f t="shared" si="12"/>
        <v>28.461473465682737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5.4</v>
      </c>
      <c r="N61" s="14">
        <f>IF('Données projet'!$A$36&gt;35,N60+M61-V60,IF(A61&lt;'Données projet'!$A$36,$K$205^A61,IF(A61='Données projet'!$A$36,'Données projet'!$B$36,N60+M61-V60)))</f>
        <v>123.19999999999993</v>
      </c>
      <c r="O61" s="14">
        <f>N61*VLOOKUP('Données projet'!$B$9,Paramètres!$A$1:$I$89,3,0)*VLOOKUP('Données projet'!$B$9,Paramètres!$A$1:$I$89,5,0)</f>
        <v>107.62751999999995</v>
      </c>
      <c r="P61" s="14">
        <f t="shared" si="33"/>
        <v>28.771302425776398</v>
      </c>
      <c r="Q61" s="22">
        <f t="shared" si="53"/>
        <v>237.56128239156047</v>
      </c>
      <c r="R61" s="62">
        <f t="shared" si="0"/>
        <v>530.89461572489381</v>
      </c>
      <c r="S61" s="62">
        <f ca="1">AVERAGE(OFFSET($R$3,0,0,'Données projet'!$E$9+1,1))-AVERAGE(OFFSET($H$3,0,0,'Données projet'!$E$9+1,1))</f>
        <v>98.272553716009838</v>
      </c>
      <c r="T61" s="62">
        <f t="shared" si="34"/>
        <v>68.315893120570763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6.1706304766269939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6.1706304766269939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204</v>
      </c>
      <c r="AJ61" s="14">
        <f>AI61*VLOOKUP('Données projet'!$B$10,Paramètres!$A$1:$I$89,3,0)*VLOOKUP('Données projet'!$B$10,Paramètres!$A$1:$I$89,5,0)</f>
        <v>95.471999999999994</v>
      </c>
      <c r="AK61" s="14">
        <f t="shared" si="35"/>
        <v>25.880372123231169</v>
      </c>
      <c r="AL61" s="22">
        <f t="shared" si="4"/>
        <v>211.35538144796092</v>
      </c>
      <c r="AM61" s="62">
        <f t="shared" si="5"/>
        <v>504.68871478129427</v>
      </c>
      <c r="AN61" s="62">
        <f ca="1">AVERAGE(OFFSET($AM$3,0,0,'Données projet'!$E$10+1,1))-AVERAGE(OFFSET($H$3,0,0,'Données projet'!$E$10+1,1))</f>
        <v>85.701306948362742</v>
      </c>
      <c r="AO61" s="62">
        <f t="shared" si="36"/>
        <v>118.59281525447091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21.535317967008258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0.62292340265532131</v>
      </c>
      <c r="AX61" s="23">
        <f t="shared" si="6"/>
        <v>22.158241369663578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71.420552731458145</v>
      </c>
      <c r="BJ61" s="62">
        <f t="shared" si="38"/>
        <v>436.74855282454985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53.232253212926963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7.6636107777492513E-5</v>
      </c>
      <c r="BS61" s="24">
        <f t="shared" si="9"/>
        <v>53.232329849034741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15.7</v>
      </c>
      <c r="BY61" s="13">
        <f>IF('Données projet'!$A$114&gt;35,BY60+BX61-CG60,IF(A61&lt;'Données projet'!$A$114,$BV$205^A61,IF(A61='Données projet'!$A$114,'Données projet'!$B$114,BY60+BX61-CG60)))</f>
        <v>361.6</v>
      </c>
      <c r="BZ61" s="14">
        <f>BY61*VLOOKUP('Données projet'!$B$12,Paramètres!$A$1:$I$89,3,0)*VLOOKUP('Données projet'!$B$12,Paramètres!$A$1:$I$89,5,0)</f>
        <v>216.23680000000002</v>
      </c>
      <c r="CA61" s="14">
        <f t="shared" si="39"/>
        <v>53.296153300267918</v>
      </c>
      <c r="CB61" s="22">
        <f t="shared" si="10"/>
        <v>469.43656033129997</v>
      </c>
      <c r="CC61" s="62">
        <f t="shared" si="11"/>
        <v>762.76989366463329</v>
      </c>
      <c r="CD61" s="62">
        <f ca="1">AVERAGE(OFFSET($CC$3,0,0,'Données projet'!$E$12+1,1))-AVERAGE(OFFSET($H$3,0,0,'Données projet'!$E$12+1,1))</f>
        <v>145.14303899407867</v>
      </c>
      <c r="CE61" s="62">
        <f t="shared" si="40"/>
        <v>137.55906339137317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26.489611008790781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1.0196674972872259</v>
      </c>
      <c r="CN61" s="24">
        <f t="shared" si="12"/>
        <v>27.509278506078008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5.4</v>
      </c>
      <c r="N62" s="14">
        <f>IF('Données projet'!$A$36&gt;35,N61+M62-V61,IF(A62&lt;'Données projet'!$A$36,$K$205^A62,IF(A62='Données projet'!$A$36,'Données projet'!$B$36,N61+M62-V61)))</f>
        <v>128.59999999999994</v>
      </c>
      <c r="O62" s="14">
        <f>N62*VLOOKUP('Données projet'!$B$9,Paramètres!$A$1:$I$89,3,0)*VLOOKUP('Données projet'!$B$9,Paramètres!$A$1:$I$89,5,0)</f>
        <v>112.34495999999997</v>
      </c>
      <c r="P62" s="14">
        <f t="shared" si="33"/>
        <v>29.882795342181048</v>
      </c>
      <c r="Q62" s="22">
        <f t="shared" si="53"/>
        <v>247.71334055429861</v>
      </c>
      <c r="R62" s="62">
        <f t="shared" si="0"/>
        <v>541.04667388763187</v>
      </c>
      <c r="S62" s="62">
        <f ca="1">AVERAGE(OFFSET($R$3,0,0,'Données projet'!$E$9+1,1))-AVERAGE(OFFSET($H$3,0,0,'Données projet'!$E$9+1,1))</f>
        <v>98.272553716009838</v>
      </c>
      <c r="T62" s="62">
        <f t="shared" si="34"/>
        <v>68.315893120570763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6.0496281766932931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6.0496281766932931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212</v>
      </c>
      <c r="AJ62" s="14">
        <f>AI62*VLOOKUP('Données projet'!$B$10,Paramètres!$A$1:$I$89,3,0)*VLOOKUP('Données projet'!$B$10,Paramètres!$A$1:$I$89,5,0)</f>
        <v>99.215999999999994</v>
      </c>
      <c r="AK62" s="14">
        <f t="shared" si="35"/>
        <v>26.775134885576414</v>
      </c>
      <c r="AL62" s="22">
        <f t="shared" si="4"/>
        <v>219.43455992571219</v>
      </c>
      <c r="AM62" s="62">
        <f t="shared" si="5"/>
        <v>512.76789325904554</v>
      </c>
      <c r="AN62" s="62">
        <f ca="1">AVERAGE(OFFSET($AM$3,0,0,'Données projet'!$E$10+1,1))-AVERAGE(OFFSET($H$3,0,0,'Données projet'!$E$10+1,1))</f>
        <v>85.701306948362742</v>
      </c>
      <c r="AO62" s="62">
        <f t="shared" si="36"/>
        <v>118.59281525447091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21.113023516922187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0.44047336217737593</v>
      </c>
      <c r="AX62" s="23">
        <f t="shared" si="6"/>
        <v>21.553496879099562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71.420552731458145</v>
      </c>
      <c r="BJ62" s="62">
        <f t="shared" si="38"/>
        <v>436.74855282454985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52.188401195889931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5.4189911493208072E-5</v>
      </c>
      <c r="BS62" s="24">
        <f t="shared" si="9"/>
        <v>52.188455385801426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15.7</v>
      </c>
      <c r="BY62" s="13">
        <f>IF('Données projet'!$A$114&gt;35,BY61+BX62-CG61,IF(A62&lt;'Données projet'!$A$114,$BV$205^A62,IF(A62='Données projet'!$A$114,'Données projet'!$B$114,BY61+BX62-CG61)))</f>
        <v>377.3</v>
      </c>
      <c r="BZ62" s="14">
        <f>BY62*VLOOKUP('Données projet'!$B$12,Paramètres!$A$1:$I$89,3,0)*VLOOKUP('Données projet'!$B$12,Paramètres!$A$1:$I$89,5,0)</f>
        <v>225.62540000000004</v>
      </c>
      <c r="CA62" s="14">
        <f t="shared" si="39"/>
        <v>55.335736179321074</v>
      </c>
      <c r="CB62" s="22">
        <f t="shared" si="10"/>
        <v>489.34064551231751</v>
      </c>
      <c r="CC62" s="62">
        <f t="shared" si="11"/>
        <v>782.67397884565082</v>
      </c>
      <c r="CD62" s="62">
        <f ca="1">AVERAGE(OFFSET($CC$3,0,0,'Données projet'!$E$12+1,1))-AVERAGE(OFFSET($H$3,0,0,'Données projet'!$E$12+1,1))</f>
        <v>145.14303899407867</v>
      </c>
      <c r="CE62" s="62">
        <f t="shared" si="40"/>
        <v>137.55906339137317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25.970165893975732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0.72101380188731301</v>
      </c>
      <c r="CN62" s="24">
        <f t="shared" si="12"/>
        <v>26.691179695863045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134</v>
      </c>
      <c r="L63" s="13">
        <f>VLOOKUP(A63,'Données projet'!$A$35:$I$55,9,0)</f>
        <v>5.4</v>
      </c>
      <c r="M63" s="13">
        <f t="array" ref="M63">INDEX(L:L,MIN(IF(ISNUMBER(L63:L259),ROW(L63:L259),"")))</f>
        <v>5.4</v>
      </c>
      <c r="N63" s="14">
        <f>IF('Données projet'!$A$36&gt;35,N62+M63-V62,IF(A63&lt;'Données projet'!$A$36,$K$205^A63,IF(A63='Données projet'!$A$36,'Données projet'!$B$36,N62+M63-V62)))</f>
        <v>133.99999999999994</v>
      </c>
      <c r="O63" s="14">
        <f>N63*VLOOKUP('Données projet'!$B$9,Paramètres!$A$1:$I$89,3,0)*VLOOKUP('Données projet'!$B$9,Paramètres!$A$1:$I$89,5,0)</f>
        <v>117.06239999999997</v>
      </c>
      <c r="P63" s="14">
        <f t="shared" si="33"/>
        <v>30.988867171899123</v>
      </c>
      <c r="Q63" s="22">
        <f t="shared" si="53"/>
        <v>257.85595699105755</v>
      </c>
      <c r="R63" s="62">
        <f t="shared" si="0"/>
        <v>551.18929032439087</v>
      </c>
      <c r="S63" s="62">
        <f ca="1">AVERAGE(OFFSET($R$3,0,0,'Données projet'!$E$9+1,1))-AVERAGE(OFFSET($H$3,0,0,'Données projet'!$E$9+1,1))</f>
        <v>98.272553716009838</v>
      </c>
      <c r="T63" s="62">
        <f t="shared" si="34"/>
        <v>68.315893120570763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0.30099999999999999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10.000622481938954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10.000622481938954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220</v>
      </c>
      <c r="AJ63" s="14">
        <f>AI63*VLOOKUP('Données projet'!$B$10,Paramètres!$A$1:$I$89,3,0)*VLOOKUP('Données projet'!$B$10,Paramètres!$A$1:$I$89,5,0)</f>
        <v>102.96000000000001</v>
      </c>
      <c r="AK63" s="14">
        <f t="shared" si="35"/>
        <v>27.665975080374633</v>
      </c>
      <c r="AL63" s="22">
        <f t="shared" si="4"/>
        <v>227.50690659831915</v>
      </c>
      <c r="AM63" s="62">
        <f t="shared" si="5"/>
        <v>520.84023993165249</v>
      </c>
      <c r="AN63" s="62">
        <f ca="1">AVERAGE(OFFSET($AM$3,0,0,'Données projet'!$E$10+1,1))-AVERAGE(OFFSET($H$3,0,0,'Données projet'!$E$10+1,1))</f>
        <v>85.701306948362742</v>
      </c>
      <c r="AO63" s="62">
        <f t="shared" si="36"/>
        <v>118.59281525447091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70</v>
      </c>
      <c r="AR63" s="17">
        <f>IF(ISNA(VLOOKUP(A63,'Données projet'!$A$61:$I$81,5,0)),0%,VLOOKUP(A63,'Données projet'!$A$61:$I$81,5,0)*VLOOKUP('Données projet'!$B$10,Paramètres!$A$1:$I$89,7,0))</f>
        <v>0.38500000000000001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0.3</v>
      </c>
      <c r="AU63" s="23">
        <f>EXP(-LN(2)/35)*AU62+(1-EXP(-LN(2)/35))/(LN(2)/35)*AQ63*AR63*VLOOKUP('Données projet'!$B$10,Paramètres!$A$1:$I$89,3,0)*0.475*44/12</f>
        <v>37.430436854104869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11.439040721417765</v>
      </c>
      <c r="AX63" s="23">
        <f t="shared" si="6"/>
        <v>48.869477575522637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71.420552731458145</v>
      </c>
      <c r="BJ63" s="62">
        <f t="shared" si="38"/>
        <v>436.74855282454985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51.165018480220134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3.8318053888746257E-5</v>
      </c>
      <c r="BS63" s="24">
        <f t="shared" si="9"/>
        <v>51.165056798274023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393</v>
      </c>
      <c r="BW63" s="13">
        <f>VLOOKUP(A63,'Données projet'!$A$113:$I$133,9,0)</f>
        <v>15.7</v>
      </c>
      <c r="BX63" s="13">
        <f t="array" ref="BX63">INDEX(BW:BW,MIN(IF(ISNUMBER(BW63:BW259),ROW(BW63:BW259),"")))</f>
        <v>15.7</v>
      </c>
      <c r="BY63" s="13">
        <f>IF('Données projet'!$A$114&gt;35,BY62+BX63-CG62,IF(A63&lt;'Données projet'!$A$114,$BV$205^A63,IF(A63='Données projet'!$A$114,'Données projet'!$B$114,BY62+BX63-CG62)))</f>
        <v>393</v>
      </c>
      <c r="BZ63" s="14">
        <f>BY63*VLOOKUP('Données projet'!$B$12,Paramètres!$A$1:$I$89,3,0)*VLOOKUP('Données projet'!$B$12,Paramètres!$A$1:$I$89,5,0)</f>
        <v>235.01400000000001</v>
      </c>
      <c r="CA63" s="14">
        <f t="shared" si="39"/>
        <v>57.365461071820548</v>
      </c>
      <c r="CB63" s="22">
        <f t="shared" si="10"/>
        <v>509.22756136675412</v>
      </c>
      <c r="CC63" s="62">
        <f t="shared" si="11"/>
        <v>802.56089470008737</v>
      </c>
      <c r="CD63" s="62">
        <f ca="1">AVERAGE(OFFSET($CC$3,0,0,'Données projet'!$E$12+1,1))-AVERAGE(OFFSET($H$3,0,0,'Données projet'!$E$12+1,1))</f>
        <v>145.14303899407867</v>
      </c>
      <c r="CE63" s="62">
        <f t="shared" si="40"/>
        <v>137.55906339137317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393</v>
      </c>
      <c r="CH63" s="17">
        <f>IF(ISNA(VLOOKUP(A63,'Données projet'!$A$113:$I$133,5,0)),0%,VLOOKUP(A63,'Données projet'!$A$113:$I$133,5,0)*VLOOKUP('Données projet'!$B$12,Paramètres!$A$1:$I$89,7,0))</f>
        <v>0.36000000000000004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0.2</v>
      </c>
      <c r="CK63" s="23">
        <f>EXP(-LN(2)/35)*CK62+(1-EXP(-LN(2)/35))/(LN(2)/35)*CG63*CH63*VLOOKUP('Données projet'!$B$12,Paramètres!$A$1:$I$89,3,0)*0.475*44/12</f>
        <v>137.69494559607253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53.72792198282059</v>
      </c>
      <c r="CN63" s="24">
        <f t="shared" si="12"/>
        <v>191.42286757889312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5.4</v>
      </c>
      <c r="N64" s="14">
        <f>IF('Données projet'!$A$36&gt;35,N63+M64-V63,IF(A64&lt;'Données projet'!$A$36,$K$205^A64,IF(A64='Données projet'!$A$36,'Données projet'!$B$36,N63+M64-V63)))</f>
        <v>125.39999999999995</v>
      </c>
      <c r="O64" s="14">
        <f>N64*VLOOKUP('Données projet'!$B$9,Paramètres!$A$1:$I$89,3,0)*VLOOKUP('Données projet'!$B$9,Paramètres!$A$1:$I$89,5,0)</f>
        <v>109.54943999999996</v>
      </c>
      <c r="P64" s="14">
        <f t="shared" si="33"/>
        <v>29.224803777563423</v>
      </c>
      <c r="Q64" s="22">
        <f t="shared" si="53"/>
        <v>241.69847457925619</v>
      </c>
      <c r="R64" s="62">
        <f t="shared" si="0"/>
        <v>535.03180791258956</v>
      </c>
      <c r="S64" s="62">
        <f ca="1">AVERAGE(OFFSET($R$3,0,0,'Données projet'!$E$9+1,1))-AVERAGE(OFFSET($H$3,0,0,'Données projet'!$E$9+1,1))</f>
        <v>98.272553716009838</v>
      </c>
      <c r="T64" s="62">
        <f t="shared" si="34"/>
        <v>68.315893120570763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9.8045163748455426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9.8045163748455426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157.5</v>
      </c>
      <c r="AJ64" s="14">
        <f>AI64*VLOOKUP('Données projet'!$B$10,Paramètres!$A$1:$I$89,3,0)*VLOOKUP('Données projet'!$B$10,Paramètres!$A$1:$I$89,5,0)</f>
        <v>73.709999999999994</v>
      </c>
      <c r="AK64" s="14">
        <f t="shared" si="35"/>
        <v>20.591993942534767</v>
      </c>
      <c r="AL64" s="22">
        <f t="shared" si="4"/>
        <v>164.24263944991469</v>
      </c>
      <c r="AM64" s="62">
        <f t="shared" si="5"/>
        <v>457.57597278324801</v>
      </c>
      <c r="AN64" s="62">
        <f ca="1">AVERAGE(OFFSET($AM$3,0,0,'Données projet'!$E$10+1,1))-AVERAGE(OFFSET($H$3,0,0,'Données projet'!$E$10+1,1))</f>
        <v>85.701306948362742</v>
      </c>
      <c r="AO64" s="62">
        <f t="shared" si="36"/>
        <v>118.59281525447091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36.696448817708045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8.0886232643835587</v>
      </c>
      <c r="AX64" s="23">
        <f t="shared" si="6"/>
        <v>44.785072082091602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71.420552731458145</v>
      </c>
      <c r="BJ64" s="62">
        <f t="shared" si="38"/>
        <v>436.74855282454985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50.161703675402798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2.7094955746604036E-5</v>
      </c>
      <c r="BS64" s="24">
        <f t="shared" si="9"/>
        <v>50.161730770358545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145.14303899407867</v>
      </c>
      <c r="CE64" s="62">
        <f t="shared" si="40"/>
        <v>137.55906339137317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134.99483169855748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37.991377973114218</v>
      </c>
      <c r="CN64" s="24">
        <f t="shared" si="12"/>
        <v>172.9862096716717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5.4</v>
      </c>
      <c r="N65" s="14">
        <f>IF('Données projet'!$A$36&gt;35,N64+M65-V64,IF(A65&lt;'Données projet'!$A$36,$K$205^A65,IF(A65='Données projet'!$A$36,'Données projet'!$B$36,N64+M65-V64)))</f>
        <v>130.79999999999995</v>
      </c>
      <c r="O65" s="14">
        <f>N65*VLOOKUP('Données projet'!$B$9,Paramètres!$A$1:$I$89,3,0)*VLOOKUP('Données projet'!$B$9,Paramètres!$A$1:$I$89,5,0)</f>
        <v>114.26687999999997</v>
      </c>
      <c r="P65" s="14">
        <f t="shared" si="33"/>
        <v>30.334057329879929</v>
      </c>
      <c r="Q65" s="22">
        <f t="shared" si="53"/>
        <v>251.84663251620748</v>
      </c>
      <c r="R65" s="62">
        <f t="shared" si="0"/>
        <v>545.17996584954085</v>
      </c>
      <c r="S65" s="62">
        <f ca="1">AVERAGE(OFFSET($R$3,0,0,'Données projet'!$E$9+1,1))-AVERAGE(OFFSET($H$3,0,0,'Données projet'!$E$9+1,1))</f>
        <v>98.272553716009838</v>
      </c>
      <c r="T65" s="62">
        <f t="shared" si="34"/>
        <v>68.315893120570763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9.6122557888993185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9.6122557888993185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165</v>
      </c>
      <c r="AJ65" s="14">
        <f>AI65*VLOOKUP('Données projet'!$B$10,Paramètres!$A$1:$I$89,3,0)*VLOOKUP('Données projet'!$B$10,Paramètres!$A$1:$I$89,5,0)</f>
        <v>77.22</v>
      </c>
      <c r="AK65" s="14">
        <f t="shared" si="35"/>
        <v>21.456066856215884</v>
      </c>
      <c r="AL65" s="22">
        <f t="shared" si="4"/>
        <v>171.86081644124263</v>
      </c>
      <c r="AM65" s="62">
        <f t="shared" si="5"/>
        <v>465.19414977457598</v>
      </c>
      <c r="AN65" s="62">
        <f ca="1">AVERAGE(OFFSET($AM$3,0,0,'Données projet'!$E$10+1,1))-AVERAGE(OFFSET($H$3,0,0,'Données projet'!$E$10+1,1))</f>
        <v>85.701306948362742</v>
      </c>
      <c r="AO65" s="62">
        <f t="shared" si="36"/>
        <v>118.59281525447091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35.976853839016471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5.7195203607088834</v>
      </c>
      <c r="AX65" s="23">
        <f t="shared" si="6"/>
        <v>41.696374199725355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71.420552731458145</v>
      </c>
      <c r="BJ65" s="62">
        <f t="shared" si="38"/>
        <v>436.74855282454985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49.178063261946328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1.9159026944373128E-5</v>
      </c>
      <c r="BS65" s="24">
        <f t="shared" si="9"/>
        <v>49.178082420973269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145.14303899407867</v>
      </c>
      <c r="CE65" s="62">
        <f t="shared" si="40"/>
        <v>137.55906339137317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132.34766538766581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26.863960991410298</v>
      </c>
      <c r="CN65" s="24">
        <f t="shared" si="12"/>
        <v>159.21162637907611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5.4</v>
      </c>
      <c r="N66" s="14">
        <f>IF('Données projet'!$A$36&gt;35,N65+M66-V65,IF(A66&lt;'Données projet'!$A$36,$K$205^A66,IF(A66='Données projet'!$A$36,'Données projet'!$B$36,N65+M66-V65)))</f>
        <v>136.19999999999996</v>
      </c>
      <c r="O66" s="14">
        <f>N66*VLOOKUP('Données projet'!$B$9,Paramètres!$A$1:$I$89,3,0)*VLOOKUP('Données projet'!$B$9,Paramètres!$A$1:$I$89,5,0)</f>
        <v>118.98432</v>
      </c>
      <c r="P66" s="14">
        <f t="shared" si="33"/>
        <v>31.437991550787316</v>
      </c>
      <c r="Q66" s="22">
        <f t="shared" si="53"/>
        <v>261.98552595095452</v>
      </c>
      <c r="R66" s="62">
        <f t="shared" si="0"/>
        <v>555.31885928428778</v>
      </c>
      <c r="S66" s="62">
        <f ca="1">AVERAGE(OFFSET($R$3,0,0,'Données projet'!$E$9+1,1))-AVERAGE(OFFSET($H$3,0,0,'Données projet'!$E$9+1,1))</f>
        <v>98.272553716009838</v>
      </c>
      <c r="T66" s="62">
        <f t="shared" si="34"/>
        <v>68.315893120570763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9.4237653157761212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9.4237653157761212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172.5</v>
      </c>
      <c r="AJ66" s="14">
        <f>AI66*VLOOKUP('Données projet'!$B$10,Paramètres!$A$1:$I$89,3,0)*VLOOKUP('Données projet'!$B$10,Paramètres!$A$1:$I$89,5,0)</f>
        <v>80.72999999999999</v>
      </c>
      <c r="AK66" s="14">
        <f t="shared" si="35"/>
        <v>22.315578453114171</v>
      </c>
      <c r="AL66" s="22">
        <f t="shared" si="4"/>
        <v>179.47104913917383</v>
      </c>
      <c r="AM66" s="62">
        <f t="shared" si="5"/>
        <v>472.80438247250714</v>
      </c>
      <c r="AN66" s="62">
        <f ca="1">AVERAGE(OFFSET($AM$3,0,0,'Données projet'!$E$10+1,1))-AVERAGE(OFFSET($H$3,0,0,'Données projet'!$E$10+1,1))</f>
        <v>85.701306948362742</v>
      </c>
      <c r="AO66" s="62">
        <f t="shared" si="36"/>
        <v>118.59281525447091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35.271369678947437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4.0443116321917802</v>
      </c>
      <c r="AX66" s="23">
        <f t="shared" si="6"/>
        <v>39.315681311139215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71.420552731458145</v>
      </c>
      <c r="BJ66" s="62">
        <f t="shared" si="38"/>
        <v>436.74855282454985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48.213711437036324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1.3547477873302018E-5</v>
      </c>
      <c r="BS66" s="24">
        <f t="shared" si="9"/>
        <v>48.213724984514194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145.14303899407867</v>
      </c>
      <c r="CE66" s="62">
        <f t="shared" si="40"/>
        <v>137.55906339137317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129.75240839351872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18.995688986557113</v>
      </c>
      <c r="CN66" s="24">
        <f t="shared" si="12"/>
        <v>148.74809738007582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5.4</v>
      </c>
      <c r="N67" s="14">
        <f>IF('Données projet'!$A$36&gt;35,N66+M67-V66,IF(A67&lt;'Données projet'!$A$36,$K$205^A67,IF(A67='Données projet'!$A$36,'Données projet'!$B$36,N66+M67-V66)))</f>
        <v>141.59999999999997</v>
      </c>
      <c r="O67" s="14">
        <f>N67*VLOOKUP('Données projet'!$B$9,Paramètres!$A$1:$I$89,3,0)*VLOOKUP('Données projet'!$B$9,Paramètres!$A$1:$I$89,5,0)</f>
        <v>123.70175999999999</v>
      </c>
      <c r="P67" s="14">
        <f t="shared" si="33"/>
        <v>32.536841470486884</v>
      </c>
      <c r="Q67" s="22">
        <f t="shared" ref="Q67:Q98" si="54">(O67+P67)*0.475*44/12</f>
        <v>272.11556422776465</v>
      </c>
      <c r="R67" s="62">
        <f t="shared" ref="R67:R130" si="55">Q67+(I67+J67)*44/12</f>
        <v>565.44889756109797</v>
      </c>
      <c r="S67" s="62">
        <f ca="1">AVERAGE(OFFSET($R$3,0,0,'Données projet'!$E$9+1,1))-AVERAGE(OFFSET($H$3,0,0,'Données projet'!$E$9+1,1))</f>
        <v>98.272553716009838</v>
      </c>
      <c r="T67" s="62">
        <f t="shared" si="34"/>
        <v>68.315893120570763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9.2389710258630338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9.2389710258630338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180</v>
      </c>
      <c r="AJ67" s="14">
        <f>AI67*VLOOKUP('Données projet'!$B$10,Paramètres!$A$1:$I$89,3,0)*VLOOKUP('Données projet'!$B$10,Paramètres!$A$1:$I$89,5,0)</f>
        <v>84.24</v>
      </c>
      <c r="AK67" s="14">
        <f t="shared" si="35"/>
        <v>23.170749718409468</v>
      </c>
      <c r="AL67" s="22">
        <f t="shared" si="4"/>
        <v>187.07372242622981</v>
      </c>
      <c r="AM67" s="62">
        <f t="shared" si="5"/>
        <v>480.40705575956315</v>
      </c>
      <c r="AN67" s="62">
        <f ca="1">AVERAGE(OFFSET($AM$3,0,0,'Données projet'!$E$10+1,1))-AVERAGE(OFFSET($H$3,0,0,'Données projet'!$E$10+1,1))</f>
        <v>85.701306948362742</v>
      </c>
      <c r="AO67" s="62">
        <f t="shared" si="36"/>
        <v>118.59281525447091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34.579719632954507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2.8597601803544421</v>
      </c>
      <c r="AX67" s="23">
        <f t="shared" si="6"/>
        <v>37.439479813308949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71.420552731458145</v>
      </c>
      <c r="BJ67" s="62">
        <f t="shared" si="38"/>
        <v>436.74855282454985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47.26826996321627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9.5795134721865642E-6</v>
      </c>
      <c r="BS67" s="24">
        <f t="shared" si="9"/>
        <v>47.268279542729744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145.14303899407867</v>
      </c>
      <c r="CE67" s="62">
        <f t="shared" si="40"/>
        <v>137.55906339137317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127.20804280607639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13.431980495705153</v>
      </c>
      <c r="CN67" s="24">
        <f t="shared" si="12"/>
        <v>140.64002330178155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147</v>
      </c>
      <c r="L68" s="13">
        <f>VLOOKUP(A68,'Données projet'!$A$35:$I$55,9,0)</f>
        <v>5.4</v>
      </c>
      <c r="M68" s="13">
        <f t="array" ref="M68">INDEX(L:L,MIN(IF(ISNUMBER(L68:L264),ROW(L68:L264),"")))</f>
        <v>5.4</v>
      </c>
      <c r="N68" s="14">
        <f>IF('Données projet'!$A$36&gt;35,N67+M68-V67,IF(A68&lt;'Données projet'!$A$36,$K$205^A68,IF(A68='Données projet'!$A$36,'Données projet'!$B$36,N67+M68-V67)))</f>
        <v>146.99999999999997</v>
      </c>
      <c r="O68" s="14">
        <f>N68*VLOOKUP('Données projet'!$B$9,Paramètres!$A$1:$I$89,3,0)*VLOOKUP('Données projet'!$B$9,Paramètres!$A$1:$I$89,5,0)</f>
        <v>128.41919999999999</v>
      </c>
      <c r="P68" s="14">
        <f t="shared" si="33"/>
        <v>33.630823177860762</v>
      </c>
      <c r="Q68" s="22">
        <f t="shared" si="54"/>
        <v>282.23712370144079</v>
      </c>
      <c r="R68" s="62">
        <f t="shared" si="55"/>
        <v>575.57045703477411</v>
      </c>
      <c r="S68" s="62">
        <f ca="1">AVERAGE(OFFSET($R$3,0,0,'Données projet'!$E$9+1,1))-AVERAGE(OFFSET($H$3,0,0,'Données projet'!$E$9+1,1))</f>
        <v>98.272553716009838</v>
      </c>
      <c r="T68" s="62">
        <f t="shared" si="34"/>
        <v>68.315893120570763</v>
      </c>
      <c r="U68" s="16">
        <f>IF(ISNA(VLOOKUP(A68,'Données projet'!$A$35:$I$55,3,0)),0,VLOOKUP(A68,'Données projet'!$A$35:$I$55,3,0))</f>
        <v>7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0.34400000000000003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13.708799095126643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13.708799095126643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187.5</v>
      </c>
      <c r="AJ68" s="14">
        <f>AI68*VLOOKUP('Données projet'!$B$10,Paramètres!$A$1:$I$89,3,0)*VLOOKUP('Données projet'!$B$10,Paramètres!$A$1:$I$89,5,0)</f>
        <v>87.75</v>
      </c>
      <c r="AK68" s="14">
        <f t="shared" si="35"/>
        <v>24.021782179979688</v>
      </c>
      <c r="AL68" s="22">
        <f t="shared" ref="AL68:AL131" si="58">(AJ68+AK68)*0.475*44/12</f>
        <v>194.66918729679796</v>
      </c>
      <c r="AM68" s="62">
        <f t="shared" ref="AM68:AM131" si="59">AL68+(AD68+AE68)*44/12</f>
        <v>488.00252063013124</v>
      </c>
      <c r="AN68" s="62">
        <f ca="1">AVERAGE(OFFSET($AM$3,0,0,'Données projet'!$E$10+1,1))-AVERAGE(OFFSET($H$3,0,0,'Données projet'!$E$10+1,1))</f>
        <v>85.701306948362742</v>
      </c>
      <c r="AO68" s="62">
        <f t="shared" si="36"/>
        <v>118.59281525447091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33.901632422498629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2.0221558160958901</v>
      </c>
      <c r="AX68" s="23">
        <f t="shared" ref="AX68:AX131" si="60">SUM(AU68:AW68)</f>
        <v>35.923788238594518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71.420552731458145</v>
      </c>
      <c r="BJ68" s="62">
        <f t="shared" si="38"/>
        <v>436.74855282454985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46.341368020035475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6.773738936651009E-6</v>
      </c>
      <c r="BS68" s="24">
        <f t="shared" ref="BS68:BS131" si="63">SUM(BP68:BR68)</f>
        <v>46.341374793774413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145.14303899407867</v>
      </c>
      <c r="CE68" s="62">
        <f t="shared" si="40"/>
        <v>137.55906339137317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124.71357067589405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9.4978444932785582</v>
      </c>
      <c r="CN68" s="24">
        <f t="shared" ref="CN68:CN131" si="66">SUM(CK68:CM68)</f>
        <v>134.2114151691726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</v>
      </c>
      <c r="N69" s="14">
        <f>IF('Données projet'!$A$36&gt;35,N68+M69-V68,IF(A69&lt;'Données projet'!$A$36,$K$205^A69,IF(A69='Données projet'!$A$36,'Données projet'!$B$36,N68+M69-V68)))</f>
        <v>137.99999999999997</v>
      </c>
      <c r="O69" s="14">
        <f>N69*VLOOKUP('Données projet'!$B$9,Paramètres!$A$1:$I$89,3,0)*VLOOKUP('Données projet'!$B$9,Paramètres!$A$1:$I$89,5,0)</f>
        <v>120.55679999999998</v>
      </c>
      <c r="P69" s="14">
        <f t="shared" ref="P69:P132" si="87">EXP(-1.0587+0.8836*LN(O69)+0.284)</f>
        <v>31.804828741198779</v>
      </c>
      <c r="Q69" s="22">
        <f t="shared" si="54"/>
        <v>265.36317005758787</v>
      </c>
      <c r="R69" s="62">
        <f t="shared" si="55"/>
        <v>558.69650339092118</v>
      </c>
      <c r="S69" s="62">
        <f ca="1">AVERAGE(OFFSET($R$3,0,0,'Données projet'!$E$9+1,1))-AVERAGE(OFFSET($H$3,0,0,'Données projet'!$E$9+1,1))</f>
        <v>98.272553716009838</v>
      </c>
      <c r="T69" s="62">
        <f t="shared" ref="T69:T132" si="88">$T$3</f>
        <v>68.315893120570763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13.439977906413024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13.439977906413024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195</v>
      </c>
      <c r="AJ69" s="14">
        <f>AI69*VLOOKUP('Données projet'!$B$10,Paramètres!$A$1:$I$89,3,0)*VLOOKUP('Données projet'!$B$10,Paramètres!$A$1:$I$89,5,0)</f>
        <v>91.26</v>
      </c>
      <c r="AK69" s="14">
        <f t="shared" ref="AK69:AK132" si="89">EXP(-1.0587+0.8836*LN(AJ69)+0.284)</f>
        <v>24.868860330902777</v>
      </c>
      <c r="AL69" s="22">
        <f t="shared" si="58"/>
        <v>202.25776507632233</v>
      </c>
      <c r="AM69" s="62">
        <f t="shared" si="59"/>
        <v>495.59109840965561</v>
      </c>
      <c r="AN69" s="62">
        <f ca="1">AVERAGE(OFFSET($AM$3,0,0,'Données projet'!$E$10+1,1))-AVERAGE(OFFSET($H$3,0,0,'Données projet'!$E$10+1,1))</f>
        <v>85.701306948362742</v>
      </c>
      <c r="AO69" s="62">
        <f t="shared" ref="AO69:AO132" si="90">$AO$3</f>
        <v>118.59281525447091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33.236842088647428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1.4298800901772211</v>
      </c>
      <c r="AX69" s="23">
        <f t="shared" si="60"/>
        <v>34.666722178824649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71.420552731458145</v>
      </c>
      <c r="BJ69" s="62">
        <f t="shared" ref="BJ69:BJ132" si="92">$BJ$3</f>
        <v>436.74855282454985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45.432642058606092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4.7897567360932821E-6</v>
      </c>
      <c r="BS69" s="24">
        <f t="shared" si="63"/>
        <v>45.432646848362829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145.14303899407867</v>
      </c>
      <c r="CE69" s="62">
        <f t="shared" ref="CE69:CE132" si="94">$CE$3</f>
        <v>137.55906339137317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122.2680136227068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6.7159902478525773</v>
      </c>
      <c r="CN69" s="24">
        <f t="shared" si="66"/>
        <v>128.98400387055938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</v>
      </c>
      <c r="N70" s="14">
        <f>IF('Données projet'!$A$36&gt;35,N69+M70-V69,IF(A70&lt;'Données projet'!$A$36,$K$205^A70,IF(A70='Données projet'!$A$36,'Données projet'!$B$36,N69+M70-V69)))</f>
        <v>142.99999999999997</v>
      </c>
      <c r="O70" s="14">
        <f>N70*VLOOKUP('Données projet'!$B$9,Paramètres!$A$1:$I$89,3,0)*VLOOKUP('Données projet'!$B$9,Paramètres!$A$1:$I$89,5,0)</f>
        <v>124.9248</v>
      </c>
      <c r="P70" s="14">
        <f t="shared" si="87"/>
        <v>32.820925500842712</v>
      </c>
      <c r="Q70" s="22">
        <f t="shared" si="54"/>
        <v>274.74047191396772</v>
      </c>
      <c r="R70" s="62">
        <f t="shared" si="55"/>
        <v>568.07380524730104</v>
      </c>
      <c r="S70" s="62">
        <f ca="1">AVERAGE(OFFSET($R$3,0,0,'Données projet'!$E$9+1,1))-AVERAGE(OFFSET($H$3,0,0,'Données projet'!$E$9+1,1))</f>
        <v>98.272553716009838</v>
      </c>
      <c r="T70" s="62">
        <f t="shared" si="88"/>
        <v>68.315893120570763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13.176428137245344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13.176428137245344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202.5</v>
      </c>
      <c r="AJ70" s="14">
        <f>AI70*VLOOKUP('Données projet'!$B$10,Paramètres!$A$1:$I$89,3,0)*VLOOKUP('Données projet'!$B$10,Paramètres!$A$1:$I$89,5,0)</f>
        <v>94.77</v>
      </c>
      <c r="AK70" s="14">
        <f t="shared" si="89"/>
        <v>25.712153668783351</v>
      </c>
      <c r="AL70" s="22">
        <f t="shared" si="58"/>
        <v>209.839750973131</v>
      </c>
      <c r="AM70" s="62">
        <f t="shared" si="59"/>
        <v>503.17308430646432</v>
      </c>
      <c r="AN70" s="62">
        <f ca="1">AVERAGE(OFFSET($AM$3,0,0,'Données projet'!$E$10+1,1))-AVERAGE(OFFSET($H$3,0,0,'Données projet'!$E$10+1,1))</f>
        <v>85.701306948362742</v>
      </c>
      <c r="AO70" s="62">
        <f t="shared" si="90"/>
        <v>118.59281525447091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32.585087887760984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1.0110779080479451</v>
      </c>
      <c r="AX70" s="23">
        <f t="shared" si="60"/>
        <v>33.596165795808929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71.420552731458145</v>
      </c>
      <c r="BJ70" s="62">
        <f t="shared" si="92"/>
        <v>436.74855282454985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44.541735659012232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3.3868694683255045E-6</v>
      </c>
      <c r="BS70" s="24">
        <f t="shared" si="63"/>
        <v>44.541739045881698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145.14303899407867</v>
      </c>
      <c r="CE70" s="62">
        <f t="shared" si="94"/>
        <v>137.55906339137317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119.87041245169006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4.74892224663928</v>
      </c>
      <c r="CN70" s="24">
        <f t="shared" si="66"/>
        <v>124.61933469832934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</v>
      </c>
      <c r="N71" s="14">
        <f>IF('Données projet'!$A$36&gt;35,N70+M71-V70,IF(A71&lt;'Données projet'!$A$36,$K$205^A71,IF(A71='Données projet'!$A$36,'Données projet'!$B$36,N70+M71-V70)))</f>
        <v>147.99999999999997</v>
      </c>
      <c r="O71" s="14">
        <f>N71*VLOOKUP('Données projet'!$B$9,Paramètres!$A$1:$I$89,3,0)*VLOOKUP('Données projet'!$B$9,Paramètres!$A$1:$I$89,5,0)</f>
        <v>129.2928</v>
      </c>
      <c r="P71" s="14">
        <f t="shared" si="87"/>
        <v>33.832894333299251</v>
      </c>
      <c r="Q71" s="22">
        <f t="shared" si="54"/>
        <v>284.1105842971628</v>
      </c>
      <c r="R71" s="62">
        <f t="shared" si="55"/>
        <v>577.44391763049612</v>
      </c>
      <c r="S71" s="62">
        <f ca="1">AVERAGE(OFFSET($R$3,0,0,'Données projet'!$E$9+1,1))-AVERAGE(OFFSET($H$3,0,0,'Données projet'!$E$9+1,1))</f>
        <v>98.272553716009838</v>
      </c>
      <c r="T71" s="62">
        <f t="shared" si="88"/>
        <v>68.315893120570763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12.918046418301556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12.918046418301556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210</v>
      </c>
      <c r="AJ71" s="14">
        <f>AI71*VLOOKUP('Données projet'!$B$10,Paramètres!$A$1:$I$89,3,0)*VLOOKUP('Données projet'!$B$10,Paramètres!$A$1:$I$89,5,0)</f>
        <v>98.28</v>
      </c>
      <c r="AK71" s="14">
        <f t="shared" si="89"/>
        <v>26.551818424463473</v>
      </c>
      <c r="AL71" s="22">
        <f t="shared" si="58"/>
        <v>217.41541708927389</v>
      </c>
      <c r="AM71" s="62">
        <f t="shared" si="59"/>
        <v>510.7487504226072</v>
      </c>
      <c r="AN71" s="62">
        <f ca="1">AVERAGE(OFFSET($AM$3,0,0,'Données projet'!$E$10+1,1))-AVERAGE(OFFSET($H$3,0,0,'Données projet'!$E$10+1,1))</f>
        <v>85.701306948362742</v>
      </c>
      <c r="AO71" s="62">
        <f t="shared" si="90"/>
        <v>118.59281525447091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31.946114189223117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0.71494004508861053</v>
      </c>
      <c r="AX71" s="23">
        <f t="shared" si="60"/>
        <v>32.661054234311727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71.420552731458145</v>
      </c>
      <c r="BJ71" s="62">
        <f t="shared" si="92"/>
        <v>436.74855282454985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43.668299390515159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2.394878368046641E-6</v>
      </c>
      <c r="BS71" s="24">
        <f t="shared" si="63"/>
        <v>43.668301785393524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145.14303899407867</v>
      </c>
      <c r="CE71" s="62">
        <f t="shared" si="94"/>
        <v>137.55906339137317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117.51982677724463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3.3579951239262891</v>
      </c>
      <c r="CN71" s="24">
        <f t="shared" si="66"/>
        <v>120.87782190117092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</v>
      </c>
      <c r="N72" s="14">
        <f>IF('Données projet'!$A$36&gt;35,N71+M72-V71,IF(A72&lt;'Données projet'!$A$36,$K$205^A72,IF(A72='Données projet'!$A$36,'Données projet'!$B$36,N71+M72-V71)))</f>
        <v>152.99999999999997</v>
      </c>
      <c r="O72" s="14">
        <f>N72*VLOOKUP('Données projet'!$B$9,Paramètres!$A$1:$I$89,3,0)*VLOOKUP('Données projet'!$B$9,Paramètres!$A$1:$I$89,5,0)</f>
        <v>133.66079999999999</v>
      </c>
      <c r="P72" s="14">
        <f t="shared" si="87"/>
        <v>34.840890682716747</v>
      </c>
      <c r="Q72" s="22">
        <f t="shared" si="54"/>
        <v>293.47377793906497</v>
      </c>
      <c r="R72" s="62">
        <f t="shared" si="55"/>
        <v>586.80711127239829</v>
      </c>
      <c r="S72" s="62">
        <f ca="1">AVERAGE(OFFSET($R$3,0,0,'Données projet'!$E$9+1,1))-AVERAGE(OFFSET($H$3,0,0,'Données projet'!$E$9+1,1))</f>
        <v>98.272553716009838</v>
      </c>
      <c r="T72" s="62">
        <f t="shared" si="88"/>
        <v>68.315893120570763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12.664731407268969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12.664731407268969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217.5</v>
      </c>
      <c r="AJ72" s="14">
        <f>AI72*VLOOKUP('Données projet'!$B$10,Paramètres!$A$1:$I$89,3,0)*VLOOKUP('Données projet'!$B$10,Paramètres!$A$1:$I$89,5,0)</f>
        <v>101.79</v>
      </c>
      <c r="AK72" s="14">
        <f t="shared" si="89"/>
        <v>27.38799903683508</v>
      </c>
      <c r="AL72" s="22">
        <f t="shared" si="58"/>
        <v>224.98501498915439</v>
      </c>
      <c r="AM72" s="62">
        <f t="shared" si="59"/>
        <v>518.31834832248774</v>
      </c>
      <c r="AN72" s="62">
        <f ca="1">AVERAGE(OFFSET($AM$3,0,0,'Données projet'!$E$10+1,1))-AVERAGE(OFFSET($H$3,0,0,'Données projet'!$E$10+1,1))</f>
        <v>85.701306948362742</v>
      </c>
      <c r="AO72" s="62">
        <f t="shared" si="90"/>
        <v>118.59281525447091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31.319670375178102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0.50553895402397253</v>
      </c>
      <c r="AX72" s="23">
        <f t="shared" si="60"/>
        <v>31.825209329202075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71.420552731458145</v>
      </c>
      <c r="BJ72" s="62">
        <f t="shared" si="92"/>
        <v>436.74855282454985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42.811990674499796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1.6934347341627523E-6</v>
      </c>
      <c r="BS72" s="24">
        <f t="shared" si="63"/>
        <v>42.811992367934529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145.14303899407867</v>
      </c>
      <c r="CE72" s="62">
        <f t="shared" si="94"/>
        <v>137.55906339137317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115.21533465415938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2.37446112331964</v>
      </c>
      <c r="CN72" s="24">
        <f t="shared" si="66"/>
        <v>117.58979577747901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158</v>
      </c>
      <c r="L73" s="13">
        <f>VLOOKUP(A73,'Données projet'!$A$35:$I$55,9,0)</f>
        <v>5</v>
      </c>
      <c r="M73" s="13">
        <f t="array" ref="M73">INDEX(L:L,MIN(IF(ISNUMBER(L73:L269),ROW(L73:L269),"")))</f>
        <v>5</v>
      </c>
      <c r="N73" s="14">
        <f>IF('Données projet'!$A$36&gt;35,N72+M73-V72,IF(A73&lt;'Données projet'!$A$36,$K$205^A73,IF(A73='Données projet'!$A$36,'Données projet'!$B$36,N72+M73-V72)))</f>
        <v>157.99999999999997</v>
      </c>
      <c r="O73" s="14">
        <f>N73*VLOOKUP('Données projet'!$B$9,Paramètres!$A$1:$I$89,3,0)*VLOOKUP('Données projet'!$B$9,Paramètres!$A$1:$I$89,5,0)</f>
        <v>138.02879999999999</v>
      </c>
      <c r="P73" s="14">
        <f t="shared" si="87"/>
        <v>35.845059256813073</v>
      </c>
      <c r="Q73" s="22">
        <f t="shared" si="54"/>
        <v>302.83030487228274</v>
      </c>
      <c r="R73" s="62">
        <f t="shared" si="55"/>
        <v>596.16363820561605</v>
      </c>
      <c r="S73" s="62">
        <f ca="1">AVERAGE(OFFSET($R$3,0,0,'Données projet'!$E$9+1,1))-AVERAGE(OFFSET($H$3,0,0,'Données projet'!$E$9+1,1))</f>
        <v>98.272553716009838</v>
      </c>
      <c r="T73" s="62">
        <f t="shared" si="88"/>
        <v>68.315893120570763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14</v>
      </c>
      <c r="W73" s="17">
        <f>IF(ISNA(VLOOKUP(A73,'Données projet'!$A$35:$I$55,5,0)),0%,VLOOKUP(A73,'Données projet'!$A$35:$I$55,5,0)*VLOOKUP('Données projet'!$B$9,Paramètres!$A$1:$I$89,7,0))</f>
        <v>0.34400000000000003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17.067382404960718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17.067382404960718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225</v>
      </c>
      <c r="AJ73" s="14">
        <f>AI73*VLOOKUP('Données projet'!$B$10,Paramètres!$A$1:$I$89,3,0)*VLOOKUP('Données projet'!$B$10,Paramètres!$A$1:$I$89,5,0)</f>
        <v>105.3</v>
      </c>
      <c r="AK73" s="14">
        <f t="shared" si="89"/>
        <v>28.220829418515034</v>
      </c>
      <c r="AL73" s="22">
        <f t="shared" si="58"/>
        <v>232.54877790391367</v>
      </c>
      <c r="AM73" s="62">
        <f t="shared" si="59"/>
        <v>525.88211123724705</v>
      </c>
      <c r="AN73" s="62">
        <f ca="1">AVERAGE(OFFSET($AM$3,0,0,'Données projet'!$E$10+1,1))-AVERAGE(OFFSET($H$3,0,0,'Données projet'!$E$10+1,1))</f>
        <v>85.701306948362742</v>
      </c>
      <c r="AO73" s="62">
        <f t="shared" si="90"/>
        <v>118.59281525447091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80</v>
      </c>
      <c r="AR73" s="17">
        <f>IF(ISNA(VLOOKUP(A73,'Données projet'!$A$61:$I$81,5,0)),0%,VLOOKUP(A73,'Données projet'!$A$61:$I$81,5,0)*VLOOKUP('Données projet'!$B$10,Paramètres!$A$1:$I$89,7,0))</f>
        <v>0.44000000000000006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0.2</v>
      </c>
      <c r="AU73" s="23">
        <f>EXP(-LN(2)/35)*AU72+(1-EXP(-LN(2)/35))/(LN(2)/35)*AQ73*AR73*VLOOKUP('Données projet'!$B$10,Paramètres!$A$1:$I$89,3,0)*0.475*44/12</f>
        <v>52.558802955362324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8.8356254664224814</v>
      </c>
      <c r="AX73" s="23">
        <f t="shared" si="60"/>
        <v>61.394428421784809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71.420552731458145</v>
      </c>
      <c r="BJ73" s="62">
        <f t="shared" si="92"/>
        <v>436.74855282454985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41.972473650108746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1.1974391840233205E-6</v>
      </c>
      <c r="BS73" s="24">
        <f t="shared" si="63"/>
        <v>41.972474847547929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145.14303899407867</v>
      </c>
      <c r="CE73" s="62">
        <f t="shared" si="94"/>
        <v>137.55906339137317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112.95603221600643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1.6789975619631445</v>
      </c>
      <c r="CN73" s="24">
        <f t="shared" si="66"/>
        <v>114.63502977796958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</v>
      </c>
      <c r="N74" s="14">
        <f>IF('Données projet'!$A$36&gt;35,N73+M74-V73,IF(A74&lt;'Données projet'!$A$36,$K$205^A74,IF(A74='Données projet'!$A$36,'Données projet'!$B$36,N73+M74-V73)))</f>
        <v>148.99999999999997</v>
      </c>
      <c r="O74" s="14">
        <f>N74*VLOOKUP('Données projet'!$B$9,Paramètres!$A$1:$I$89,3,0)*VLOOKUP('Données projet'!$B$9,Paramètres!$A$1:$I$89,5,0)</f>
        <v>130.16640000000001</v>
      </c>
      <c r="P74" s="14">
        <f t="shared" si="87"/>
        <v>34.034806623706274</v>
      </c>
      <c r="Q74" s="22">
        <f t="shared" si="54"/>
        <v>285.9837682029551</v>
      </c>
      <c r="R74" s="62">
        <f t="shared" si="55"/>
        <v>579.31710153628842</v>
      </c>
      <c r="S74" s="62">
        <f ca="1">AVERAGE(OFFSET($R$3,0,0,'Données projet'!$E$9+1,1))-AVERAGE(OFFSET($H$3,0,0,'Données projet'!$E$9+1,1))</f>
        <v>98.272553716009838</v>
      </c>
      <c r="T74" s="62">
        <f t="shared" si="88"/>
        <v>68.315893120570763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16.732701446074795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16.732701446074795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152.69999999999999</v>
      </c>
      <c r="AJ74" s="14">
        <f>AI74*VLOOKUP('Données projet'!$B$10,Paramètres!$A$1:$I$89,3,0)*VLOOKUP('Données projet'!$B$10,Paramètres!$A$1:$I$89,5,0)</f>
        <v>71.4636</v>
      </c>
      <c r="AK74" s="14">
        <f t="shared" si="89"/>
        <v>20.036482147907392</v>
      </c>
      <c r="AL74" s="22">
        <f t="shared" si="58"/>
        <v>159.36264307427203</v>
      </c>
      <c r="AM74" s="62">
        <f t="shared" si="59"/>
        <v>452.69597640760537</v>
      </c>
      <c r="AN74" s="62">
        <f ca="1">AVERAGE(OFFSET($AM$3,0,0,'Données projet'!$E$10+1,1))-AVERAGE(OFFSET($H$3,0,0,'Données projet'!$E$10+1,1))</f>
        <v>85.701306948362742</v>
      </c>
      <c r="AO74" s="62">
        <f t="shared" si="90"/>
        <v>118.59281525447091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51.52815688711204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6.2477306833318886</v>
      </c>
      <c r="AX74" s="23">
        <f t="shared" si="60"/>
        <v>57.775887570443928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71.420552731458145</v>
      </c>
      <c r="BJ74" s="62">
        <f t="shared" si="92"/>
        <v>436.74855282454985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41.149419042511184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8.4671736708137613E-7</v>
      </c>
      <c r="BS74" s="24">
        <f t="shared" si="63"/>
        <v>41.149419889228554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145.14303899407867</v>
      </c>
      <c r="CE74" s="62">
        <f t="shared" si="94"/>
        <v>137.55906339137317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110.74103332062725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1.18723056165982</v>
      </c>
      <c r="CN74" s="24">
        <f t="shared" si="66"/>
        <v>111.92826388228707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</v>
      </c>
      <c r="N75" s="14">
        <f>IF('Données projet'!$A$36&gt;35,N74+M75-V74,IF(A75&lt;'Données projet'!$A$36,$K$205^A75,IF(A75='Données projet'!$A$36,'Données projet'!$B$36,N74+M75-V74)))</f>
        <v>153.99999999999997</v>
      </c>
      <c r="O75" s="14">
        <f>N75*VLOOKUP('Données projet'!$B$9,Paramètres!$A$1:$I$89,3,0)*VLOOKUP('Données projet'!$B$9,Paramètres!$A$1:$I$89,5,0)</f>
        <v>134.53440000000001</v>
      </c>
      <c r="P75" s="14">
        <f t="shared" si="87"/>
        <v>35.042026165482234</v>
      </c>
      <c r="Q75" s="22">
        <f t="shared" si="54"/>
        <v>295.34560890488154</v>
      </c>
      <c r="R75" s="62">
        <f t="shared" si="55"/>
        <v>588.67894223821486</v>
      </c>
      <c r="S75" s="62">
        <f ca="1">AVERAGE(OFFSET($R$3,0,0,'Données projet'!$E$9+1,1))-AVERAGE(OFFSET($H$3,0,0,'Données projet'!$E$9+1,1))</f>
        <v>98.272553716009838</v>
      </c>
      <c r="T75" s="62">
        <f t="shared" si="88"/>
        <v>68.315893120570763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16.404583376657399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16.404583376657399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160.39999999999998</v>
      </c>
      <c r="AJ75" s="14">
        <f>AI75*VLOOKUP('Données projet'!$B$10,Paramètres!$A$1:$I$89,3,0)*VLOOKUP('Données projet'!$B$10,Paramètres!$A$1:$I$89,5,0)</f>
        <v>75.0672</v>
      </c>
      <c r="AK75" s="14">
        <f t="shared" si="89"/>
        <v>20.926657992619532</v>
      </c>
      <c r="AL75" s="22">
        <f t="shared" si="58"/>
        <v>167.18930267047901</v>
      </c>
      <c r="AM75" s="62">
        <f t="shared" si="59"/>
        <v>460.52263600381229</v>
      </c>
      <c r="AN75" s="62">
        <f ca="1">AVERAGE(OFFSET($AM$3,0,0,'Données projet'!$E$10+1,1))-AVERAGE(OFFSET($H$3,0,0,'Données projet'!$E$10+1,1))</f>
        <v>85.701306948362742</v>
      </c>
      <c r="AO75" s="62">
        <f t="shared" si="90"/>
        <v>118.59281525447091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50.51772115962811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4.4178127332112407</v>
      </c>
      <c r="AX75" s="23">
        <f t="shared" si="60"/>
        <v>54.935533892839352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71.420552731458145</v>
      </c>
      <c r="BJ75" s="62">
        <f t="shared" si="92"/>
        <v>436.74855282454985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40.342504033754871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5.9871959201166026E-7</v>
      </c>
      <c r="BS75" s="24">
        <f t="shared" si="63"/>
        <v>40.342504632474466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145.14303899407867</v>
      </c>
      <c r="CE75" s="62">
        <f t="shared" si="94"/>
        <v>137.55906339137317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108.56946920257053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0.83949878098157227</v>
      </c>
      <c r="CN75" s="24">
        <f t="shared" si="66"/>
        <v>109.4089679835521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</v>
      </c>
      <c r="N76" s="14">
        <f>IF('Données projet'!$A$36&gt;35,N75+M76-V75,IF(A76&lt;'Données projet'!$A$36,$K$205^A76,IF(A76='Données projet'!$A$36,'Données projet'!$B$36,N75+M76-V75)))</f>
        <v>158.99999999999997</v>
      </c>
      <c r="O76" s="14">
        <f>N76*VLOOKUP('Données projet'!$B$9,Paramètres!$A$1:$I$89,3,0)*VLOOKUP('Données projet'!$B$9,Paramètres!$A$1:$I$89,5,0)</f>
        <v>138.9024</v>
      </c>
      <c r="P76" s="14">
        <f t="shared" si="87"/>
        <v>36.045445680666425</v>
      </c>
      <c r="Q76" s="22">
        <f t="shared" si="54"/>
        <v>304.70083122716068</v>
      </c>
      <c r="R76" s="62">
        <f t="shared" si="55"/>
        <v>598.03416456049399</v>
      </c>
      <c r="S76" s="62">
        <f ca="1">AVERAGE(OFFSET($R$3,0,0,'Données projet'!$E$9+1,1))-AVERAGE(OFFSET($H$3,0,0,'Données projet'!$E$9+1,1))</f>
        <v>98.272553716009838</v>
      </c>
      <c r="T76" s="62">
        <f t="shared" si="88"/>
        <v>68.315893120570763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16.082899502449017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16.082899502449017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168.09999999999997</v>
      </c>
      <c r="AJ76" s="14">
        <f>AI76*VLOOKUP('Données projet'!$B$10,Paramètres!$A$1:$I$89,3,0)*VLOOKUP('Données projet'!$B$10,Paramètres!$A$1:$I$89,5,0)</f>
        <v>78.670799999999986</v>
      </c>
      <c r="AK76" s="14">
        <f t="shared" si="89"/>
        <v>21.811871589005307</v>
      </c>
      <c r="AL76" s="22">
        <f t="shared" si="58"/>
        <v>175.00731968418424</v>
      </c>
      <c r="AM76" s="62">
        <f t="shared" si="59"/>
        <v>468.34065301751752</v>
      </c>
      <c r="AN76" s="62">
        <f ca="1">AVERAGE(OFFSET($AM$3,0,0,'Données projet'!$E$10+1,1))-AVERAGE(OFFSET($H$3,0,0,'Données projet'!$E$10+1,1))</f>
        <v>85.701306948362742</v>
      </c>
      <c r="AO76" s="62">
        <f t="shared" si="90"/>
        <v>118.59281525447091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49.527099460455204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3.1238653416659443</v>
      </c>
      <c r="AX76" s="23">
        <f t="shared" si="60"/>
        <v>52.650964802121152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71.420552731458145</v>
      </c>
      <c r="BJ76" s="62">
        <f t="shared" si="92"/>
        <v>436.74855282454985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39.551412136150709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4.2335868354068806E-7</v>
      </c>
      <c r="BS76" s="24">
        <f t="shared" si="63"/>
        <v>39.551412559509394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145.14303899407867</v>
      </c>
      <c r="CE76" s="62">
        <f t="shared" si="94"/>
        <v>137.55906339137317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106.44048813234558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0.59361528082991</v>
      </c>
      <c r="CN76" s="24">
        <f t="shared" si="66"/>
        <v>107.03410341317549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</v>
      </c>
      <c r="N77" s="14">
        <f>IF('Données projet'!$A$36&gt;35,N76+M77-V76,IF(A77&lt;'Données projet'!$A$36,$K$205^A77,IF(A77='Données projet'!$A$36,'Données projet'!$B$36,N76+M77-V76)))</f>
        <v>163.99999999999997</v>
      </c>
      <c r="O77" s="14">
        <f>N77*VLOOKUP('Données projet'!$B$9,Paramètres!$A$1:$I$89,3,0)*VLOOKUP('Données projet'!$B$9,Paramètres!$A$1:$I$89,5,0)</f>
        <v>143.2704</v>
      </c>
      <c r="P77" s="14">
        <f t="shared" si="87"/>
        <v>37.045198377171303</v>
      </c>
      <c r="Q77" s="22">
        <f t="shared" si="54"/>
        <v>314.04966717357325</v>
      </c>
      <c r="R77" s="62">
        <f t="shared" si="55"/>
        <v>607.38300050690657</v>
      </c>
      <c r="S77" s="62">
        <f ca="1">AVERAGE(OFFSET($R$3,0,0,'Données projet'!$E$9+1,1))-AVERAGE(OFFSET($H$3,0,0,'Données projet'!$E$9+1,1))</f>
        <v>98.272553716009838</v>
      </c>
      <c r="T77" s="62">
        <f t="shared" si="88"/>
        <v>68.315893120570763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15.767523652806071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15.767523652806071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175.79999999999995</v>
      </c>
      <c r="AJ77" s="14">
        <f>AI77*VLOOKUP('Données projet'!$B$10,Paramètres!$A$1:$I$89,3,0)*VLOOKUP('Données projet'!$B$10,Paramètres!$A$1:$I$89,5,0)</f>
        <v>82.274399999999986</v>
      </c>
      <c r="AK77" s="14">
        <f t="shared" si="89"/>
        <v>22.69237620170853</v>
      </c>
      <c r="AL77" s="22">
        <f t="shared" si="58"/>
        <v>182.81713521797565</v>
      </c>
      <c r="AM77" s="62">
        <f t="shared" si="59"/>
        <v>476.15046855130896</v>
      </c>
      <c r="AN77" s="62">
        <f ca="1">AVERAGE(OFFSET($AM$3,0,0,'Données projet'!$E$10+1,1))-AVERAGE(OFFSET($H$3,0,0,'Données projet'!$E$10+1,1))</f>
        <v>85.701306948362742</v>
      </c>
      <c r="AO77" s="62">
        <f t="shared" si="90"/>
        <v>118.59281525447091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48.555903248583505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2.2089063666056203</v>
      </c>
      <c r="AX77" s="23">
        <f t="shared" si="60"/>
        <v>50.764809615189122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71.420552731458145</v>
      </c>
      <c r="BJ77" s="62">
        <f t="shared" si="92"/>
        <v>436.74855282454985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38.775833068140152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2.9935979600583013E-7</v>
      </c>
      <c r="BS77" s="24">
        <f t="shared" si="63"/>
        <v>38.775833367499949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145.14303899407867</v>
      </c>
      <c r="CE77" s="62">
        <f t="shared" si="94"/>
        <v>137.55906339137317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104.35325508235749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0.41974939049078613</v>
      </c>
      <c r="CN77" s="24">
        <f t="shared" si="66"/>
        <v>104.77300447284829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169</v>
      </c>
      <c r="L78" s="13">
        <f>VLOOKUP(A78,'Données projet'!$A$35:$I$55,9,0)</f>
        <v>5</v>
      </c>
      <c r="M78" s="13">
        <f t="array" ref="M78">INDEX(L:L,MIN(IF(ISNUMBER(L78:L274),ROW(L78:L274),"")))</f>
        <v>5</v>
      </c>
      <c r="N78" s="14">
        <f>IF('Données projet'!$A$36&gt;35,N77+M78-V77,IF(A78&lt;'Données projet'!$A$36,$K$205^A78,IF(A78='Données projet'!$A$36,'Données projet'!$B$36,N77+M78-V77)))</f>
        <v>168.99999999999997</v>
      </c>
      <c r="O78" s="14">
        <f>N78*VLOOKUP('Données projet'!$B$9,Paramètres!$A$1:$I$89,3,0)*VLOOKUP('Données projet'!$B$9,Paramètres!$A$1:$I$89,5,0)</f>
        <v>147.63839999999999</v>
      </c>
      <c r="P78" s="14">
        <f t="shared" si="87"/>
        <v>38.041408878951295</v>
      </c>
      <c r="Q78" s="22">
        <f t="shared" si="54"/>
        <v>323.39233379750681</v>
      </c>
      <c r="R78" s="62">
        <f t="shared" si="55"/>
        <v>616.72566713084007</v>
      </c>
      <c r="S78" s="62">
        <f ca="1">AVERAGE(OFFSET($R$3,0,0,'Données projet'!$E$9+1,1))-AVERAGE(OFFSET($H$3,0,0,'Données projet'!$E$9+1,1))</f>
        <v>98.272553716009838</v>
      </c>
      <c r="T78" s="62">
        <f t="shared" si="88"/>
        <v>68.315893120570763</v>
      </c>
      <c r="U78" s="16">
        <f>IF(ISNA(VLOOKUP(A78,'Données projet'!$A$35:$I$55,3,0)),0,VLOOKUP(A78,'Données projet'!$A$35:$I$55,3,0))</f>
        <v>9</v>
      </c>
      <c r="V78" s="16">
        <f>IF(ISNA(VLOOKUP(A78,'Données projet'!$A$35:$I$55,4,0)),0,VLOOKUP(A78,'Données projet'!$A$35:$I$55,4,0))</f>
        <v>14</v>
      </c>
      <c r="W78" s="17">
        <f>IF(ISNA(VLOOKUP(A78,'Données projet'!$A$35:$I$55,5,0)),0%,VLOOKUP(A78,'Données projet'!$A$35:$I$55,5,0)*VLOOKUP('Données projet'!$B$9,Paramètres!$A$1:$I$89,7,0))</f>
        <v>0.34400000000000003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20.109330787079237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20.109330787079237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183.49999999999994</v>
      </c>
      <c r="AJ78" s="14">
        <f>AI78*VLOOKUP('Données projet'!$B$10,Paramètres!$A$1:$I$89,3,0)*VLOOKUP('Données projet'!$B$10,Paramètres!$A$1:$I$89,5,0)</f>
        <v>85.877999999999972</v>
      </c>
      <c r="AK78" s="14">
        <f t="shared" si="89"/>
        <v>23.568401654986531</v>
      </c>
      <c r="AL78" s="22">
        <f t="shared" si="58"/>
        <v>190.61914954910148</v>
      </c>
      <c r="AM78" s="62">
        <f t="shared" si="59"/>
        <v>483.95248288243477</v>
      </c>
      <c r="AN78" s="62">
        <f ca="1">AVERAGE(OFFSET($AM$3,0,0,'Données projet'!$E$10+1,1))-AVERAGE(OFFSET($H$3,0,0,'Données projet'!$E$10+1,1))</f>
        <v>85.701306948362742</v>
      </c>
      <c r="AO78" s="62">
        <f t="shared" si="90"/>
        <v>118.59281525447091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47.603751602055411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1.5619326708329722</v>
      </c>
      <c r="AX78" s="23">
        <f t="shared" si="60"/>
        <v>49.165684272888384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71.420552731458145</v>
      </c>
      <c r="BJ78" s="62">
        <f t="shared" si="92"/>
        <v>436.74855282454985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38.015462632596758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2.1167934177034403E-7</v>
      </c>
      <c r="BS78" s="24">
        <f t="shared" si="63"/>
        <v>38.015462844276101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145.14303899407867</v>
      </c>
      <c r="CE78" s="62">
        <f t="shared" si="94"/>
        <v>137.55906339137317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102.30695139939323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0.296807640414955</v>
      </c>
      <c r="CN78" s="24">
        <f t="shared" si="66"/>
        <v>102.60375903980818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4.2</v>
      </c>
      <c r="N79" s="14">
        <f>IF('Données projet'!$A$36&gt;35,N78+M79-V78,IF(A79&lt;'Données projet'!$A$36,$K$205^A79,IF(A79='Données projet'!$A$36,'Données projet'!$B$36,N78+M79-V78)))</f>
        <v>159.19999999999996</v>
      </c>
      <c r="O79" s="14">
        <f>N79*VLOOKUP('Données projet'!$B$9,Paramètres!$A$1:$I$89,3,0)*VLOOKUP('Données projet'!$B$9,Paramètres!$A$1:$I$89,5,0)</f>
        <v>139.07711999999998</v>
      </c>
      <c r="P79" s="14">
        <f t="shared" si="87"/>
        <v>36.085505335070991</v>
      </c>
      <c r="Q79" s="22">
        <f t="shared" si="54"/>
        <v>305.07490579191523</v>
      </c>
      <c r="R79" s="62">
        <f t="shared" si="55"/>
        <v>598.40823912524854</v>
      </c>
      <c r="S79" s="62">
        <f ca="1">AVERAGE(OFFSET($R$3,0,0,'Données projet'!$E$9+1,1))-AVERAGE(OFFSET($H$3,0,0,'Données projet'!$E$9+1,1))</f>
        <v>98.272553716009838</v>
      </c>
      <c r="T79" s="62">
        <f t="shared" si="88"/>
        <v>68.315893120570763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19.714999075825279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19.714999075825279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191.19999999999993</v>
      </c>
      <c r="AJ79" s="14">
        <f>AI79*VLOOKUP('Données projet'!$B$10,Paramètres!$A$1:$I$89,3,0)*VLOOKUP('Données projet'!$B$10,Paramètres!$A$1:$I$89,5,0)</f>
        <v>89.481599999999972</v>
      </c>
      <c r="AK79" s="14">
        <f t="shared" si="89"/>
        <v>24.440157394260027</v>
      </c>
      <c r="AL79" s="22">
        <f t="shared" si="58"/>
        <v>198.41372746166948</v>
      </c>
      <c r="AM79" s="62">
        <f t="shared" si="59"/>
        <v>491.74706079500277</v>
      </c>
      <c r="AN79" s="62">
        <f ca="1">AVERAGE(OFFSET($AM$3,0,0,'Données projet'!$E$10+1,1))-AVERAGE(OFFSET($H$3,0,0,'Données projet'!$E$10+1,1))</f>
        <v>85.701306948362742</v>
      </c>
      <c r="AO79" s="62">
        <f t="shared" si="90"/>
        <v>118.59281525447091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46.670271068560574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1.1044531833028102</v>
      </c>
      <c r="AX79" s="23">
        <f t="shared" si="60"/>
        <v>47.774724251863383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71.420552731458145</v>
      </c>
      <c r="BJ79" s="62">
        <f t="shared" si="92"/>
        <v>436.74855282454985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37.2700025975142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1.4967989800291507E-7</v>
      </c>
      <c r="BS79" s="24">
        <f t="shared" si="63"/>
        <v>37.270002747194098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145.14303899407867</v>
      </c>
      <c r="CE79" s="62">
        <f t="shared" si="94"/>
        <v>137.55906339137317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100.30077448352989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0.20987469524539307</v>
      </c>
      <c r="CN79" s="24">
        <f t="shared" si="66"/>
        <v>100.51064917877528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4.2</v>
      </c>
      <c r="N80" s="14">
        <f>IF('Données projet'!$A$36&gt;35,N79+M80-V79,IF(A80&lt;'Données projet'!$A$36,$K$205^A80,IF(A80='Données projet'!$A$36,'Données projet'!$B$36,N79+M80-V79)))</f>
        <v>163.39999999999995</v>
      </c>
      <c r="O80" s="14">
        <f>N80*VLOOKUP('Données projet'!$B$9,Paramètres!$A$1:$I$89,3,0)*VLOOKUP('Données projet'!$B$9,Paramètres!$A$1:$I$89,5,0)</f>
        <v>142.74623999999997</v>
      </c>
      <c r="P80" s="14">
        <f t="shared" si="87"/>
        <v>36.925417462939514</v>
      </c>
      <c r="Q80" s="22">
        <f t="shared" si="54"/>
        <v>312.92813674795292</v>
      </c>
      <c r="R80" s="62">
        <f t="shared" si="55"/>
        <v>606.26147008128623</v>
      </c>
      <c r="S80" s="62">
        <f ca="1">AVERAGE(OFFSET($R$3,0,0,'Données projet'!$E$9+1,1))-AVERAGE(OFFSET($H$3,0,0,'Données projet'!$E$9+1,1))</f>
        <v>98.272553716009838</v>
      </c>
      <c r="T80" s="62">
        <f t="shared" si="88"/>
        <v>68.315893120570763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19.328399968910414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19.328399968910414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198.89999999999992</v>
      </c>
      <c r="AJ80" s="14">
        <f>AI80*VLOOKUP('Données projet'!$B$10,Paramètres!$A$1:$I$89,3,0)*VLOOKUP('Données projet'!$B$10,Paramètres!$A$1:$I$89,5,0)</f>
        <v>93.085199999999972</v>
      </c>
      <c r="AK80" s="14">
        <f t="shared" si="89"/>
        <v>25.307835040599706</v>
      </c>
      <c r="AL80" s="22">
        <f t="shared" si="58"/>
        <v>206.20120269571109</v>
      </c>
      <c r="AM80" s="62">
        <f t="shared" si="59"/>
        <v>499.53453602904438</v>
      </c>
      <c r="AN80" s="62">
        <f ca="1">AVERAGE(OFFSET($AM$3,0,0,'Données projet'!$E$10+1,1))-AVERAGE(OFFSET($H$3,0,0,'Données projet'!$E$10+1,1))</f>
        <v>85.701306948362742</v>
      </c>
      <c r="AO80" s="62">
        <f t="shared" si="90"/>
        <v>118.59281525447091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45.755095518960665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0.78096633541648608</v>
      </c>
      <c r="AX80" s="23">
        <f t="shared" si="60"/>
        <v>46.536061854377152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71.420552731458145</v>
      </c>
      <c r="BJ80" s="62">
        <f t="shared" si="92"/>
        <v>436.74855282454985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36.53916057903389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1.0583967088517202E-7</v>
      </c>
      <c r="BS80" s="24">
        <f t="shared" si="63"/>
        <v>36.539160684873558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145.14303899407867</v>
      </c>
      <c r="CE80" s="62">
        <f t="shared" si="94"/>
        <v>137.55906339137317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98.333937473339532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0.1484038202074775</v>
      </c>
      <c r="CN80" s="24">
        <f t="shared" si="66"/>
        <v>98.482341293547009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4.2</v>
      </c>
      <c r="N81" s="14">
        <f>IF('Données projet'!$A$36&gt;35,N80+M81-V80,IF(A81&lt;'Données projet'!$A$36,$K$205^A81,IF(A81='Données projet'!$A$36,'Données projet'!$B$36,N80+M81-V80)))</f>
        <v>167.59999999999994</v>
      </c>
      <c r="O81" s="14">
        <f>N81*VLOOKUP('Données projet'!$B$9,Paramètres!$A$1:$I$89,3,0)*VLOOKUP('Données projet'!$B$9,Paramètres!$A$1:$I$89,5,0)</f>
        <v>146.41535999999996</v>
      </c>
      <c r="P81" s="14">
        <f t="shared" si="87"/>
        <v>37.762820103024467</v>
      </c>
      <c r="Q81" s="22">
        <f t="shared" si="54"/>
        <v>320.77699701276748</v>
      </c>
      <c r="R81" s="62">
        <f t="shared" si="55"/>
        <v>614.1103303461008</v>
      </c>
      <c r="S81" s="62">
        <f ca="1">AVERAGE(OFFSET($R$3,0,0,'Données projet'!$E$9+1,1))-AVERAGE(OFFSET($H$3,0,0,'Données projet'!$E$9+1,1))</f>
        <v>98.272553716009838</v>
      </c>
      <c r="T81" s="62">
        <f t="shared" si="88"/>
        <v>68.315893120570763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18.949381834679979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18.949381834679979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206.59999999999991</v>
      </c>
      <c r="AJ81" s="14">
        <f>AI81*VLOOKUP('Données projet'!$B$10,Paramètres!$A$1:$I$89,3,0)*VLOOKUP('Données projet'!$B$10,Paramètres!$A$1:$I$89,5,0)</f>
        <v>96.688799999999958</v>
      </c>
      <c r="AK81" s="14">
        <f t="shared" si="89"/>
        <v>26.171610538519055</v>
      </c>
      <c r="AL81" s="22">
        <f t="shared" si="58"/>
        <v>213.98188168792061</v>
      </c>
      <c r="AM81" s="62">
        <f t="shared" si="59"/>
        <v>507.31521502125395</v>
      </c>
      <c r="AN81" s="62">
        <f ca="1">AVERAGE(OFFSET($AM$3,0,0,'Données projet'!$E$10+1,1))-AVERAGE(OFFSET($H$3,0,0,'Données projet'!$E$10+1,1))</f>
        <v>85.701306948362742</v>
      </c>
      <c r="AO81" s="62">
        <f t="shared" si="90"/>
        <v>118.59281525447091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44.857866003686439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0.55222659165140509</v>
      </c>
      <c r="AX81" s="23">
        <f t="shared" si="60"/>
        <v>45.410092595337844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71.420552731458145</v>
      </c>
      <c r="BJ81" s="62">
        <f t="shared" si="92"/>
        <v>436.74855282454985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35.82264992676636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7.4839949001457533E-8</v>
      </c>
      <c r="BS81" s="24">
        <f t="shared" si="63"/>
        <v>35.822650001606306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145.14303899407867</v>
      </c>
      <c r="CE81" s="62">
        <f t="shared" si="94"/>
        <v>137.55906339137317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96.405668937266881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0.10493734762269653</v>
      </c>
      <c r="CN81" s="24">
        <f t="shared" si="66"/>
        <v>96.510606284889576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4.2</v>
      </c>
      <c r="N82" s="14">
        <f>IF('Données projet'!$A$36&gt;35,N81+M82-V81,IF(A82&lt;'Données projet'!$A$36,$K$205^A82,IF(A82='Données projet'!$A$36,'Données projet'!$B$36,N81+M82-V81)))</f>
        <v>171.79999999999993</v>
      </c>
      <c r="O82" s="14">
        <f>N82*VLOOKUP('Données projet'!$B$9,Paramètres!$A$1:$I$89,3,0)*VLOOKUP('Données projet'!$B$9,Paramètres!$A$1:$I$89,5,0)</f>
        <v>150.08447999999996</v>
      </c>
      <c r="P82" s="14">
        <f t="shared" si="87"/>
        <v>38.597783374841299</v>
      </c>
      <c r="Q82" s="22">
        <f t="shared" si="54"/>
        <v>328.62160871118186</v>
      </c>
      <c r="R82" s="62">
        <f t="shared" si="55"/>
        <v>621.95494204451518</v>
      </c>
      <c r="S82" s="62">
        <f ca="1">AVERAGE(OFFSET($R$3,0,0,'Données projet'!$E$9+1,1))-AVERAGE(OFFSET($H$3,0,0,'Données projet'!$E$9+1,1))</f>
        <v>98.272553716009838</v>
      </c>
      <c r="T82" s="62">
        <f t="shared" si="88"/>
        <v>68.315893120570763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18.577796014883567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18.577796014883567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214.2999999999999</v>
      </c>
      <c r="AJ82" s="14">
        <f>AI82*VLOOKUP('Données projet'!$B$10,Paramètres!$A$1:$I$89,3,0)*VLOOKUP('Données projet'!$B$10,Paramètres!$A$1:$I$89,5,0)</f>
        <v>100.29239999999994</v>
      </c>
      <c r="AK82" s="14">
        <f t="shared" si="89"/>
        <v>27.031645974571337</v>
      </c>
      <c r="AL82" s="22">
        <f t="shared" si="58"/>
        <v>221.75604673904499</v>
      </c>
      <c r="AM82" s="62">
        <f t="shared" si="59"/>
        <v>515.08938007237828</v>
      </c>
      <c r="AN82" s="62">
        <f ca="1">AVERAGE(OFFSET($AM$3,0,0,'Données projet'!$E$10+1,1))-AVERAGE(OFFSET($H$3,0,0,'Données projet'!$E$10+1,1))</f>
        <v>85.701306948362742</v>
      </c>
      <c r="AO82" s="62">
        <f t="shared" si="90"/>
        <v>118.59281525447091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43.978230611950778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0.39048316770824304</v>
      </c>
      <c r="AX82" s="23">
        <f t="shared" si="60"/>
        <v>44.368713779659018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71.420552731458145</v>
      </c>
      <c r="BJ82" s="62">
        <f t="shared" si="92"/>
        <v>436.74855282454985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35.120189611361454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5.2919835442586008E-8</v>
      </c>
      <c r="BS82" s="24">
        <f t="shared" si="63"/>
        <v>35.120189664281291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145.14303899407867</v>
      </c>
      <c r="CE82" s="62">
        <f t="shared" si="94"/>
        <v>137.55906339137317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94.515212571058953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7.420191010373875E-2</v>
      </c>
      <c r="CN82" s="24">
        <f t="shared" si="66"/>
        <v>94.589414481162692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176</v>
      </c>
      <c r="L83" s="13">
        <f>VLOOKUP(A83,'Données projet'!$A$35:$I$55,9,0)</f>
        <v>4.2</v>
      </c>
      <c r="M83" s="13">
        <f t="array" ref="M83">INDEX(L:L,MIN(IF(ISNUMBER(L83:L279),ROW(L83:L279),"")))</f>
        <v>4.2</v>
      </c>
      <c r="N83" s="14">
        <f>IF('Données projet'!$A$36&gt;35,N82+M83-V82,IF(A83&lt;'Données projet'!$A$36,$K$205^A83,IF(A83='Données projet'!$A$36,'Données projet'!$B$36,N82+M83-V82)))</f>
        <v>175.99999999999991</v>
      </c>
      <c r="O83" s="14">
        <f>N83*VLOOKUP('Données projet'!$B$9,Paramètres!$A$1:$I$89,3,0)*VLOOKUP('Données projet'!$B$9,Paramètres!$A$1:$I$89,5,0)</f>
        <v>153.75359999999995</v>
      </c>
      <c r="P83" s="14">
        <f t="shared" si="87"/>
        <v>39.430373774012359</v>
      </c>
      <c r="Q83" s="22">
        <f t="shared" si="54"/>
        <v>336.46208765640478</v>
      </c>
      <c r="R83" s="62">
        <f t="shared" si="55"/>
        <v>629.79542098973809</v>
      </c>
      <c r="S83" s="62">
        <f ca="1">AVERAGE(OFFSET($R$3,0,0,'Données projet'!$E$9+1,1))-AVERAGE(OFFSET($H$3,0,0,'Données projet'!$E$9+1,1))</f>
        <v>98.272553716009838</v>
      </c>
      <c r="T83" s="62">
        <f t="shared" si="88"/>
        <v>68.315893120570763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176</v>
      </c>
      <c r="W83" s="17">
        <f>IF(ISNA(VLOOKUP(A83,'Données projet'!$A$35:$I$55,5,0)),0%,VLOOKUP(A83,'Données projet'!$A$35:$I$55,5,0)*VLOOKUP('Données projet'!$B$9,Paramètres!$A$1:$I$89,7,0))</f>
        <v>0.38700000000000001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83.991906327886113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83.991906327886113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222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221.99999999999989</v>
      </c>
      <c r="AJ83" s="14">
        <f>AI83*VLOOKUP('Données projet'!$B$10,Paramètres!$A$1:$I$89,3,0)*VLOOKUP('Données projet'!$B$10,Paramètres!$A$1:$I$89,5,0)</f>
        <v>103.89599999999994</v>
      </c>
      <c r="AK83" s="14">
        <f t="shared" si="89"/>
        <v>27.888091127225799</v>
      </c>
      <c r="AL83" s="22">
        <f t="shared" si="58"/>
        <v>229.52395871325146</v>
      </c>
      <c r="AM83" s="62">
        <f t="shared" si="59"/>
        <v>522.8572920465848</v>
      </c>
      <c r="AN83" s="62">
        <f ca="1">AVERAGE(OFFSET($AM$3,0,0,'Données projet'!$E$10+1,1))-AVERAGE(OFFSET($H$3,0,0,'Données projet'!$E$10+1,1))</f>
        <v>85.701306948362742</v>
      </c>
      <c r="AO83" s="62">
        <f t="shared" si="90"/>
        <v>118.59281525447091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222</v>
      </c>
      <c r="AR83" s="17">
        <f>IF(ISNA(VLOOKUP(A83,'Données projet'!$A$61:$I$81,5,0)),0%,VLOOKUP(A83,'Données projet'!$A$61:$I$81,5,0)*VLOOKUP('Données projet'!$B$10,Paramètres!$A$1:$I$89,7,0))</f>
        <v>0.49500000000000005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0.1</v>
      </c>
      <c r="AU83" s="23">
        <f>EXP(-LN(2)/35)*AU82+(1-EXP(-LN(2)/35))/(LN(2)/35)*AQ83*AR83*VLOOKUP('Données projet'!$B$10,Paramètres!$A$1:$I$89,3,0)*0.475*44/12</f>
        <v>111.33909096158393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12.039553974206674</v>
      </c>
      <c r="AX83" s="23">
        <f t="shared" si="60"/>
        <v>123.3786449357906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71.420552731458145</v>
      </c>
      <c r="BJ83" s="62">
        <f t="shared" si="92"/>
        <v>436.74855282454985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34.43150411428315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3.7419974500728766E-8</v>
      </c>
      <c r="BS83" s="24">
        <f t="shared" si="63"/>
        <v>34.431504151703123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145.14303899407867</v>
      </c>
      <c r="CE83" s="62">
        <f t="shared" si="94"/>
        <v>137.55906339137317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92.661826901127824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5.2468673811348267E-2</v>
      </c>
      <c r="CN83" s="24">
        <f t="shared" si="66"/>
        <v>92.714295574939172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-8.5265128291212022E-14</v>
      </c>
      <c r="O84" s="14">
        <f>N84*VLOOKUP('Données projet'!$B$9,Paramètres!$A$1:$I$89,3,0)*VLOOKUP('Données projet'!$B$9,Paramètres!$A$1:$I$89,5,0)</f>
        <v>-7.4487616075202836E-14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98.272553716009838</v>
      </c>
      <c r="T84" s="62">
        <f t="shared" si="88"/>
        <v>68.315893120570763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82.344876274800583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82.344876274800583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-5.3205440053716299E-14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85.701306948362742</v>
      </c>
      <c r="AO84" s="62">
        <f t="shared" si="90"/>
        <v>118.59281525447091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109.15579929796719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8.5132502576229871</v>
      </c>
      <c r="AX84" s="23">
        <f t="shared" si="60"/>
        <v>117.66904955559018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71.420552731458145</v>
      </c>
      <c r="BJ84" s="62">
        <f t="shared" si="92"/>
        <v>436.74855282454985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33.756323319745874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2.6459917721293004E-8</v>
      </c>
      <c r="BS84" s="24">
        <f t="shared" si="63"/>
        <v>33.756323346205789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145.14303899407867</v>
      </c>
      <c r="CE84" s="62">
        <f t="shared" si="94"/>
        <v>137.55906339137317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90.844784993730414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3.7100955051869375E-2</v>
      </c>
      <c r="CN84" s="24">
        <f t="shared" si="66"/>
        <v>90.881885948782283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-8.5265128291212022E-14</v>
      </c>
      <c r="O85" s="14">
        <f>N85*VLOOKUP('Données projet'!$B$9,Paramètres!$A$1:$I$89,3,0)*VLOOKUP('Données projet'!$B$9,Paramètres!$A$1:$I$89,5,0)</f>
        <v>-7.4487616075202836E-14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98.272553716009838</v>
      </c>
      <c r="T85" s="62">
        <f t="shared" si="88"/>
        <v>68.315893120570763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80.730143476466921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80.730143476466921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-5.3205440053716299E-14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85.701306948362742</v>
      </c>
      <c r="AO85" s="62">
        <f t="shared" si="90"/>
        <v>118.59281525447091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107.01532065219754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6.0197769871033371</v>
      </c>
      <c r="AX85" s="23">
        <f t="shared" si="60"/>
        <v>113.03509763930089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71.420552731458145</v>
      </c>
      <c r="BJ85" s="62">
        <f t="shared" si="92"/>
        <v>436.74855282454985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33.094382408769853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1.8709987250364383E-8</v>
      </c>
      <c r="BS85" s="24">
        <f t="shared" si="63"/>
        <v>33.094382427479843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145.14303899407867</v>
      </c>
      <c r="CE85" s="62">
        <f t="shared" si="94"/>
        <v>137.55906339137317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89.063374169850945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2.6234336905674133E-2</v>
      </c>
      <c r="CN85" s="24">
        <f t="shared" si="66"/>
        <v>89.089608506756619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-8.5265128291212022E-14</v>
      </c>
      <c r="O86" s="14">
        <f>N86*VLOOKUP('Données projet'!$B$9,Paramètres!$A$1:$I$89,3,0)*VLOOKUP('Données projet'!$B$9,Paramètres!$A$1:$I$89,5,0)</f>
        <v>-7.4487616075202836E-14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98.272553716009838</v>
      </c>
      <c r="T86" s="62">
        <f t="shared" si="88"/>
        <v>68.315893120570763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79.147074603418829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79.147074603418829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-5.3205440053716299E-14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85.701306948362742</v>
      </c>
      <c r="AO86" s="62">
        <f t="shared" si="90"/>
        <v>118.59281525447091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104.91681548710838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4.2566251288114936</v>
      </c>
      <c r="AX86" s="23">
        <f t="shared" si="60"/>
        <v>109.17344061591987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71.420552731458145</v>
      </c>
      <c r="BJ86" s="62">
        <f t="shared" si="92"/>
        <v>436.74855282454985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32.445421755313987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1.3229958860646502E-8</v>
      </c>
      <c r="BS86" s="24">
        <f t="shared" si="63"/>
        <v>32.445421768543945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145.14303899407867</v>
      </c>
      <c r="CE86" s="62">
        <f t="shared" si="94"/>
        <v>137.55906339137317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87.316895725674428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1.8550477525934687E-2</v>
      </c>
      <c r="CN86" s="24">
        <f t="shared" si="66"/>
        <v>87.335446203200362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-8.5265128291212022E-14</v>
      </c>
      <c r="O87" s="14">
        <f>N87*VLOOKUP('Données projet'!$B$9,Paramètres!$A$1:$I$89,3,0)*VLOOKUP('Données projet'!$B$9,Paramètres!$A$1:$I$89,5,0)</f>
        <v>-7.4487616075202836E-14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98.272553716009838</v>
      </c>
      <c r="T87" s="62">
        <f t="shared" si="88"/>
        <v>68.315893120570763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77.595048745394536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77.595048745394536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-5.3205440053716299E-14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85.701306948362742</v>
      </c>
      <c r="AO87" s="62">
        <f t="shared" si="90"/>
        <v>118.59281525447091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102.85946072834486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3.0098884935516685</v>
      </c>
      <c r="AX87" s="23">
        <f t="shared" si="60"/>
        <v>105.86934922189653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71.420552731458145</v>
      </c>
      <c r="BJ87" s="62">
        <f t="shared" si="92"/>
        <v>436.74855282454985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31.809186824445476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9.3549936251821916E-9</v>
      </c>
      <c r="BS87" s="24">
        <f t="shared" si="63"/>
        <v>31.809186833800471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145.14303899407867</v>
      </c>
      <c r="CE87" s="62">
        <f t="shared" si="94"/>
        <v>137.55906339137317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85.604664658541552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1.3117168452837067E-2</v>
      </c>
      <c r="CN87" s="24">
        <f t="shared" si="66"/>
        <v>85.617781826994388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-8.5265128291212022E-14</v>
      </c>
      <c r="O88" s="14">
        <f>N88*VLOOKUP('Données projet'!$B$9,Paramètres!$A$1:$I$89,3,0)*VLOOKUP('Données projet'!$B$9,Paramètres!$A$1:$I$89,5,0)</f>
        <v>-7.4487616075202836E-14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98.272553716009838</v>
      </c>
      <c r="T88" s="62">
        <f t="shared" si="88"/>
        <v>68.315893120570763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76.073457167803795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76.073457167803795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-5.3205440053716299E-14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85.701306948362742</v>
      </c>
      <c r="AO88" s="62">
        <f t="shared" si="90"/>
        <v>118.59281525447091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100.84244944153819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2.1283125644057468</v>
      </c>
      <c r="AX88" s="23">
        <f t="shared" si="60"/>
        <v>102.97076200594394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71.420552731458145</v>
      </c>
      <c r="BJ88" s="62">
        <f t="shared" si="92"/>
        <v>436.74855282454985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31.185428072506305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6.614979430323251E-9</v>
      </c>
      <c r="BS88" s="24">
        <f t="shared" si="63"/>
        <v>31.185428079121284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145.14303899407867</v>
      </c>
      <c r="CE88" s="62">
        <f t="shared" si="94"/>
        <v>137.55906339137317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83.926009398277316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9.2752387629673437E-3</v>
      </c>
      <c r="CN88" s="24">
        <f t="shared" si="66"/>
        <v>83.935284637040283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-8.5265128291212022E-14</v>
      </c>
      <c r="O89" s="14">
        <f>N89*VLOOKUP('Données projet'!$B$9,Paramètres!$A$1:$I$89,3,0)*VLOOKUP('Données projet'!$B$9,Paramètres!$A$1:$I$89,5,0)</f>
        <v>-7.4487616075202836E-14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98.272553716009838</v>
      </c>
      <c r="T89" s="62">
        <f t="shared" si="88"/>
        <v>68.315893120570763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74.581703072970399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74.581703072970399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-5.3205440053716299E-14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85.701306948362742</v>
      </c>
      <c r="AO89" s="62">
        <f t="shared" si="90"/>
        <v>118.59281525447091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98.864990515810391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1.5049442467758343</v>
      </c>
      <c r="AX89" s="23">
        <f t="shared" si="60"/>
        <v>100.36993476258623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71.420552731458145</v>
      </c>
      <c r="BJ89" s="62">
        <f t="shared" si="92"/>
        <v>436.74855282454985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30.57390084923739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4.6774968125910958E-9</v>
      </c>
      <c r="BS89" s="24">
        <f t="shared" si="63"/>
        <v>30.573900853914886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145.14303899407867</v>
      </c>
      <c r="CE89" s="62">
        <f t="shared" si="94"/>
        <v>137.55906339137317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82.28027154378826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6.5585842264185333E-3</v>
      </c>
      <c r="CN89" s="24">
        <f t="shared" si="66"/>
        <v>82.286830128014685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-8.5265128291212022E-14</v>
      </c>
      <c r="O90" s="14">
        <f>N90*VLOOKUP('Données projet'!$B$9,Paramètres!$A$1:$I$89,3,0)*VLOOKUP('Données projet'!$B$9,Paramètres!$A$1:$I$89,5,0)</f>
        <v>-7.4487616075202836E-14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98.272553716009838</v>
      </c>
      <c r="T90" s="62">
        <f t="shared" si="88"/>
        <v>68.315893120570763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73.119201366056529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73.119201366056529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-5.3205440053716299E-14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85.701306948362742</v>
      </c>
      <c r="AO90" s="62">
        <f t="shared" si="90"/>
        <v>118.59281525447091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96.926308353485268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1.0641562822028734</v>
      </c>
      <c r="AX90" s="23">
        <f t="shared" si="60"/>
        <v>97.990464635688141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71.420552731458145</v>
      </c>
      <c r="BJ90" s="62">
        <f t="shared" si="92"/>
        <v>436.74855282454985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29.974365301822001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3.3074897151616255E-9</v>
      </c>
      <c r="BS90" s="24">
        <f t="shared" si="63"/>
        <v>29.974365305129492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145.14303899407867</v>
      </c>
      <c r="CE90" s="62">
        <f t="shared" si="94"/>
        <v>137.55906339137317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80.666805604824759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4.6376193814836719E-3</v>
      </c>
      <c r="CN90" s="24">
        <f t="shared" si="66"/>
        <v>80.671443224206243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-8.5265128291212022E-14</v>
      </c>
      <c r="O91" s="14">
        <f>N91*VLOOKUP('Données projet'!$B$9,Paramètres!$A$1:$I$89,3,0)*VLOOKUP('Données projet'!$B$9,Paramètres!$A$1:$I$89,5,0)</f>
        <v>-7.4487616075202836E-14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98.272553716009838</v>
      </c>
      <c r="T91" s="62">
        <f t="shared" si="88"/>
        <v>68.315893120570763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71.685378425577284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71.685378425577284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-5.3205440053716299E-14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85.701306948362742</v>
      </c>
      <c r="AO91" s="62">
        <f t="shared" si="90"/>
        <v>118.59281525447091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95.025642565883985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0.75247212338791714</v>
      </c>
      <c r="AX91" s="23">
        <f t="shared" si="60"/>
        <v>95.778114689271902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71.420552731458145</v>
      </c>
      <c r="BJ91" s="62">
        <f t="shared" si="92"/>
        <v>436.74855282454985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29.386586280810853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2.3387484062955479E-9</v>
      </c>
      <c r="BS91" s="24">
        <f t="shared" si="63"/>
        <v>29.386586283149601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145.14303899407867</v>
      </c>
      <c r="CE91" s="62">
        <f t="shared" si="94"/>
        <v>137.55906339137317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79.084978748807288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3.2792921132092667E-3</v>
      </c>
      <c r="CN91" s="24">
        <f t="shared" si="66"/>
        <v>79.088258040920493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-8.5265128291212022E-14</v>
      </c>
      <c r="O92" s="14">
        <f>N92*VLOOKUP('Données projet'!$B$9,Paramètres!$A$1:$I$89,3,0)*VLOOKUP('Données projet'!$B$9,Paramètres!$A$1:$I$89,5,0)</f>
        <v>-7.4487616075202836E-14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98.272553716009838</v>
      </c>
      <c r="T92" s="62">
        <f t="shared" si="88"/>
        <v>68.315893120570763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70.279671878415186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70.279671878415186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-5.3205440053716299E-14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85.701306948362742</v>
      </c>
      <c r="AO92" s="62">
        <f t="shared" si="90"/>
        <v>118.59281525447091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93.162247675085894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0.5320781411014367</v>
      </c>
      <c r="AX92" s="23">
        <f t="shared" si="60"/>
        <v>93.69432581618733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71.420552731458145</v>
      </c>
      <c r="BJ92" s="62">
        <f t="shared" si="92"/>
        <v>436.74855282454985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28.810333247891929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1.6537448575808128E-9</v>
      </c>
      <c r="BS92" s="24">
        <f t="shared" si="63"/>
        <v>28.810333249545675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145.14303899407867</v>
      </c>
      <c r="CE92" s="62">
        <f t="shared" si="94"/>
        <v>137.55906339137317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77.534170552617198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2.3188096907418359E-3</v>
      </c>
      <c r="CN92" s="24">
        <f t="shared" si="66"/>
        <v>77.536489362307947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-8.5265128291212022E-14</v>
      </c>
      <c r="O93" s="14">
        <f>N93*VLOOKUP('Données projet'!$B$9,Paramètres!$A$1:$I$89,3,0)*VLOOKUP('Données projet'!$B$9,Paramètres!$A$1:$I$89,5,0)</f>
        <v>-7.4487616075202836E-14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98.272553716009838</v>
      </c>
      <c r="T93" s="62">
        <f t="shared" si="88"/>
        <v>68.315893120570763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68.901530379246609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68.901530379246609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-5.3205440053716299E-14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85.701306948362742</v>
      </c>
      <c r="AO93" s="62">
        <f t="shared" si="90"/>
        <v>118.59281525447091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91.335392821537695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0.37623606169395857</v>
      </c>
      <c r="AX93" s="23">
        <f t="shared" si="60"/>
        <v>91.711628883231654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71.420552731458145</v>
      </c>
      <c r="BJ93" s="62">
        <f t="shared" si="92"/>
        <v>436.74855282454985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28.245380185468903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1.1693742031477739E-9</v>
      </c>
      <c r="BS93" s="24">
        <f t="shared" si="63"/>
        <v>28.245380186638279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145.14303899407867</v>
      </c>
      <c r="CE93" s="62">
        <f t="shared" si="94"/>
        <v>137.55906339137317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76.013772759254792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1.6396460566046333E-3</v>
      </c>
      <c r="CN93" s="24">
        <f t="shared" si="66"/>
        <v>76.015412405311395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-8.5265128291212022E-14</v>
      </c>
      <c r="O94" s="14">
        <f>N94*VLOOKUP('Données projet'!$B$9,Paramètres!$A$1:$I$89,3,0)*VLOOKUP('Données projet'!$B$9,Paramètres!$A$1:$I$89,5,0)</f>
        <v>-7.4487616075202836E-14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98.272553716009838</v>
      </c>
      <c r="T94" s="62">
        <f t="shared" si="88"/>
        <v>68.315893120570763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67.550413394293415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67.550413394293415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-5.3205440053716299E-14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85.701306948362742</v>
      </c>
      <c r="AO94" s="62">
        <f t="shared" si="90"/>
        <v>118.59281525447091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89.544361477396151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0.26603907055071835</v>
      </c>
      <c r="AX94" s="23">
        <f t="shared" si="60"/>
        <v>89.81040054794687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71.420552731458145</v>
      </c>
      <c r="BJ94" s="62">
        <f t="shared" si="92"/>
        <v>436.74855282454985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27.69150550801265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8.2687242879040638E-10</v>
      </c>
      <c r="BS94" s="24">
        <f t="shared" si="63"/>
        <v>27.691505508839523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145.14303899407867</v>
      </c>
      <c r="CE94" s="62">
        <f t="shared" si="94"/>
        <v>137.55906339137317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74.523189039269141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1.159404845370918E-3</v>
      </c>
      <c r="CN94" s="24">
        <f t="shared" si="66"/>
        <v>74.524348444114509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-8.5265128291212022E-14</v>
      </c>
      <c r="O95" s="14">
        <f>N95*VLOOKUP('Données projet'!$B$9,Paramètres!$A$1:$I$89,3,0)*VLOOKUP('Données projet'!$B$9,Paramètres!$A$1:$I$89,5,0)</f>
        <v>-7.4487616075202836E-14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98.272553716009838</v>
      </c>
      <c r="T95" s="62">
        <f t="shared" si="88"/>
        <v>68.315893120570763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66.225790989315158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66.225790989315158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-5.3205440053716299E-14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85.701306948362742</v>
      </c>
      <c r="AO95" s="62">
        <f t="shared" si="90"/>
        <v>118.59281525447091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87.788451165491963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0.18811803084697928</v>
      </c>
      <c r="AX95" s="23">
        <f t="shared" si="60"/>
        <v>87.976569196338943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71.420552731458145</v>
      </c>
      <c r="BJ95" s="62">
        <f t="shared" si="92"/>
        <v>436.74855282454985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27.148491975151117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5.8468710157388697E-10</v>
      </c>
      <c r="BS95" s="24">
        <f t="shared" si="63"/>
        <v>27.148491975735805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145.14303899407867</v>
      </c>
      <c r="CE95" s="62">
        <f t="shared" si="94"/>
        <v>137.55906339137317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73.061834756866119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8.1982302830231667E-4</v>
      </c>
      <c r="CN95" s="24">
        <f t="shared" si="66"/>
        <v>73.062654579894428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-8.5265128291212022E-14</v>
      </c>
      <c r="O96" s="14">
        <f>N96*VLOOKUP('Données projet'!$B$9,Paramètres!$A$1:$I$89,3,0)*VLOOKUP('Données projet'!$B$9,Paramètres!$A$1:$I$89,5,0)</f>
        <v>-7.4487616075202836E-14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98.272553716009838</v>
      </c>
      <c r="T96" s="62">
        <f t="shared" si="88"/>
        <v>68.315893120570763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64.927143621758646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64.927143621758646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-5.3205440053716299E-14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85.701306948362742</v>
      </c>
      <c r="AO96" s="62">
        <f t="shared" si="90"/>
        <v>118.59281525447091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86.066973183804677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0.13301953527535917</v>
      </c>
      <c r="AX96" s="23">
        <f t="shared" si="60"/>
        <v>86.199992719080043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71.420552731458145</v>
      </c>
      <c r="BJ96" s="62">
        <f t="shared" si="92"/>
        <v>436.74855282454985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26.61612660646345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4.1343621439520319E-10</v>
      </c>
      <c r="BS96" s="24">
        <f t="shared" si="63"/>
        <v>26.616126606876886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145.14303899407867</v>
      </c>
      <c r="CE96" s="62">
        <f t="shared" si="94"/>
        <v>137.55906339137317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71.629136740602917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5.7970242268545898E-4</v>
      </c>
      <c r="CN96" s="24">
        <f t="shared" si="66"/>
        <v>71.6297164430256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-8.5265128291212022E-14</v>
      </c>
      <c r="O97" s="14">
        <f>N97*VLOOKUP('Données projet'!$B$9,Paramètres!$A$1:$I$89,3,0)*VLOOKUP('Données projet'!$B$9,Paramètres!$A$1:$I$89,5,0)</f>
        <v>-7.4487616075202836E-14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98.272553716009838</v>
      </c>
      <c r="T97" s="62">
        <f t="shared" si="88"/>
        <v>68.315893120570763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63.653961936983229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63.653961936983229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-5.3205440053716299E-14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85.701306948362742</v>
      </c>
      <c r="AO97" s="62">
        <f t="shared" si="90"/>
        <v>118.59281525447091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84.379252335340396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9.4059015423489642E-2</v>
      </c>
      <c r="AX97" s="23">
        <f t="shared" si="60"/>
        <v>84.473311350763879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71.420552731458145</v>
      </c>
      <c r="BJ97" s="62">
        <f t="shared" si="92"/>
        <v>436.74855282454985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26.094200597944933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2.9234355078694349E-10</v>
      </c>
      <c r="BS97" s="24">
        <f t="shared" si="63"/>
        <v>26.094200598237276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145.14303899407867</v>
      </c>
      <c r="CE97" s="62">
        <f t="shared" si="94"/>
        <v>137.55906339137317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70.224533058579127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4.0991151415115833E-4</v>
      </c>
      <c r="CN97" s="24">
        <f t="shared" si="66"/>
        <v>70.224942970093281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-8.5265128291212022E-14</v>
      </c>
      <c r="O98" s="14">
        <f>N98*VLOOKUP('Données projet'!$B$9,Paramètres!$A$1:$I$89,3,0)*VLOOKUP('Données projet'!$B$9,Paramètres!$A$1:$I$89,5,0)</f>
        <v>-7.4487616075202836E-14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98.272553716009838</v>
      </c>
      <c r="T98" s="62">
        <f t="shared" si="88"/>
        <v>68.315893120570763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62.405746568482108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62.405746568482108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-5.3205440053716299E-14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85.701306948362742</v>
      </c>
      <c r="AO98" s="62">
        <f t="shared" si="90"/>
        <v>118.59281525447091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82.724626663306424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6.6509767637679587E-2</v>
      </c>
      <c r="AX98" s="23">
        <f t="shared" si="60"/>
        <v>82.791136430944107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71.420552731458145</v>
      </c>
      <c r="BJ98" s="62">
        <f t="shared" si="92"/>
        <v>436.74855282454985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25.582509240110035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2.0671810719760159E-10</v>
      </c>
      <c r="BS98" s="24">
        <f t="shared" si="63"/>
        <v>25.582509240316753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145.14303899407867</v>
      </c>
      <c r="CE98" s="62">
        <f t="shared" si="94"/>
        <v>137.55906339137317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68.847472798036179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2.8985121134272949E-4</v>
      </c>
      <c r="CN98" s="24">
        <f t="shared" si="66"/>
        <v>68.847762649247528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-8.5265128291212022E-14</v>
      </c>
      <c r="O99" s="14">
        <f>N99*VLOOKUP('Données projet'!$B$9,Paramètres!$A$1:$I$89,3,0)*VLOOKUP('Données projet'!$B$9,Paramètres!$A$1:$I$89,5,0)</f>
        <v>-7.4487616075202836E-14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98.272553716009838</v>
      </c>
      <c r="T99" s="62">
        <f t="shared" si="88"/>
        <v>68.315893120570763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61.182007942021094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61.182007942021094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-5.3205440053716299E-14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85.701306948362742</v>
      </c>
      <c r="AO99" s="62">
        <f t="shared" si="90"/>
        <v>118.59281525447091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81.10244719147903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4.7029507711744821E-2</v>
      </c>
      <c r="AX99" s="23">
        <f t="shared" si="60"/>
        <v>81.149476699190771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71.420552731458145</v>
      </c>
      <c r="BJ99" s="62">
        <f t="shared" si="92"/>
        <v>436.74855282454985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25.080851837701367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1.4617177539347174E-10</v>
      </c>
      <c r="BS99" s="24">
        <f t="shared" si="63"/>
        <v>25.08085183784754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145.14303899407867</v>
      </c>
      <c r="CE99" s="62">
        <f t="shared" si="94"/>
        <v>137.55906339137317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67.497415849278653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2.0495575707557917E-4</v>
      </c>
      <c r="CN99" s="24">
        <f t="shared" si="66"/>
        <v>67.497620805035723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-8.5265128291212022E-14</v>
      </c>
      <c r="O100" s="14">
        <f>N100*VLOOKUP('Données projet'!$B$9,Paramètres!$A$1:$I$89,3,0)*VLOOKUP('Données projet'!$B$9,Paramètres!$A$1:$I$89,5,0)</f>
        <v>-7.4487616075202836E-14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98.272553716009838</v>
      </c>
      <c r="T100" s="62">
        <f t="shared" si="88"/>
        <v>68.315893120570763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59.982266083618121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59.982266083618121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-5.3205440053716299E-14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85.701306948362742</v>
      </c>
      <c r="AO100" s="62">
        <f t="shared" si="90"/>
        <v>118.59281525447091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79.512077669662389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3.3254883818839794E-2</v>
      </c>
      <c r="AX100" s="23">
        <f t="shared" si="60"/>
        <v>79.545332553481231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71.420552731458145</v>
      </c>
      <c r="BJ100" s="62">
        <f t="shared" si="92"/>
        <v>436.74855282454985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24.589031630973132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1.033590535988008E-10</v>
      </c>
      <c r="BS100" s="24">
        <f t="shared" si="63"/>
        <v>24.589031631076491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145.14303899407867</v>
      </c>
      <c r="CE100" s="62">
        <f t="shared" si="94"/>
        <v>137.55906339137317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66.173832693832836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1.4492560567136475E-4</v>
      </c>
      <c r="CN100" s="24">
        <f t="shared" si="66"/>
        <v>66.173977619438503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-8.5265128291212022E-14</v>
      </c>
      <c r="O101" s="14">
        <f>N101*VLOOKUP('Données projet'!$B$9,Paramètres!$A$1:$I$89,3,0)*VLOOKUP('Données projet'!$B$9,Paramètres!$A$1:$I$89,5,0)</f>
        <v>-7.4487616075202836E-14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98.272553716009838</v>
      </c>
      <c r="T101" s="62">
        <f t="shared" si="88"/>
        <v>68.315893120570763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58.806050431288156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58.806050431288156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-5.3205440053716299E-14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85.701306948362742</v>
      </c>
      <c r="AO101" s="62">
        <f t="shared" si="90"/>
        <v>118.59281525447091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77.952894324138953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2.351475385587241E-2</v>
      </c>
      <c r="AX101" s="23">
        <f t="shared" si="60"/>
        <v>77.97640907799483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71.420552731458145</v>
      </c>
      <c r="BJ101" s="62">
        <f t="shared" si="92"/>
        <v>436.74855282454985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24.10685571851813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7.3085887696735872E-11</v>
      </c>
      <c r="BS101" s="24">
        <f t="shared" si="63"/>
        <v>24.106855718591216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145.14303899407867</v>
      </c>
      <c r="CE101" s="62">
        <f t="shared" si="94"/>
        <v>137.55906339137317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64.876204196759289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1.0247787853778958E-4</v>
      </c>
      <c r="CN101" s="24">
        <f t="shared" si="66"/>
        <v>64.876306674637831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-8.5265128291212022E-14</v>
      </c>
      <c r="O102" s="14">
        <f>N102*VLOOKUP('Données projet'!$B$9,Paramètres!$A$1:$I$89,3,0)*VLOOKUP('Données projet'!$B$9,Paramètres!$A$1:$I$89,5,0)</f>
        <v>-7.4487616075202836E-14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98.272553716009838</v>
      </c>
      <c r="T102" s="62">
        <f t="shared" si="88"/>
        <v>68.315893120570763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57.652899650479675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57.652899650479675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-5.3205440053716299E-14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85.701306948362742</v>
      </c>
      <c r="AO102" s="62">
        <f t="shared" si="90"/>
        <v>118.59281525447091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76.424285613013296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1.6627441909419897E-2</v>
      </c>
      <c r="AX102" s="23">
        <f t="shared" si="60"/>
        <v>76.440913054922717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71.420552731458145</v>
      </c>
      <c r="BJ102" s="62">
        <f t="shared" si="92"/>
        <v>436.74855282454985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23.634134981608106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5.1679526799400398E-11</v>
      </c>
      <c r="BS102" s="24">
        <f t="shared" si="63"/>
        <v>23.634134981659784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145.14303899407867</v>
      </c>
      <c r="CE102" s="62">
        <f t="shared" si="94"/>
        <v>137.55906339137317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63.604021403038132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7.2462802835682373E-5</v>
      </c>
      <c r="CN102" s="24">
        <f t="shared" si="66"/>
        <v>63.604093865840966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-8.5265128291212022E-14</v>
      </c>
      <c r="O103" s="14">
        <f>N103*VLOOKUP('Données projet'!$B$9,Paramètres!$A$1:$I$89,3,0)*VLOOKUP('Données projet'!$B$9,Paramètres!$A$1:$I$89,5,0)</f>
        <v>-7.4487616075202836E-14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98.272553716009838</v>
      </c>
      <c r="T103" s="62">
        <f t="shared" si="88"/>
        <v>68.315893120570763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56.522361453130323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56.522361453130323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-5.3205440053716299E-14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85.701306948362742</v>
      </c>
      <c r="AO103" s="62">
        <f t="shared" si="90"/>
        <v>118.59281525447091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74.925651986353557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1.1757376927936205E-2</v>
      </c>
      <c r="AX103" s="23">
        <f t="shared" si="60"/>
        <v>74.937409363281489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71.420552731458145</v>
      </c>
      <c r="BJ103" s="62">
        <f t="shared" si="92"/>
        <v>436.74855282454985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23.170684010017709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3.6542943848367936E-11</v>
      </c>
      <c r="BS103" s="24">
        <f t="shared" si="63"/>
        <v>23.170684010054252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145.14303899407867</v>
      </c>
      <c r="CE103" s="62">
        <f t="shared" si="94"/>
        <v>137.55906339137317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62.35678533794696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5.1238939268894792E-5</v>
      </c>
      <c r="CN103" s="24">
        <f t="shared" si="66"/>
        <v>62.356836576886231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-8.5265128291212022E-14</v>
      </c>
      <c r="O104" s="14">
        <f>N104*VLOOKUP('Données projet'!$B$9,Paramètres!$A$1:$I$89,3,0)*VLOOKUP('Données projet'!$B$9,Paramètres!$A$1:$I$89,5,0)</f>
        <v>-7.4487616075202836E-14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98.272553716009838</v>
      </c>
      <c r="T104" s="62">
        <f t="shared" si="88"/>
        <v>68.315893120570763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55.413992420270773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55.413992420270773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85.701306948362742</v>
      </c>
      <c r="AO104" s="62">
        <f t="shared" si="90"/>
        <v>118.59281525447091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73.456405651036363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8.3137209547099484E-3</v>
      </c>
      <c r="AX104" s="23">
        <f t="shared" si="60"/>
        <v>73.464719371991066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71.420552731458145</v>
      </c>
      <c r="BJ104" s="62">
        <f t="shared" si="92"/>
        <v>436.74855282454985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22.716321029303018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2.5839763399700199E-11</v>
      </c>
      <c r="BS104" s="24">
        <f t="shared" si="63"/>
        <v>22.716321029328856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145.14303899407867</v>
      </c>
      <c r="CE104" s="62">
        <f t="shared" si="94"/>
        <v>137.55906339137317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61.134006811353345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3.6231401417841186E-5</v>
      </c>
      <c r="CN104" s="24">
        <f t="shared" si="66"/>
        <v>61.134043042754762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-8.5265128291212022E-14</v>
      </c>
      <c r="O105" s="14">
        <f>N105*VLOOKUP('Données projet'!$B$9,Paramètres!$A$1:$I$89,3,0)*VLOOKUP('Données projet'!$B$9,Paramètres!$A$1:$I$89,5,0)</f>
        <v>-7.4487616075202836E-14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98.272553716009838</v>
      </c>
      <c r="T105" s="62">
        <f t="shared" si="88"/>
        <v>68.315893120570763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54.327357828107246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54.327357828107246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85.701306948362742</v>
      </c>
      <c r="AO105" s="62">
        <f t="shared" si="90"/>
        <v>118.59281525447091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72.015970340202955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5.8786884639681026E-3</v>
      </c>
      <c r="AX105" s="23">
        <f t="shared" si="60"/>
        <v>72.021849028666921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71.420552731458145</v>
      </c>
      <c r="BJ105" s="62">
        <f t="shared" si="92"/>
        <v>436.74855282454985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22.270867829506088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1.8271471924183968E-11</v>
      </c>
      <c r="BS105" s="24">
        <f t="shared" si="63"/>
        <v>22.270867829524359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145.14303899407867</v>
      </c>
      <c r="CE105" s="62">
        <f t="shared" si="94"/>
        <v>137.55906339137317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59.935206225844972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2.5619469634447396E-5</v>
      </c>
      <c r="CN105" s="24">
        <f t="shared" si="66"/>
        <v>59.935231845314604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-8.5265128291212022E-14</v>
      </c>
      <c r="O106" s="14">
        <f>N106*VLOOKUP('Données projet'!$B$9,Paramètres!$A$1:$I$89,3,0)*VLOOKUP('Données projet'!$B$9,Paramètres!$A$1:$I$89,5,0)</f>
        <v>-7.4487616075202836E-14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98.272553716009838</v>
      </c>
      <c r="T106" s="62">
        <f t="shared" si="88"/>
        <v>68.315893120570763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53.262031477514391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53.262031477514391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85.701306948362742</v>
      </c>
      <c r="AO106" s="62">
        <f t="shared" si="90"/>
        <v>118.59281525447091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70.603781087236214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4.1568604773549742E-3</v>
      </c>
      <c r="AX106" s="23">
        <f t="shared" si="60"/>
        <v>70.607937947713566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71.420552731458145</v>
      </c>
      <c r="BJ106" s="62">
        <f t="shared" si="92"/>
        <v>436.74855282454985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21.834149695257551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1.29198816998501E-11</v>
      </c>
      <c r="BS106" s="24">
        <f t="shared" si="63"/>
        <v>21.834149695270472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145.14303899407867</v>
      </c>
      <c r="CE106" s="62">
        <f t="shared" si="94"/>
        <v>137.55906339137317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58.759913388622259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1.8115700708920593E-5</v>
      </c>
      <c r="CN106" s="24">
        <f t="shared" si="66"/>
        <v>58.759931504322971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-8.5265128291212022E-14</v>
      </c>
      <c r="O107" s="14">
        <f>N107*VLOOKUP('Données projet'!$B$9,Paramètres!$A$1:$I$89,3,0)*VLOOKUP('Données projet'!$B$9,Paramètres!$A$1:$I$89,5,0)</f>
        <v>-7.4487616075202836E-14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98.272553716009838</v>
      </c>
      <c r="T107" s="62">
        <f t="shared" si="88"/>
        <v>68.315893120570763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52.217595526871747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52.217595526871747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85.701306948362742</v>
      </c>
      <c r="AO107" s="62">
        <f t="shared" si="90"/>
        <v>118.59281525447091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69.219284004169751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2.9393442319840513E-3</v>
      </c>
      <c r="AX107" s="23">
        <f t="shared" si="60"/>
        <v>69.222223348401741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71.420552731458145</v>
      </c>
      <c r="BJ107" s="62">
        <f t="shared" si="92"/>
        <v>436.74855282454985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21.40599533724987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9.135735962091984E-12</v>
      </c>
      <c r="BS107" s="24">
        <f t="shared" si="63"/>
        <v>21.405995337259004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145.14303899407867</v>
      </c>
      <c r="CE107" s="62">
        <f t="shared" si="94"/>
        <v>137.55906339137317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57.607667327079639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1.2809734817223698E-5</v>
      </c>
      <c r="CN107" s="24">
        <f t="shared" si="66"/>
        <v>57.607680136814459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-8.5265128291212022E-14</v>
      </c>
      <c r="O108" s="14">
        <f>N108*VLOOKUP('Données projet'!$B$9,Paramètres!$A$1:$I$89,3,0)*VLOOKUP('Données projet'!$B$9,Paramètres!$A$1:$I$89,5,0)</f>
        <v>-7.4487616075202836E-14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98.272553716009838</v>
      </c>
      <c r="T108" s="62">
        <f t="shared" si="88"/>
        <v>68.315893120570763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51.193640328178176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51.193640328178176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85.701306948362742</v>
      </c>
      <c r="AO108" s="62">
        <f t="shared" si="90"/>
        <v>118.59281525447091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67.861936064442389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2.0784302386774871E-3</v>
      </c>
      <c r="AX108" s="23">
        <f t="shared" si="60"/>
        <v>67.864014494681072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71.420552731458145</v>
      </c>
      <c r="BJ108" s="62">
        <f t="shared" si="92"/>
        <v>436.74855282454985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20.986236825054345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6.4599408499250498E-12</v>
      </c>
      <c r="BS108" s="24">
        <f t="shared" si="63"/>
        <v>20.986236825060804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145.14303899407867</v>
      </c>
      <c r="CE108" s="62">
        <f t="shared" si="94"/>
        <v>137.55906339137317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56.478016108003168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9.0578503544602966E-6</v>
      </c>
      <c r="CN108" s="24">
        <f t="shared" si="66"/>
        <v>56.478025165853524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-8.5265128291212022E-14</v>
      </c>
      <c r="O109" s="14">
        <f>N109*VLOOKUP('Données projet'!$B$9,Paramètres!$A$1:$I$89,3,0)*VLOOKUP('Données projet'!$B$9,Paramètres!$A$1:$I$89,5,0)</f>
        <v>-7.4487616075202836E-14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98.272553716009838</v>
      </c>
      <c r="T109" s="62">
        <f t="shared" si="88"/>
        <v>68.315893120570763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50.189764266379989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50.189764266379989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85.701306948362742</v>
      </c>
      <c r="AO109" s="62">
        <f t="shared" si="90"/>
        <v>118.59281525447091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66.531204889912587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1.4696721159920257E-3</v>
      </c>
      <c r="AX109" s="23">
        <f t="shared" si="60"/>
        <v>66.532674562028575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71.420552731458145</v>
      </c>
      <c r="BJ109" s="62">
        <f t="shared" si="92"/>
        <v>436.74855282454985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20.574709521255564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4.567867981045992E-12</v>
      </c>
      <c r="BS109" s="24">
        <f t="shared" si="63"/>
        <v>20.574709521260132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145.14303899407867</v>
      </c>
      <c r="CE109" s="62">
        <f t="shared" si="94"/>
        <v>137.55906339137317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55.370516660313577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6.404867408611849E-6</v>
      </c>
      <c r="CN109" s="24">
        <f t="shared" si="66"/>
        <v>55.370523065180983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-8.5265128291212022E-14</v>
      </c>
      <c r="O110" s="14">
        <f>N110*VLOOKUP('Données projet'!$B$9,Paramètres!$A$1:$I$89,3,0)*VLOOKUP('Données projet'!$B$9,Paramètres!$A$1:$I$89,5,0)</f>
        <v>-7.4487616075202836E-14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98.272553716009838</v>
      </c>
      <c r="T110" s="62">
        <f t="shared" si="88"/>
        <v>68.315893120570763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49.205573601849721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49.205573601849721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85.701306948362742</v>
      </c>
      <c r="AO110" s="62">
        <f t="shared" si="90"/>
        <v>118.59281525447091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65.226568542049435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1.0392151193387435E-3</v>
      </c>
      <c r="AX110" s="23">
        <f t="shared" si="60"/>
        <v>65.227607757168769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71.420552731458145</v>
      </c>
      <c r="BJ110" s="62">
        <f t="shared" si="92"/>
        <v>436.74855282454985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20.171252016877407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3.2299704249625249E-12</v>
      </c>
      <c r="BS110" s="24">
        <f t="shared" si="63"/>
        <v>20.171252016880636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145.14303899407867</v>
      </c>
      <c r="CE110" s="62">
        <f t="shared" si="94"/>
        <v>137.55906339137317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54.284734601285216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4.5289251772301483E-6</v>
      </c>
      <c r="CN110" s="24">
        <f t="shared" si="66"/>
        <v>54.28473913021039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-8.5265128291212022E-14</v>
      </c>
      <c r="O111" s="14">
        <f>N111*VLOOKUP('Données projet'!$B$9,Paramètres!$A$1:$I$89,3,0)*VLOOKUP('Données projet'!$B$9,Paramètres!$A$1:$I$89,5,0)</f>
        <v>-7.4487616075202836E-14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98.272553716009838</v>
      </c>
      <c r="T111" s="62">
        <f t="shared" si="88"/>
        <v>68.315893120570763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48.240682315953862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48.240682315953862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85.701306948362742</v>
      </c>
      <c r="AO111" s="62">
        <f t="shared" si="90"/>
        <v>118.59281525447091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63.947515317218283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7.3483605799601283E-4</v>
      </c>
      <c r="AX111" s="23">
        <f t="shared" si="60"/>
        <v>63.948250153276277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71.420552731458145</v>
      </c>
      <c r="BJ111" s="62">
        <f t="shared" si="92"/>
        <v>436.74855282454985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19.775706068075326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2.283933990522996E-12</v>
      </c>
      <c r="BS111" s="24">
        <f t="shared" si="63"/>
        <v>19.775706068077611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145.14303899407867</v>
      </c>
      <c r="CE111" s="62">
        <f t="shared" si="94"/>
        <v>137.55906339137317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53.220244066172739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3.2024337043059245E-6</v>
      </c>
      <c r="CN111" s="24">
        <f t="shared" si="66"/>
        <v>53.220247268606443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-8.5265128291212022E-14</v>
      </c>
      <c r="O112" s="14">
        <f>N112*VLOOKUP('Données projet'!$B$9,Paramètres!$A$1:$I$89,3,0)*VLOOKUP('Données projet'!$B$9,Paramètres!$A$1:$I$89,5,0)</f>
        <v>-7.4487616075202836E-14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98.272553716009838</v>
      </c>
      <c r="T112" s="62">
        <f t="shared" si="88"/>
        <v>68.315893120570763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47.294711959648851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47.294711959648851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85.701306948362742</v>
      </c>
      <c r="AO112" s="62">
        <f t="shared" si="90"/>
        <v>118.59281525447091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62.693543545980638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5.1960755966937177E-4</v>
      </c>
      <c r="AX112" s="23">
        <f t="shared" si="60"/>
        <v>62.694063153540306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71.420552731458145</v>
      </c>
      <c r="BJ112" s="62">
        <f t="shared" si="92"/>
        <v>436.74855282454985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19.387916534070047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1.6149852124812625E-12</v>
      </c>
      <c r="BS112" s="24">
        <f t="shared" si="63"/>
        <v>19.387916534071664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145.14303899407867</v>
      </c>
      <c r="CE112" s="62">
        <f t="shared" si="94"/>
        <v>137.55906339137317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52.176627541178703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2.2644625886150741E-6</v>
      </c>
      <c r="CN112" s="24">
        <f t="shared" si="66"/>
        <v>52.176629805641291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-8.5265128291212022E-14</v>
      </c>
      <c r="O113" s="14">
        <f>N113*VLOOKUP('Données projet'!$B$9,Paramètres!$A$1:$I$89,3,0)*VLOOKUP('Données projet'!$B$9,Paramètres!$A$1:$I$89,5,0)</f>
        <v>-7.4487616075202836E-14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98.272553716009838</v>
      </c>
      <c r="T113" s="62">
        <f t="shared" si="88"/>
        <v>68.315893120570763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46.367291505046033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46.367291505046033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85.701306948362742</v>
      </c>
      <c r="AO113" s="62">
        <f t="shared" si="90"/>
        <v>118.59281525447091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61.464161396329708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3.6741802899800641E-4</v>
      </c>
      <c r="AX113" s="23">
        <f t="shared" si="60"/>
        <v>61.464528814358708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71.420552731458145</v>
      </c>
      <c r="BJ113" s="62">
        <f t="shared" si="92"/>
        <v>436.74855282454985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19.007731316298351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1.141966995261498E-12</v>
      </c>
      <c r="BS113" s="24">
        <f t="shared" si="63"/>
        <v>19.007731316299491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145.14303899407867</v>
      </c>
      <c r="CE113" s="62">
        <f t="shared" si="94"/>
        <v>137.55906339137317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51.153475699696571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1.6012168521529622E-6</v>
      </c>
      <c r="CN113" s="24">
        <f t="shared" si="66"/>
        <v>51.153477300913423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-8.5265128291212022E-14</v>
      </c>
      <c r="O114" s="14">
        <f>N114*VLOOKUP('Données projet'!$B$9,Paramètres!$A$1:$I$89,3,0)*VLOOKUP('Données projet'!$B$9,Paramètres!$A$1:$I$89,5,0)</f>
        <v>-7.4487616075202836E-14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98.272553716009838</v>
      </c>
      <c r="T114" s="62">
        <f t="shared" si="88"/>
        <v>68.315893120570763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45.458057199887357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45.458057199887357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85.701306948362742</v>
      </c>
      <c r="AO114" s="62">
        <f t="shared" si="90"/>
        <v>118.59281525447091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60.258886680784357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2.5980377983468589E-4</v>
      </c>
      <c r="AX114" s="23">
        <f t="shared" si="60"/>
        <v>60.259146484564191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71.420552731458145</v>
      </c>
      <c r="BJ114" s="62">
        <f t="shared" si="92"/>
        <v>436.74855282454985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18.635001298757071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8.0749260624063123E-13</v>
      </c>
      <c r="BS114" s="24">
        <f t="shared" si="63"/>
        <v>18.635001298757878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145.14303899407867</v>
      </c>
      <c r="CE114" s="62">
        <f t="shared" si="94"/>
        <v>137.55906339137317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50.150387241764903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1.1322312943075371E-6</v>
      </c>
      <c r="CN114" s="24">
        <f t="shared" si="66"/>
        <v>50.150388373996201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-8.5265128291212022E-14</v>
      </c>
      <c r="O115" s="14">
        <f>N115*VLOOKUP('Données projet'!$B$9,Paramètres!$A$1:$I$89,3,0)*VLOOKUP('Données projet'!$B$9,Paramètres!$A$1:$I$89,5,0)</f>
        <v>-7.4487616075202836E-14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98.272553716009838</v>
      </c>
      <c r="T115" s="62">
        <f t="shared" si="88"/>
        <v>68.315893120570763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44.566652424874675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44.566652424874675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85.701306948362742</v>
      </c>
      <c r="AO115" s="62">
        <f t="shared" si="90"/>
        <v>118.59281525447091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59.077246667265868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1.8370901449900321E-4</v>
      </c>
      <c r="AX115" s="23">
        <f t="shared" si="60"/>
        <v>59.077430376280368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71.420552731458145</v>
      </c>
      <c r="BJ115" s="62">
        <f t="shared" si="92"/>
        <v>436.74855282454985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18.269580289516917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5.70983497630749E-13</v>
      </c>
      <c r="BS115" s="24">
        <f t="shared" si="63"/>
        <v>18.269580289517489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145.14303899407867</v>
      </c>
      <c r="CE115" s="62">
        <f t="shared" si="94"/>
        <v>137.55906339137317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49.166968736669723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8.0060842607648112E-7</v>
      </c>
      <c r="CN115" s="24">
        <f t="shared" si="66"/>
        <v>49.166969537278149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-8.5265128291212022E-14</v>
      </c>
      <c r="O116" s="14">
        <f>N116*VLOOKUP('Données projet'!$B$9,Paramètres!$A$1:$I$89,3,0)*VLOOKUP('Données projet'!$B$9,Paramètres!$A$1:$I$89,5,0)</f>
        <v>-7.4487616075202836E-14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98.272553716009838</v>
      </c>
      <c r="T116" s="62">
        <f t="shared" si="88"/>
        <v>68.315893120570763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43.692727553796765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43.692727553796765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85.701306948362742</v>
      </c>
      <c r="AO116" s="62">
        <f t="shared" si="90"/>
        <v>118.59281525447091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57.918777893683234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1.2990188991734294E-4</v>
      </c>
      <c r="AX116" s="23">
        <f t="shared" si="60"/>
        <v>57.918907795573155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71.420552731458145</v>
      </c>
      <c r="BJ116" s="62">
        <f t="shared" si="92"/>
        <v>436.74855282454985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17.911324963383151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4.0374630312031561E-13</v>
      </c>
      <c r="BS116" s="24">
        <f t="shared" si="63"/>
        <v>17.911324963383557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145.14303899407867</v>
      </c>
      <c r="CE116" s="62">
        <f t="shared" si="94"/>
        <v>137.55906339137317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48.202834468633405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5.6611564715376854E-7</v>
      </c>
      <c r="CN116" s="24">
        <f t="shared" si="66"/>
        <v>48.20283503474905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-8.5265128291212022E-14</v>
      </c>
      <c r="O117" s="14">
        <f>N117*VLOOKUP('Données projet'!$B$9,Paramètres!$A$1:$I$89,3,0)*VLOOKUP('Données projet'!$B$9,Paramètres!$A$1:$I$89,5,0)</f>
        <v>-7.4487616075202836E-14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98.272553716009838</v>
      </c>
      <c r="T117" s="62">
        <f t="shared" si="88"/>
        <v>68.315893120570763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42.835939816399154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42.835939816399154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85.701306948362742</v>
      </c>
      <c r="AO117" s="62">
        <f t="shared" si="90"/>
        <v>118.59281525447091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56.783025986154371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9.1854507249501603E-5</v>
      </c>
      <c r="AX117" s="23">
        <f t="shared" si="60"/>
        <v>56.783117840661617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71.420552731458145</v>
      </c>
      <c r="BJ117" s="62">
        <f t="shared" si="92"/>
        <v>436.74855282454985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17.560094805680698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2.854917488153745E-13</v>
      </c>
      <c r="BS117" s="24">
        <f t="shared" si="63"/>
        <v>17.560094805680983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145.14303899407867</v>
      </c>
      <c r="CE117" s="62">
        <f t="shared" si="94"/>
        <v>137.55906339137317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47.257606285529441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4.0030421303824056E-7</v>
      </c>
      <c r="CN117" s="24">
        <f t="shared" si="66"/>
        <v>47.257606685833657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-8.5265128291212022E-14</v>
      </c>
      <c r="O118" s="14">
        <f>N118*VLOOKUP('Données projet'!$B$9,Paramètres!$A$1:$I$89,3,0)*VLOOKUP('Données projet'!$B$9,Paramètres!$A$1:$I$89,5,0)</f>
        <v>-7.4487616075202836E-14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98.272553716009838</v>
      </c>
      <c r="T118" s="62">
        <f t="shared" si="88"/>
        <v>68.315893120570763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41.995953163942993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41.995953163942993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85.701306948362742</v>
      </c>
      <c r="AO118" s="62">
        <f t="shared" si="90"/>
        <v>118.59281525447091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55.669545480791889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6.4950944958671472E-5</v>
      </c>
      <c r="AX118" s="23">
        <f t="shared" si="60"/>
        <v>55.669610431736849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71.420552731458145</v>
      </c>
      <c r="BJ118" s="62">
        <f t="shared" si="92"/>
        <v>436.74855282454985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17.215752057141547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2.0187315156015781E-13</v>
      </c>
      <c r="BS118" s="24">
        <f t="shared" si="63"/>
        <v>17.215752057141749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145.14303899407867</v>
      </c>
      <c r="CE118" s="62">
        <f t="shared" si="94"/>
        <v>137.55906339137317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46.330913450563877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2.8305782357688427E-7</v>
      </c>
      <c r="CN118" s="24">
        <f t="shared" si="66"/>
        <v>46.330913733621699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-8.5265128291212022E-14</v>
      </c>
      <c r="O119" s="14">
        <f>N119*VLOOKUP('Données projet'!$B$9,Paramètres!$A$1:$I$89,3,0)*VLOOKUP('Données projet'!$B$9,Paramètres!$A$1:$I$89,5,0)</f>
        <v>-7.4487616075202836E-14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98.272553716009838</v>
      </c>
      <c r="T119" s="62">
        <f t="shared" si="88"/>
        <v>68.315893120570763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41.172438137400228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41.172438137400228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85.701306948362742</v>
      </c>
      <c r="AO119" s="62">
        <f t="shared" si="90"/>
        <v>118.59281525447091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54.577899648983518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4.5927253624750802E-5</v>
      </c>
      <c r="AX119" s="23">
        <f t="shared" si="60"/>
        <v>54.577945576237141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71.420552731458145</v>
      </c>
      <c r="BJ119" s="62">
        <f t="shared" si="92"/>
        <v>436.74855282454985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16.878161659872912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1.4274587440768725E-13</v>
      </c>
      <c r="BS119" s="24">
        <f t="shared" si="63"/>
        <v>16.878161659873054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145.14303899407867</v>
      </c>
      <c r="CE119" s="62">
        <f t="shared" si="94"/>
        <v>137.55906339137317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45.422392496865172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2.0015210651912028E-7</v>
      </c>
      <c r="CN119" s="24">
        <f t="shared" si="66"/>
        <v>45.42239269701728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-8.5265128291212022E-14</v>
      </c>
      <c r="O120" s="14">
        <f>N120*VLOOKUP('Données projet'!$B$9,Paramètres!$A$1:$I$89,3,0)*VLOOKUP('Données projet'!$B$9,Paramètres!$A$1:$I$89,5,0)</f>
        <v>-7.4487616075202836E-14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98.272553716009838</v>
      </c>
      <c r="T120" s="62">
        <f t="shared" si="88"/>
        <v>68.315893120570763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40.365071738233397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40.365071738233397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85.701306948362742</v>
      </c>
      <c r="AO120" s="62">
        <f t="shared" si="90"/>
        <v>118.59281525447091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53.507660326098701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3.2475472479335736E-5</v>
      </c>
      <c r="AX120" s="23">
        <f t="shared" si="60"/>
        <v>53.507692801571181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71.420552731458145</v>
      </c>
      <c r="BJ120" s="62">
        <f t="shared" si="92"/>
        <v>436.74855282454985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16.547191204384905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1.009365757800789E-13</v>
      </c>
      <c r="BS120" s="24">
        <f t="shared" si="63"/>
        <v>16.547191204385005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145.14303899407867</v>
      </c>
      <c r="CE120" s="62">
        <f t="shared" si="94"/>
        <v>137.55906339137317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44.531687084925437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1.4152891178844213E-7</v>
      </c>
      <c r="CN120" s="24">
        <f t="shared" si="66"/>
        <v>44.531687226454352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-8.5265128291212022E-14</v>
      </c>
      <c r="O121" s="14">
        <f>N121*VLOOKUP('Données projet'!$B$9,Paramètres!$A$1:$I$89,3,0)*VLOOKUP('Données projet'!$B$9,Paramètres!$A$1:$I$89,5,0)</f>
        <v>-7.4487616075202836E-14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98.272553716009838</v>
      </c>
      <c r="T121" s="62">
        <f t="shared" si="88"/>
        <v>68.315893120570763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39.573537301709351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39.573537301709351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85.701306948362742</v>
      </c>
      <c r="AO121" s="62">
        <f t="shared" si="90"/>
        <v>118.59281525447091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52.458407743554126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2.2963626812375401E-5</v>
      </c>
      <c r="AX121" s="23">
        <f t="shared" si="60"/>
        <v>52.458430707180938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71.420552731458145</v>
      </c>
      <c r="BJ121" s="62">
        <f t="shared" si="92"/>
        <v>436.74855282454985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16.222710877656972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7.1372937203843625E-14</v>
      </c>
      <c r="BS121" s="24">
        <f t="shared" si="63"/>
        <v>16.222710877657043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145.14303899407867</v>
      </c>
      <c r="CE121" s="62">
        <f t="shared" si="94"/>
        <v>137.55906339137317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43.658447862837178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1.0007605325956014E-7</v>
      </c>
      <c r="CN121" s="24">
        <f t="shared" si="66"/>
        <v>43.658447962913229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-8.5265128291212022E-14</v>
      </c>
      <c r="O122" s="14">
        <f>N122*VLOOKUP('Données projet'!$B$9,Paramètres!$A$1:$I$89,3,0)*VLOOKUP('Données projet'!$B$9,Paramètres!$A$1:$I$89,5,0)</f>
        <v>-7.4487616075202836E-14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98.272553716009838</v>
      </c>
      <c r="T122" s="62">
        <f t="shared" si="88"/>
        <v>68.315893120570763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38.797524372697204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38.797524372697204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85.701306948362742</v>
      </c>
      <c r="AO122" s="62">
        <f t="shared" si="90"/>
        <v>118.59281525447091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51.429730364172364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1.6237736239667868E-5</v>
      </c>
      <c r="AX122" s="23">
        <f t="shared" si="60"/>
        <v>51.429746601908604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71.420552731458145</v>
      </c>
      <c r="BJ122" s="62">
        <f t="shared" si="92"/>
        <v>436.74855282454985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15.904593412222717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5.0468287890039452E-14</v>
      </c>
      <c r="BS122" s="24">
        <f t="shared" si="63"/>
        <v>15.904593412222766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145.14303899407867</v>
      </c>
      <c r="CE122" s="62">
        <f t="shared" si="94"/>
        <v>137.55906339137317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42.80233232927074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7.0764455894221067E-8</v>
      </c>
      <c r="CN122" s="24">
        <f t="shared" si="66"/>
        <v>42.802332400035198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-8.5265128291212022E-14</v>
      </c>
      <c r="O123" s="14">
        <f>N123*VLOOKUP('Données projet'!$B$9,Paramètres!$A$1:$I$89,3,0)*VLOOKUP('Données projet'!$B$9,Paramètres!$A$1:$I$89,5,0)</f>
        <v>-7.4487616075202836E-14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98.272553716009838</v>
      </c>
      <c r="T123" s="62">
        <f t="shared" si="88"/>
        <v>68.315893120570763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38.036728583901841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38.036728583901841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85.701306948362742</v>
      </c>
      <c r="AO123" s="62">
        <f t="shared" si="90"/>
        <v>118.59281525447091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50.421224720769033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1.14818134061877E-5</v>
      </c>
      <c r="AX123" s="23">
        <f t="shared" si="60"/>
        <v>50.421236202582442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71.420552731458145</v>
      </c>
      <c r="BJ123" s="62">
        <f t="shared" si="92"/>
        <v>436.74855282454985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15.592714036253131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3.5686468601921812E-14</v>
      </c>
      <c r="BS123" s="24">
        <f t="shared" si="63"/>
        <v>15.592714036253167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145.14303899407867</v>
      </c>
      <c r="CE123" s="62">
        <f t="shared" si="94"/>
        <v>137.55906339137317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41.963004699138622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5.003802662978007E-8</v>
      </c>
      <c r="CN123" s="24">
        <f t="shared" si="66"/>
        <v>41.963004749176648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-8.5265128291212022E-14</v>
      </c>
      <c r="O124" s="14">
        <f>N124*VLOOKUP('Données projet'!$B$9,Paramètres!$A$1:$I$89,3,0)*VLOOKUP('Données projet'!$B$9,Paramètres!$A$1:$I$89,5,0)</f>
        <v>-7.4487616075202836E-14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98.272553716009838</v>
      </c>
      <c r="T124" s="62">
        <f t="shared" si="88"/>
        <v>68.315893120570763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37.290851536485143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37.290851536485143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85.701306948362742</v>
      </c>
      <c r="AO124" s="62">
        <f t="shared" si="90"/>
        <v>118.59281525447091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49.432495257905138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8.118868119833934E-6</v>
      </c>
      <c r="AX124" s="23">
        <f t="shared" si="60"/>
        <v>49.432503376773255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71.420552731458145</v>
      </c>
      <c r="BJ124" s="62">
        <f t="shared" si="92"/>
        <v>436.74855282454985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15.286950424618674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2.5234143945019726E-14</v>
      </c>
      <c r="BS124" s="24">
        <f t="shared" si="63"/>
        <v>15.286950424618698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145.14303899407867</v>
      </c>
      <c r="CE124" s="62">
        <f t="shared" si="94"/>
        <v>137.55906339137317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41.140135771894094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3.5382227947110534E-8</v>
      </c>
      <c r="CN124" s="24">
        <f t="shared" si="66"/>
        <v>41.140135807276323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-8.5265128291212022E-14</v>
      </c>
      <c r="O125" s="14">
        <f>N125*VLOOKUP('Données projet'!$B$9,Paramètres!$A$1:$I$89,3,0)*VLOOKUP('Données projet'!$B$9,Paramètres!$A$1:$I$89,5,0)</f>
        <v>-7.4487616075202836E-14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98.272553716009838</v>
      </c>
      <c r="T125" s="62">
        <f t="shared" si="88"/>
        <v>68.315893120570763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36.559600683028208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36.559600683028208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85.701306948362742</v>
      </c>
      <c r="AO125" s="62">
        <f t="shared" si="90"/>
        <v>118.59281525447091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48.463154176742577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5.7409067030938502E-6</v>
      </c>
      <c r="AX125" s="23">
        <f t="shared" si="60"/>
        <v>48.463159917649278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71.420552731458145</v>
      </c>
      <c r="BJ125" s="62">
        <f t="shared" si="92"/>
        <v>436.74855282454985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14.987182650910981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1.7843234300960906E-14</v>
      </c>
      <c r="BS125" s="24">
        <f t="shared" si="63"/>
        <v>14.987182650910999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145.14303899407867</v>
      </c>
      <c r="CE125" s="62">
        <f t="shared" si="94"/>
        <v>137.55906339137317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40.333402802412344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2.5019013314890035E-8</v>
      </c>
      <c r="CN125" s="24">
        <f t="shared" si="66"/>
        <v>40.333402827431357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-8.5265128291212022E-14</v>
      </c>
      <c r="O126" s="14">
        <f>N126*VLOOKUP('Données projet'!$B$9,Paramètres!$A$1:$I$89,3,0)*VLOOKUP('Données projet'!$B$9,Paramètres!$A$1:$I$89,5,0)</f>
        <v>-7.4487616075202836E-14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98.272553716009838</v>
      </c>
      <c r="T126" s="62">
        <f t="shared" si="88"/>
        <v>68.315893120570763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35.842689212788585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35.842689212788585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85.701306948362742</v>
      </c>
      <c r="AO126" s="62">
        <f t="shared" si="90"/>
        <v>118.59281525447091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47.512821282941935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4.059434059916967E-6</v>
      </c>
      <c r="AX126" s="23">
        <f t="shared" si="60"/>
        <v>47.512825342375997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71.420552731458145</v>
      </c>
      <c r="BJ126" s="62">
        <f t="shared" si="92"/>
        <v>436.74855282454985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14.693293140405407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1.2617071972509863E-14</v>
      </c>
      <c r="BS126" s="24">
        <f t="shared" si="63"/>
        <v>14.693293140405419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145.14303899407867</v>
      </c>
      <c r="CE126" s="62">
        <f t="shared" si="94"/>
        <v>137.55906339137317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39.542489374403608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1.7691113973555267E-8</v>
      </c>
      <c r="CN126" s="24">
        <f t="shared" si="66"/>
        <v>39.542489392094723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-8.5265128291212022E-14</v>
      </c>
      <c r="O127" s="14">
        <f>N127*VLOOKUP('Données projet'!$B$9,Paramètres!$A$1:$I$89,3,0)*VLOOKUP('Données projet'!$B$9,Paramètres!$A$1:$I$89,5,0)</f>
        <v>-7.4487616075202836E-14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98.272553716009838</v>
      </c>
      <c r="T127" s="62">
        <f t="shared" si="88"/>
        <v>68.315893120570763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35.139835939207536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35.139835939207536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85.701306948362742</v>
      </c>
      <c r="AO127" s="62">
        <f t="shared" si="90"/>
        <v>118.59281525447091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46.58112383754289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2.8704533515469251E-6</v>
      </c>
      <c r="AX127" s="23">
        <f t="shared" si="60"/>
        <v>46.581126707996241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71.420552731458145</v>
      </c>
      <c r="BJ127" s="62">
        <f t="shared" si="92"/>
        <v>436.74855282454985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14.405166623945947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8.9216171504804531E-15</v>
      </c>
      <c r="BS127" s="24">
        <f t="shared" si="63"/>
        <v>14.405166623945956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145.14303899407867</v>
      </c>
      <c r="CE127" s="62">
        <f t="shared" si="94"/>
        <v>137.55906339137317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38.767085276308563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1.2509506657445018E-8</v>
      </c>
      <c r="CN127" s="24">
        <f t="shared" si="66"/>
        <v>38.767085288818073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-8.5265128291212022E-14</v>
      </c>
      <c r="O128" s="14">
        <f>N128*VLOOKUP('Données projet'!$B$9,Paramètres!$A$1:$I$89,3,0)*VLOOKUP('Données projet'!$B$9,Paramètres!$A$1:$I$89,5,0)</f>
        <v>-7.4487616075202836E-14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98.272553716009838</v>
      </c>
      <c r="T128" s="62">
        <f t="shared" si="88"/>
        <v>68.315893120570763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34.450765189623247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34.450765189623247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85.701306948362742</v>
      </c>
      <c r="AO128" s="62">
        <f t="shared" si="90"/>
        <v>118.59281525447091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45.667696410768798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2.0297170299584835E-6</v>
      </c>
      <c r="AX128" s="23">
        <f t="shared" si="60"/>
        <v>45.667698440485829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71.420552731458145</v>
      </c>
      <c r="BJ128" s="62">
        <f t="shared" si="92"/>
        <v>436.74855282454985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14.122690092734434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6.3085359862549315E-15</v>
      </c>
      <c r="BS128" s="24">
        <f t="shared" si="63"/>
        <v>14.122690092734441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145.14303899407867</v>
      </c>
      <c r="CE128" s="62">
        <f t="shared" si="94"/>
        <v>137.55906339137317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38.00688637962736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8.8455569867776334E-9</v>
      </c>
      <c r="CN128" s="24">
        <f t="shared" si="66"/>
        <v>38.006886388472914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-8.5265128291212022E-14</v>
      </c>
      <c r="O129" s="14">
        <f>N129*VLOOKUP('Données projet'!$B$9,Paramètres!$A$1:$I$89,3,0)*VLOOKUP('Données projet'!$B$9,Paramètres!$A$1:$I$89,5,0)</f>
        <v>-7.4487616075202836E-14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98.272553716009838</v>
      </c>
      <c r="T129" s="62">
        <f t="shared" si="88"/>
        <v>68.315893120570763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33.77520669714665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33.77520669714665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85.701306948362742</v>
      </c>
      <c r="AO129" s="62">
        <f t="shared" si="90"/>
        <v>118.59281525447091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44.772180738698026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1.4352266757734626E-6</v>
      </c>
      <c r="AX129" s="23">
        <f t="shared" si="60"/>
        <v>44.772182173924705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71.420552731458145</v>
      </c>
      <c r="BJ129" s="62">
        <f t="shared" si="92"/>
        <v>436.74855282454985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13.845752754006307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4.4608085752402265E-15</v>
      </c>
      <c r="BS129" s="24">
        <f t="shared" si="63"/>
        <v>13.845752754006313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145.14303899407867</v>
      </c>
      <c r="CE129" s="62">
        <f t="shared" si="94"/>
        <v>137.55906339137317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37.261594519634535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6.2547533287225088E-9</v>
      </c>
      <c r="CN129" s="24">
        <f t="shared" si="66"/>
        <v>37.261594525889286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-8.5265128291212022E-14</v>
      </c>
      <c r="O130" s="14">
        <f>N130*VLOOKUP('Données projet'!$B$9,Paramètres!$A$1:$I$89,3,0)*VLOOKUP('Données projet'!$B$9,Paramètres!$A$1:$I$89,5,0)</f>
        <v>-7.4487616075202836E-14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98.272553716009838</v>
      </c>
      <c r="T130" s="62">
        <f t="shared" si="88"/>
        <v>68.315893120570763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33.112895494657529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33.112895494657529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85.701306948362742</v>
      </c>
      <c r="AO130" s="62">
        <f t="shared" si="90"/>
        <v>118.59281525447091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43.894225582745932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1.0148585149792417E-6</v>
      </c>
      <c r="AX130" s="23">
        <f t="shared" si="60"/>
        <v>43.894226597604444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71.420552731458145</v>
      </c>
      <c r="BJ130" s="62">
        <f t="shared" si="92"/>
        <v>436.74855282454985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13.574245987575541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3.1542679931274657E-15</v>
      </c>
      <c r="BS130" s="24">
        <f t="shared" si="63"/>
        <v>13.574245987575544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145.14303899407867</v>
      </c>
      <c r="CE130" s="62">
        <f t="shared" si="94"/>
        <v>137.55906339137317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36.530917378433024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4.4227784933888167E-9</v>
      </c>
      <c r="CN130" s="24">
        <f t="shared" si="66"/>
        <v>36.530917382855804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-8.5265128291212022E-14</v>
      </c>
      <c r="O131" s="14">
        <f>N131*VLOOKUP('Données projet'!$B$9,Paramètres!$A$1:$I$89,3,0)*VLOOKUP('Données projet'!$B$9,Paramètres!$A$1:$I$89,5,0)</f>
        <v>-7.4487616075202836E-14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98.272553716009838</v>
      </c>
      <c r="T131" s="62">
        <f t="shared" si="88"/>
        <v>68.315893120570763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32.463571810879273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32.463571810879273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85.701306948362742</v>
      </c>
      <c r="AO131" s="62">
        <f t="shared" si="90"/>
        <v>118.59281525447091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43.033486591902289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7.1761333788673128E-7</v>
      </c>
      <c r="AX131" s="23">
        <f t="shared" si="60"/>
        <v>43.033487309515628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71.420552731458145</v>
      </c>
      <c r="BJ131" s="62">
        <f t="shared" si="92"/>
        <v>436.74855282454985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13.308063303231707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2.2304042876201133E-15</v>
      </c>
      <c r="BS131" s="24">
        <f t="shared" si="63"/>
        <v>13.308063303231709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145.14303899407867</v>
      </c>
      <c r="CE131" s="62">
        <f t="shared" si="94"/>
        <v>137.55906339137317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35.814568370301423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3.1273766643612544E-9</v>
      </c>
      <c r="CN131" s="24">
        <f t="shared" si="66"/>
        <v>35.814568373428799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-8.5265128291212022E-14</v>
      </c>
      <c r="O132" s="14">
        <f>N132*VLOOKUP('Données projet'!$B$9,Paramètres!$A$1:$I$89,3,0)*VLOOKUP('Données projet'!$B$9,Paramètres!$A$1:$I$89,5,0)</f>
        <v>-7.4487616075202836E-14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98.272553716009838</v>
      </c>
      <c r="T132" s="62">
        <f t="shared" si="88"/>
        <v>68.315893120570763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31.826980968491565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31.826980968491565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85.701306948362742</v>
      </c>
      <c r="AO132" s="62">
        <f t="shared" si="90"/>
        <v>118.59281525447091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42.189626167670149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5.0742925748962087E-7</v>
      </c>
      <c r="AX132" s="23">
        <f t="shared" ref="AX132:AX153" si="114">SUM(AU132:AW132)</f>
        <v>42.189626675099404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71.420552731458145</v>
      </c>
      <c r="BJ132" s="62">
        <f t="shared" si="92"/>
        <v>436.74855282454985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13.047100298972449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1.5771339965637329E-15</v>
      </c>
      <c r="BS132" s="24">
        <f t="shared" ref="BS132:BS153" si="117">SUM(BP132:BR132)</f>
        <v>13.047100298972451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145.14303899407867</v>
      </c>
      <c r="CE132" s="62">
        <f t="shared" si="94"/>
        <v>137.55906339137317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35.112266529289528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2.2113892466944083E-9</v>
      </c>
      <c r="CN132" s="24">
        <f t="shared" ref="CN132:CN153" si="120">SUM(CK132:CM132)</f>
        <v>35.112266531500914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-8.5265128291212022E-14</v>
      </c>
      <c r="O133" s="14">
        <f>N133*VLOOKUP('Données projet'!$B$9,Paramètres!$A$1:$I$89,3,0)*VLOOKUP('Données projet'!$B$9,Paramètres!$A$1:$I$89,5,0)</f>
        <v>-7.4487616075202836E-14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98.272553716009838</v>
      </c>
      <c r="T133" s="62">
        <f t="shared" ref="T133:T196" si="142">$T$3</f>
        <v>68.315893120570763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31.202873284241008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31.202873284241008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85.701306948362742</v>
      </c>
      <c r="AO133" s="62">
        <f t="shared" ref="AO133:AO196" si="144">$AO$3</f>
        <v>118.59281525447091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41.362313331653162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3.5880666894336564E-7</v>
      </c>
      <c r="AX133" s="23">
        <f t="shared" si="114"/>
        <v>41.362313690459828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71.420552731458145</v>
      </c>
      <c r="BJ133" s="62">
        <f t="shared" ref="BJ133:BJ196" si="146">$BJ$3</f>
        <v>436.74855282454985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12.791254620055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1.1152021438100566E-15</v>
      </c>
      <c r="BS133" s="24">
        <f t="shared" si="117"/>
        <v>12.791254620055001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145.14303899407867</v>
      </c>
      <c r="CE133" s="62">
        <f t="shared" ref="CE133:CE196" si="148">$CE$3</f>
        <v>137.55906339137317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34.423736399018054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1.5636883321806272E-9</v>
      </c>
      <c r="CN133" s="24">
        <f t="shared" si="120"/>
        <v>34.423736400581745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-8.5265128291212022E-14</v>
      </c>
      <c r="O134" s="14">
        <f>N134*VLOOKUP('Données projet'!$B$9,Paramètres!$A$1:$I$89,3,0)*VLOOKUP('Données projet'!$B$9,Paramètres!$A$1:$I$89,5,0)</f>
        <v>-7.4487616075202836E-14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98.272553716009838</v>
      </c>
      <c r="T134" s="62">
        <f t="shared" si="142"/>
        <v>68.315893120570763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30.591003971010505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30.591003971010505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85.701306948362742</v>
      </c>
      <c r="AO134" s="62">
        <f t="shared" si="144"/>
        <v>118.59281525447091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40.551223595739465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2.5371462874481044E-7</v>
      </c>
      <c r="AX134" s="23">
        <f t="shared" si="114"/>
        <v>40.551223849454097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71.420552731458145</v>
      </c>
      <c r="BJ134" s="62">
        <f t="shared" si="146"/>
        <v>436.74855282454985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12.540425918850666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7.8856699828186643E-16</v>
      </c>
      <c r="BS134" s="24">
        <f t="shared" si="117"/>
        <v>12.540425918850666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145.14303899407867</v>
      </c>
      <c r="CE134" s="62">
        <f t="shared" si="148"/>
        <v>137.55906339137317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33.748707924639291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1.1056946233472042E-9</v>
      </c>
      <c r="CN134" s="24">
        <f t="shared" si="120"/>
        <v>33.748707925744988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-8.5265128291212022E-14</v>
      </c>
      <c r="O135" s="14">
        <f>N135*VLOOKUP('Données projet'!$B$9,Paramètres!$A$1:$I$89,3,0)*VLOOKUP('Données projet'!$B$9,Paramètres!$A$1:$I$89,5,0)</f>
        <v>-7.4487616075202836E-14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98.272553716009838</v>
      </c>
      <c r="T135" s="62">
        <f t="shared" si="142"/>
        <v>68.315893120570763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29.991133041809022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29.991133041809022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85.701306948362742</v>
      </c>
      <c r="AO135" s="62">
        <f t="shared" si="144"/>
        <v>118.59281525447091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39.756038834831145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1.7940333447168282E-7</v>
      </c>
      <c r="AX135" s="23">
        <f t="shared" si="114"/>
        <v>39.756039014234481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71.420552731458145</v>
      </c>
      <c r="BJ135" s="62">
        <f t="shared" si="146"/>
        <v>436.74855282454985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12.294515815486548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5.5760107190502832E-16</v>
      </c>
      <c r="BS135" s="24">
        <f t="shared" si="117"/>
        <v>12.294515815486548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145.14303899407867</v>
      </c>
      <c r="CE135" s="62">
        <f t="shared" si="148"/>
        <v>137.55906339137317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33.086916346916382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7.8184416609031359E-10</v>
      </c>
      <c r="CN135" s="24">
        <f t="shared" si="120"/>
        <v>33.086916347698228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-8.5265128291212022E-14</v>
      </c>
      <c r="O136" s="14">
        <f>N136*VLOOKUP('Données projet'!$B$9,Paramètres!$A$1:$I$89,3,0)*VLOOKUP('Données projet'!$B$9,Paramètres!$A$1:$I$89,5,0)</f>
        <v>-7.4487616075202836E-14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98.272553716009838</v>
      </c>
      <c r="T136" s="62">
        <f t="shared" si="142"/>
        <v>68.315893120570763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29.403025215644039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29.403025215644039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85.701306948362742</v>
      </c>
      <c r="AO136" s="62">
        <f t="shared" si="144"/>
        <v>118.59281525447091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38.976447162069427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1.2685731437240522E-7</v>
      </c>
      <c r="AX136" s="23">
        <f t="shared" si="114"/>
        <v>38.976447288926742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71.420552731458145</v>
      </c>
      <c r="BJ136" s="62">
        <f t="shared" si="146"/>
        <v>436.74855282454985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12.053427859259049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3.9428349914093322E-16</v>
      </c>
      <c r="BS136" s="24">
        <f t="shared" si="117"/>
        <v>12.053427859259049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145.14303899407867</v>
      </c>
      <c r="CE136" s="62">
        <f t="shared" si="148"/>
        <v>137.55906339137317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32.438102098379616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5.5284731167360209E-10</v>
      </c>
      <c r="CN136" s="24">
        <f t="shared" si="120"/>
        <v>32.438102098932461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-8.5265128291212022E-14</v>
      </c>
      <c r="O137" s="14">
        <f>N137*VLOOKUP('Données projet'!$B$9,Paramètres!$A$1:$I$89,3,0)*VLOOKUP('Données projet'!$B$9,Paramètres!$A$1:$I$89,5,0)</f>
        <v>-7.4487616075202836E-14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98.272553716009838</v>
      </c>
      <c r="T137" s="62">
        <f t="shared" si="142"/>
        <v>68.315893120570763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28.826449825239798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28.826449825239798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85.701306948362742</v>
      </c>
      <c r="AO137" s="62">
        <f t="shared" si="144"/>
        <v>118.59281525447091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38.212142806506598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8.970166723584141E-8</v>
      </c>
      <c r="AX137" s="23">
        <f t="shared" si="114"/>
        <v>38.212142896208263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71.420552731458145</v>
      </c>
      <c r="BJ137" s="62">
        <f t="shared" si="146"/>
        <v>436.74855282454985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11.817067490804037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2.7880053595251416E-16</v>
      </c>
      <c r="BS137" s="24">
        <f t="shared" si="117"/>
        <v>11.817067490804037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145.14303899407867</v>
      </c>
      <c r="CE137" s="62">
        <f t="shared" si="148"/>
        <v>137.55906339137317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31.802010701519038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3.909220830451568E-10</v>
      </c>
      <c r="CN137" s="24">
        <f t="shared" si="120"/>
        <v>31.80201070190996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-8.5265128291212022E-14</v>
      </c>
      <c r="O138" s="14">
        <f>N138*VLOOKUP('Données projet'!$B$9,Paramètres!$A$1:$I$89,3,0)*VLOOKUP('Données projet'!$B$9,Paramètres!$A$1:$I$89,5,0)</f>
        <v>-7.4487616075202836E-14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98.272553716009838</v>
      </c>
      <c r="T138" s="62">
        <f t="shared" si="142"/>
        <v>68.315893120570763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28.261180726565122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28.261180726565122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85.701306948362742</v>
      </c>
      <c r="AO138" s="62">
        <f t="shared" si="144"/>
        <v>118.59281525447091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37.462825993176729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6.3428657186202609E-8</v>
      </c>
      <c r="AX138" s="23">
        <f t="shared" si="114"/>
        <v>37.462826056605387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71.420552731458145</v>
      </c>
      <c r="BJ138" s="62">
        <f t="shared" si="146"/>
        <v>436.74855282454985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11.585342005008838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1.9714174957046661E-16</v>
      </c>
      <c r="BS138" s="24">
        <f t="shared" si="117"/>
        <v>11.585342005008838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145.14303899407867</v>
      </c>
      <c r="CE138" s="62">
        <f t="shared" si="148"/>
        <v>137.55906339137317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31.178392668973451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2.7642365583680104E-10</v>
      </c>
      <c r="CN138" s="24">
        <f t="shared" si="120"/>
        <v>31.178392669249874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-8.5265128291212022E-14</v>
      </c>
      <c r="O139" s="14">
        <f>N139*VLOOKUP('Données projet'!$B$9,Paramètres!$A$1:$I$89,3,0)*VLOOKUP('Données projet'!$B$9,Paramètres!$A$1:$I$89,5,0)</f>
        <v>-7.4487616075202836E-14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98.272553716009838</v>
      </c>
      <c r="T139" s="62">
        <f t="shared" si="142"/>
        <v>68.315893120570763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27.706996210135351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27.706996210135351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85.701306948362742</v>
      </c>
      <c r="AO139" s="62">
        <f t="shared" si="144"/>
        <v>118.59281525447091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36.728202825518132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4.4850833617920705E-8</v>
      </c>
      <c r="AX139" s="23">
        <f t="shared" si="114"/>
        <v>36.728202870368968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71.420552731458145</v>
      </c>
      <c r="BJ139" s="62">
        <f t="shared" si="146"/>
        <v>436.74855282454985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11.358160514651493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1.3940026797625708E-16</v>
      </c>
      <c r="BS139" s="24">
        <f t="shared" si="117"/>
        <v>11.358160514651493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145.14303899407867</v>
      </c>
      <c r="CE139" s="62">
        <f t="shared" si="148"/>
        <v>137.55906339137317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30.567003405676644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1.954610415225784E-10</v>
      </c>
      <c r="CN139" s="24">
        <f t="shared" si="120"/>
        <v>30.567003405872104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-8.5265128291212022E-14</v>
      </c>
      <c r="O140" s="14">
        <f>N140*VLOOKUP('Données projet'!$B$9,Paramètres!$A$1:$I$89,3,0)*VLOOKUP('Données projet'!$B$9,Paramètres!$A$1:$I$89,5,0)</f>
        <v>-7.4487616075202836E-14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98.272553716009838</v>
      </c>
      <c r="T140" s="62">
        <f t="shared" si="142"/>
        <v>68.315893120570763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27.163678914053587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27.163678914053587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85.701306948362742</v>
      </c>
      <c r="AO140" s="62">
        <f t="shared" si="144"/>
        <v>118.59281525447091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36.007985170101435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3.1714328593101305E-8</v>
      </c>
      <c r="AX140" s="23">
        <f t="shared" si="114"/>
        <v>36.007985201815764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71.420552731458145</v>
      </c>
      <c r="BJ140" s="62">
        <f t="shared" si="146"/>
        <v>436.74855282454985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11.135433914753028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9.8570874785233304E-17</v>
      </c>
      <c r="BS140" s="24">
        <f t="shared" si="117"/>
        <v>11.135433914753028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145.14303899407867</v>
      </c>
      <c r="CE140" s="62">
        <f t="shared" si="148"/>
        <v>137.55906339137317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29.967603112922458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1.3821182791840052E-10</v>
      </c>
      <c r="CN140" s="24">
        <f t="shared" si="120"/>
        <v>29.967603113060669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-8.5265128291212022E-14</v>
      </c>
      <c r="O141" s="14">
        <f>N141*VLOOKUP('Données projet'!$B$9,Paramètres!$A$1:$I$89,3,0)*VLOOKUP('Données projet'!$B$9,Paramètres!$A$1:$I$89,5,0)</f>
        <v>-7.4487616075202836E-14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98.272553716009838</v>
      </c>
      <c r="T141" s="62">
        <f t="shared" si="142"/>
        <v>68.315893120570763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26.63101573875716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26.63101573875716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85.701306948362742</v>
      </c>
      <c r="AO141" s="62">
        <f t="shared" si="144"/>
        <v>118.59281525447091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35.301890543618065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2.2425416808960352E-8</v>
      </c>
      <c r="AX141" s="23">
        <f t="shared" si="114"/>
        <v>35.301890566043483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71.420552731458145</v>
      </c>
      <c r="BJ141" s="62">
        <f t="shared" si="146"/>
        <v>436.74855282454985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10.91707484762876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6.970013398812854E-17</v>
      </c>
      <c r="BS141" s="24">
        <f t="shared" si="117"/>
        <v>10.91707484762876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145.14303899407867</v>
      </c>
      <c r="CE141" s="62">
        <f t="shared" si="148"/>
        <v>137.55906339137317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29.379956694311101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9.7730520761289199E-11</v>
      </c>
      <c r="CN141" s="24">
        <f t="shared" si="120"/>
        <v>29.379956694408833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-8.5265128291212022E-14</v>
      </c>
      <c r="O142" s="14">
        <f>N142*VLOOKUP('Données projet'!$B$9,Paramètres!$A$1:$I$89,3,0)*VLOOKUP('Données projet'!$B$9,Paramètres!$A$1:$I$89,5,0)</f>
        <v>-7.4487616075202836E-14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98.272553716009838</v>
      </c>
      <c r="T142" s="62">
        <f t="shared" si="142"/>
        <v>68.315893120570763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26.108797763435838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26.108797763435838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85.701306948362742</v>
      </c>
      <c r="AO142" s="62">
        <f t="shared" si="144"/>
        <v>118.59281525447091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34.609642002084833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1.5857164296550652E-8</v>
      </c>
      <c r="AX142" s="23">
        <f t="shared" si="114"/>
        <v>34.609642017941994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71.420552731458145</v>
      </c>
      <c r="BJ142" s="62">
        <f t="shared" si="146"/>
        <v>436.74855282454985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10.702997668624919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4.9285437392616652E-17</v>
      </c>
      <c r="BS142" s="24">
        <f t="shared" si="117"/>
        <v>10.702997668624919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145.14303899407867</v>
      </c>
      <c r="CE142" s="62">
        <f t="shared" si="148"/>
        <v>137.55906339137317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28.803833663539791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6.9105913959200261E-11</v>
      </c>
      <c r="CN142" s="24">
        <f t="shared" si="120"/>
        <v>28.803833663608899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-8.5265128291212022E-14</v>
      </c>
      <c r="O143" s="14">
        <f>N143*VLOOKUP('Données projet'!$B$9,Paramètres!$A$1:$I$89,3,0)*VLOOKUP('Données projet'!$B$9,Paramètres!$A$1:$I$89,5,0)</f>
        <v>-7.4487616075202836E-14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98.272553716009838</v>
      </c>
      <c r="T143" s="62">
        <f t="shared" si="142"/>
        <v>68.315893120570763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25.596820164089053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25.596820164089053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85.701306948362742</v>
      </c>
      <c r="AO143" s="62">
        <f t="shared" si="144"/>
        <v>118.59281525447091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33.930968032221152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1.1212708404480176E-8</v>
      </c>
      <c r="AX143" s="23">
        <f t="shared" si="114"/>
        <v>33.930968043433857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71.420552731458145</v>
      </c>
      <c r="BJ143" s="62">
        <f t="shared" si="146"/>
        <v>436.74855282454985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10.493118412527158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3.485006699406427E-17</v>
      </c>
      <c r="BS143" s="24">
        <f t="shared" si="117"/>
        <v>10.493118412527158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145.14303899407867</v>
      </c>
      <c r="CE143" s="62">
        <f t="shared" si="148"/>
        <v>137.55906339137317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28.239008054001555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4.88652603806446E-11</v>
      </c>
      <c r="CN143" s="24">
        <f t="shared" si="120"/>
        <v>28.239008054050419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-8.5265128291212022E-14</v>
      </c>
      <c r="O144" s="14">
        <f>N144*VLOOKUP('Données projet'!$B$9,Paramètres!$A$1:$I$89,3,0)*VLOOKUP('Données projet'!$B$9,Paramètres!$A$1:$I$89,5,0)</f>
        <v>-7.4487616075202836E-14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98.272553716009838</v>
      </c>
      <c r="T144" s="62">
        <f t="shared" si="142"/>
        <v>68.315893120570763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25.094882133189959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25.094882133189959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85.701306948362742</v>
      </c>
      <c r="AO144" s="62">
        <f t="shared" si="144"/>
        <v>118.59281525447091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33.265602444956251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7.9285821482753261E-9</v>
      </c>
      <c r="AX144" s="23">
        <f t="shared" si="114"/>
        <v>33.265602452884835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71.420552731458145</v>
      </c>
      <c r="BJ144" s="62">
        <f t="shared" si="146"/>
        <v>436.74855282454985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10.287354760627768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2.4642718696308326E-17</v>
      </c>
      <c r="BS144" s="24">
        <f t="shared" si="117"/>
        <v>10.287354760627768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145.14303899407867</v>
      </c>
      <c r="CE144" s="62">
        <f t="shared" si="148"/>
        <v>137.55906339137317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27.68525833015676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3.455295697960013E-11</v>
      </c>
      <c r="CN144" s="24">
        <f t="shared" si="120"/>
        <v>27.685258330191314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-8.5265128291212022E-14</v>
      </c>
      <c r="O145" s="14">
        <f>N145*VLOOKUP('Données projet'!$B$9,Paramètres!$A$1:$I$89,3,0)*VLOOKUP('Données projet'!$B$9,Paramètres!$A$1:$I$89,5,0)</f>
        <v>-7.4487616075202836E-14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98.272553716009838</v>
      </c>
      <c r="T145" s="62">
        <f t="shared" si="142"/>
        <v>68.315893120570763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24.602786800924825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24.602786800924825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85.701306948362742</v>
      </c>
      <c r="AO145" s="62">
        <f t="shared" si="144"/>
        <v>118.59281525447091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32.613284271024675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5.6063542022400881E-9</v>
      </c>
      <c r="AX145" s="23">
        <f t="shared" si="114"/>
        <v>32.613284276631028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71.420552731458145</v>
      </c>
      <c r="BJ145" s="62">
        <f t="shared" si="146"/>
        <v>436.74855282454985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10.085626008438689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1.7425033497032135E-17</v>
      </c>
      <c r="BS145" s="24">
        <f t="shared" si="117"/>
        <v>10.085626008438689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145.14303899407867</v>
      </c>
      <c r="CE145" s="62">
        <f t="shared" si="148"/>
        <v>137.55906339137317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27.142367300642579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2.44326301903223E-11</v>
      </c>
      <c r="CN145" s="24">
        <f t="shared" si="120"/>
        <v>27.142367300667011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-8.5265128291212022E-14</v>
      </c>
      <c r="O146" s="14">
        <f>N146*VLOOKUP('Données projet'!$B$9,Paramètres!$A$1:$I$89,3,0)*VLOOKUP('Données projet'!$B$9,Paramètres!$A$1:$I$89,5,0)</f>
        <v>-7.4487616075202836E-14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98.272553716009838</v>
      </c>
      <c r="T146" s="62">
        <f t="shared" si="142"/>
        <v>68.315893120570763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24.120341157976895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24.120341157976895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85.701306948362742</v>
      </c>
      <c r="AO146" s="62">
        <f t="shared" si="144"/>
        <v>118.59281525447091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31.973757658609102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3.9642910741376631E-9</v>
      </c>
      <c r="AX146" s="23">
        <f t="shared" si="114"/>
        <v>31.973757662573394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71.420552731458145</v>
      </c>
      <c r="BJ146" s="62">
        <f t="shared" si="146"/>
        <v>436.74855282454985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9.8878530340376489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1.2321359348154163E-17</v>
      </c>
      <c r="BS146" s="24">
        <f t="shared" si="117"/>
        <v>9.8878530340376489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145.14303899407867</v>
      </c>
      <c r="CE146" s="62">
        <f t="shared" si="148"/>
        <v>137.55906339137317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26.610122033086341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1.7276478489800065E-11</v>
      </c>
      <c r="CN146" s="24">
        <f t="shared" si="120"/>
        <v>26.610122033103618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-8.5265128291212022E-14</v>
      </c>
      <c r="O147" s="14">
        <f>N147*VLOOKUP('Données projet'!$B$9,Paramètres!$A$1:$I$89,3,0)*VLOOKUP('Données projet'!$B$9,Paramètres!$A$1:$I$89,5,0)</f>
        <v>-7.4487616075202836E-14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98.272553716009838</v>
      </c>
      <c r="T147" s="62">
        <f t="shared" si="142"/>
        <v>68.315893120570763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23.64735597982439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23.64735597982439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85.701306948362742</v>
      </c>
      <c r="AO147" s="62">
        <f t="shared" si="144"/>
        <v>118.59281525447091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31.34677177299028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2.8031771011200441E-9</v>
      </c>
      <c r="AX147" s="23">
        <f t="shared" si="114"/>
        <v>31.346771775793457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71.420552731458145</v>
      </c>
      <c r="BJ147" s="62">
        <f t="shared" si="146"/>
        <v>436.74855282454985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9.6939582670350095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8.7125167485160675E-18</v>
      </c>
      <c r="BS147" s="24">
        <f t="shared" si="117"/>
        <v>9.6939582670350095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145.14303899407867</v>
      </c>
      <c r="CE147" s="62">
        <f t="shared" si="148"/>
        <v>137.55906339137317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26.088313770589323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1.221631509516115E-11</v>
      </c>
      <c r="CN147" s="24">
        <f t="shared" si="120"/>
        <v>26.088313770601541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-8.5265128291212022E-14</v>
      </c>
      <c r="O148" s="14">
        <f>N148*VLOOKUP('Données projet'!$B$9,Paramètres!$A$1:$I$89,3,0)*VLOOKUP('Données projet'!$B$9,Paramètres!$A$1:$I$89,5,0)</f>
        <v>-7.4487616075202836E-14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98.272553716009838</v>
      </c>
      <c r="T148" s="62">
        <f t="shared" si="142"/>
        <v>68.315893120570763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23.183645752522981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23.183645752522981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85.701306948362742</v>
      </c>
      <c r="AO148" s="62">
        <f t="shared" si="144"/>
        <v>118.59281525447091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30.732080698164815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1.9821455370688315E-9</v>
      </c>
      <c r="AX148" s="23">
        <f t="shared" si="114"/>
        <v>30.732080700146959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71.420552731458145</v>
      </c>
      <c r="BJ148" s="62">
        <f t="shared" si="146"/>
        <v>436.74855282454985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9.503865658149163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6.1606796740770815E-18</v>
      </c>
      <c r="BS148" s="24">
        <f t="shared" si="117"/>
        <v>9.503865658149163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145.14303899407867</v>
      </c>
      <c r="CE148" s="62">
        <f t="shared" si="148"/>
        <v>137.55906339137317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25.576737849848257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8.6382392449000326E-12</v>
      </c>
      <c r="CN148" s="24">
        <f t="shared" si="120"/>
        <v>25.576737849856894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-8.5265128291212022E-14</v>
      </c>
      <c r="O149" s="14">
        <f>N149*VLOOKUP('Données projet'!$B$9,Paramètres!$A$1:$I$89,3,0)*VLOOKUP('Données projet'!$B$9,Paramètres!$A$1:$I$89,5,0)</f>
        <v>-7.4487616075202836E-14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98.272553716009838</v>
      </c>
      <c r="T149" s="62">
        <f t="shared" si="142"/>
        <v>68.315893120570763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22.729028599943643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22.729028599943643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85.701306948362742</v>
      </c>
      <c r="AO149" s="62">
        <f t="shared" si="144"/>
        <v>118.59281525447091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30.129443340392143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1.401588550560022E-9</v>
      </c>
      <c r="AX149" s="23">
        <f t="shared" si="114"/>
        <v>30.129443341793731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71.420552731458145</v>
      </c>
      <c r="BJ149" s="62">
        <f t="shared" si="146"/>
        <v>436.74855282454985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9.3175006493785251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4.3562583742580337E-18</v>
      </c>
      <c r="BS149" s="24">
        <f t="shared" si="117"/>
        <v>9.3175006493785251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145.14303899407867</v>
      </c>
      <c r="CE149" s="62">
        <f t="shared" si="148"/>
        <v>137.55906339137317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25.075193620882423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6.108157547580575E-12</v>
      </c>
      <c r="CN149" s="24">
        <f t="shared" si="120"/>
        <v>25.07519362088853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-8.5265128291212022E-14</v>
      </c>
      <c r="O150" s="14">
        <f>N150*VLOOKUP('Données projet'!$B$9,Paramètres!$A$1:$I$89,3,0)*VLOOKUP('Données projet'!$B$9,Paramètres!$A$1:$I$89,5,0)</f>
        <v>-7.4487616075202836E-14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98.272553716009838</v>
      </c>
      <c r="T150" s="62">
        <f t="shared" si="142"/>
        <v>68.315893120570763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22.283326212437302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22.283326212437302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85.701306948362742</v>
      </c>
      <c r="AO150" s="62">
        <f t="shared" si="144"/>
        <v>118.59281525447091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29.538623333632898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9.9107276853441577E-10</v>
      </c>
      <c r="AX150" s="23">
        <f t="shared" si="114"/>
        <v>29.538623334623971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71.420552731458145</v>
      </c>
      <c r="BJ150" s="62">
        <f t="shared" si="146"/>
        <v>436.74855282454985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9.1347901447584476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3.0803398370385407E-18</v>
      </c>
      <c r="BS150" s="24">
        <f t="shared" si="117"/>
        <v>9.1347901447584476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145.14303899407867</v>
      </c>
      <c r="CE150" s="62">
        <f t="shared" si="148"/>
        <v>137.55906339137317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24.583484368334837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4.3191196224500163E-12</v>
      </c>
      <c r="CN150" s="24">
        <f t="shared" si="120"/>
        <v>24.583484368339157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-8.5265128291212022E-14</v>
      </c>
      <c r="O151" s="14">
        <f>N151*VLOOKUP('Données projet'!$B$9,Paramètres!$A$1:$I$89,3,0)*VLOOKUP('Données projet'!$B$9,Paramètres!$A$1:$I$89,5,0)</f>
        <v>-7.4487616075202836E-14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98.272553716009838</v>
      </c>
      <c r="T151" s="62">
        <f t="shared" si="142"/>
        <v>68.315893120570763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21.846363776898347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21.846363776898347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85.701306948362742</v>
      </c>
      <c r="AO151" s="62">
        <f t="shared" si="144"/>
        <v>118.59281525447091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28.959388946841582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7.0079427528001101E-10</v>
      </c>
      <c r="AX151" s="23">
        <f t="shared" si="114"/>
        <v>28.959388947542376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71.420552731458145</v>
      </c>
      <c r="BJ151" s="62">
        <f t="shared" si="146"/>
        <v>436.74855282454985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8.9556624816915651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2.1781291871290169E-18</v>
      </c>
      <c r="BS151" s="24">
        <f t="shared" si="117"/>
        <v>8.9556624816915651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145.14303899407867</v>
      </c>
      <c r="CE151" s="62">
        <f t="shared" si="148"/>
        <v>137.55906339137317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24.101417234316678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3.0540787737902875E-12</v>
      </c>
      <c r="CN151" s="24">
        <f t="shared" si="120"/>
        <v>24.101417234319733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-8.5265128291212022E-14</v>
      </c>
      <c r="O152" s="14">
        <f>N152*VLOOKUP('Données projet'!$B$9,Paramètres!$A$1:$I$89,3,0)*VLOOKUP('Données projet'!$B$9,Paramètres!$A$1:$I$89,5,0)</f>
        <v>-7.4487616075202836E-14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98.272553716009838</v>
      </c>
      <c r="T152" s="62">
        <f t="shared" si="142"/>
        <v>68.315893120570763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21.417969908199542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21.417969908199542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85.701306948362742</v>
      </c>
      <c r="AO152" s="62">
        <f t="shared" si="144"/>
        <v>118.59281525447091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28.391512993077153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4.9553638426720788E-10</v>
      </c>
      <c r="AX152" s="23">
        <f t="shared" si="114"/>
        <v>28.39151299357269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71.420552731458145</v>
      </c>
      <c r="BJ152" s="62">
        <f t="shared" si="146"/>
        <v>436.74855282454985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8.7800474028403386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1.5401699185192704E-18</v>
      </c>
      <c r="BS152" s="24">
        <f t="shared" si="117"/>
        <v>8.7800474028403386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145.14303899407867</v>
      </c>
      <c r="CE152" s="62">
        <f t="shared" si="148"/>
        <v>137.55906339137317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23.628803142764696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2.1595598112250082E-12</v>
      </c>
      <c r="CN152" s="24">
        <f t="shared" si="120"/>
        <v>23.628803142766856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-8.5265128291212022E-14</v>
      </c>
      <c r="O153" s="14">
        <f>N153*VLOOKUP('Données projet'!$B$9,Paramètres!$A$1:$I$89,3,0)*VLOOKUP('Données projet'!$B$9,Paramètres!$A$1:$I$89,5,0)</f>
        <v>-7.4487616075202836E-14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98.272553716009838</v>
      </c>
      <c r="T153" s="62">
        <f t="shared" si="142"/>
        <v>68.315893120570763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20.997976581971461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20.997976581971461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85.701306948362742</v>
      </c>
      <c r="AO153" s="62">
        <f t="shared" si="144"/>
        <v>118.59281525447091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27.834772740395913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3.5039713764000551E-10</v>
      </c>
      <c r="AX153" s="23">
        <f t="shared" si="114"/>
        <v>27.83477274074631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71.420552731458145</v>
      </c>
      <c r="BJ153" s="62">
        <f t="shared" si="146"/>
        <v>436.74855282454985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8.6078760285707627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1.0890645935645084E-18</v>
      </c>
      <c r="BS153" s="24">
        <f t="shared" si="117"/>
        <v>8.6078760285707627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145.14303899407867</v>
      </c>
      <c r="CE153" s="62">
        <f t="shared" si="148"/>
        <v>137.55906339137317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23.165456725281917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1.5270393868951437E-12</v>
      </c>
      <c r="CN153" s="24">
        <f t="shared" si="120"/>
        <v>23.165456725283445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-8.5265128291212022E-14</v>
      </c>
      <c r="O154" s="14">
        <f>N154*VLOOKUP('Données projet'!$B$9,Paramètres!$A$1:$I$89,3,0)*VLOOKUP('Données projet'!$B$9,Paramètres!$A$1:$I$89,5,0)</f>
        <v>-7.4487616075202836E-14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98.272553716009838</v>
      </c>
      <c r="T154" s="62">
        <f t="shared" si="142"/>
        <v>68.315893120570763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20.586219068700078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20.586219068700078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85.701306948362742</v>
      </c>
      <c r="AO154" s="62">
        <f t="shared" si="144"/>
        <v>118.59281525447091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27.288949824491727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2.4776819213360394E-10</v>
      </c>
      <c r="AX154" s="23">
        <f t="shared" ref="AX154:AX203" si="166">SUM(AU154:AW154)</f>
        <v>27.288949824739497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71.420552731458145</v>
      </c>
      <c r="BJ154" s="62">
        <f t="shared" si="146"/>
        <v>436.74855282454985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8.4390808299364455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7.7008495925963519E-19</v>
      </c>
      <c r="BS154" s="24">
        <f t="shared" ref="BS154:BS203" si="169">SUM(BP154:BR154)</f>
        <v>8.4390808299364455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145.14303899407867</v>
      </c>
      <c r="CE154" s="62">
        <f t="shared" si="148"/>
        <v>137.55906339137317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22.711196248432564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1.0797799056125041E-12</v>
      </c>
      <c r="CN154" s="24">
        <f t="shared" ref="CN154:CN203" si="172">SUM(CK154:CM154)</f>
        <v>22.711196248433644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-8.5265128291212022E-14</v>
      </c>
      <c r="O155" s="14">
        <f>N155*VLOOKUP('Données projet'!$B$9,Paramètres!$A$1:$I$89,3,0)*VLOOKUP('Données projet'!$B$9,Paramètres!$A$1:$I$89,5,0)</f>
        <v>-7.4487616075202836E-14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98.272553716009838</v>
      </c>
      <c r="T155" s="62">
        <f t="shared" si="142"/>
        <v>68.315893120570763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20.182535869116666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20.182535869116666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85.701306948362742</v>
      </c>
      <c r="AO155" s="62">
        <f t="shared" si="144"/>
        <v>118.59281525447091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26.753830163049319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1.7519856882000275E-10</v>
      </c>
      <c r="AX155" s="23">
        <f t="shared" si="166"/>
        <v>26.753830163224517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71.420552731458145</v>
      </c>
      <c r="BJ155" s="62">
        <f t="shared" si="146"/>
        <v>436.74855282454985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8.2735956021924419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5.4453229678225422E-19</v>
      </c>
      <c r="BS155" s="24">
        <f t="shared" si="169"/>
        <v>8.2735956021924419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145.14303899407867</v>
      </c>
      <c r="CE155" s="62">
        <f t="shared" si="148"/>
        <v>137.55906339137317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22.265843542462697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7.6351969344757187E-13</v>
      </c>
      <c r="CN155" s="24">
        <f t="shared" si="172"/>
        <v>22.265843542463461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-8.5265128291212022E-14</v>
      </c>
      <c r="O156" s="14">
        <f>N156*VLOOKUP('Données projet'!$B$9,Paramètres!$A$1:$I$89,3,0)*VLOOKUP('Données projet'!$B$9,Paramètres!$A$1:$I$89,5,0)</f>
        <v>-7.4487616075202836E-14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98.272553716009838</v>
      </c>
      <c r="T156" s="62">
        <f t="shared" si="142"/>
        <v>68.315893120570763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19.786768650854643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19.786768650854643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85.701306948362742</v>
      </c>
      <c r="AO156" s="62">
        <f t="shared" si="144"/>
        <v>118.59281525447091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26.229203871777031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1.2388409606680197E-10</v>
      </c>
      <c r="AX156" s="23">
        <f t="shared" si="166"/>
        <v>26.229203871900914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71.420552731458145</v>
      </c>
      <c r="BJ156" s="62">
        <f t="shared" si="146"/>
        <v>436.74855282454985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8.1113554388284754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3.8504247962981759E-19</v>
      </c>
      <c r="BS156" s="24">
        <f t="shared" si="169"/>
        <v>8.1113554388284754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145.14303899407867</v>
      </c>
      <c r="CE156" s="62">
        <f t="shared" si="148"/>
        <v>137.55906339137317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21.829223931418571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5.3988995280625204E-13</v>
      </c>
      <c r="CN156" s="24">
        <f t="shared" si="172"/>
        <v>21.829223931419111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-8.5265128291212022E-14</v>
      </c>
      <c r="O157" s="14">
        <f>N157*VLOOKUP('Données projet'!$B$9,Paramètres!$A$1:$I$89,3,0)*VLOOKUP('Données projet'!$B$9,Paramètres!$A$1:$I$89,5,0)</f>
        <v>-7.4487616075202836E-14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98.272553716009838</v>
      </c>
      <c r="T157" s="62">
        <f t="shared" si="142"/>
        <v>68.315893120570763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19.398762186348574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19.398762186348574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85.701306948362742</v>
      </c>
      <c r="AO157" s="62">
        <f t="shared" si="144"/>
        <v>118.59281525447091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25.71486518208615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8.7599284410001377E-11</v>
      </c>
      <c r="AX157" s="23">
        <f t="shared" si="166"/>
        <v>25.71486518217375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71.420552731458145</v>
      </c>
      <c r="BJ157" s="62">
        <f t="shared" si="146"/>
        <v>436.74855282454985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7.9522967061113476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2.7226614839112711E-19</v>
      </c>
      <c r="BS157" s="24">
        <f t="shared" si="169"/>
        <v>7.9522967061113476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145.14303899407867</v>
      </c>
      <c r="CE157" s="62">
        <f t="shared" si="148"/>
        <v>137.55906339137317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21.401166164635352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3.8175984672378593E-13</v>
      </c>
      <c r="CN157" s="24">
        <f t="shared" si="172"/>
        <v>21.401166164635733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-8.5265128291212022E-14</v>
      </c>
      <c r="O158" s="14">
        <f>N158*VLOOKUP('Données projet'!$B$9,Paramètres!$A$1:$I$89,3,0)*VLOOKUP('Données projet'!$B$9,Paramètres!$A$1:$I$89,5,0)</f>
        <v>-7.4487616075202836E-14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98.272553716009838</v>
      </c>
      <c r="T158" s="62">
        <f t="shared" si="142"/>
        <v>68.315893120570763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19.018364291950892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19.018364291950892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85.701306948362742</v>
      </c>
      <c r="AO158" s="62">
        <f t="shared" si="144"/>
        <v>118.59281525447091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25.210612360384484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6.1942048033400986E-11</v>
      </c>
      <c r="AX158" s="23">
        <f t="shared" si="166"/>
        <v>25.210612360446426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71.420552731458145</v>
      </c>
      <c r="BJ158" s="62">
        <f t="shared" si="146"/>
        <v>436.74855282454985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7.7963570181265558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1.925212398149088E-19</v>
      </c>
      <c r="BS158" s="24">
        <f t="shared" si="169"/>
        <v>7.7963570181265558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145.14303899407867</v>
      </c>
      <c r="CE158" s="62">
        <f t="shared" si="148"/>
        <v>137.55906339137317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20.981502349569293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2.6994497640312602E-13</v>
      </c>
      <c r="CN158" s="24">
        <f t="shared" si="172"/>
        <v>20.981502349569563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-8.5265128291212022E-14</v>
      </c>
      <c r="O159" s="14">
        <f>N159*VLOOKUP('Données projet'!$B$9,Paramètres!$A$1:$I$89,3,0)*VLOOKUP('Données projet'!$B$9,Paramètres!$A$1:$I$89,5,0)</f>
        <v>-7.4487616075202836E-14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98.272553716009838</v>
      </c>
      <c r="T159" s="62">
        <f t="shared" si="142"/>
        <v>68.315893120570763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18.645425768242543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18.645425768242543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85.701306948362742</v>
      </c>
      <c r="AO159" s="62">
        <f t="shared" si="144"/>
        <v>118.59281525447091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24.716247628952537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4.3799642205000688E-11</v>
      </c>
      <c r="AX159" s="23">
        <f t="shared" si="166"/>
        <v>24.716247628996339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71.420552731458145</v>
      </c>
      <c r="BJ159" s="62">
        <f t="shared" si="146"/>
        <v>436.74855282454985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7.643475212309327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1.3613307419556355E-19</v>
      </c>
      <c r="BS159" s="24">
        <f t="shared" si="169"/>
        <v>7.643475212309327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145.14303899407867</v>
      </c>
      <c r="CE159" s="62">
        <f t="shared" si="148"/>
        <v>137.55906339137317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20.570067885947029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1.9087992336189297E-13</v>
      </c>
      <c r="CN159" s="24">
        <f t="shared" si="172"/>
        <v>20.570067885947221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-8.5265128291212022E-14</v>
      </c>
      <c r="O160" s="14">
        <f>N160*VLOOKUP('Données projet'!$B$9,Paramètres!$A$1:$I$89,3,0)*VLOOKUP('Données projet'!$B$9,Paramètres!$A$1:$I$89,5,0)</f>
        <v>-7.4487616075202836E-14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98.272553716009838</v>
      </c>
      <c r="T160" s="62">
        <f t="shared" si="142"/>
        <v>68.315893120570763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18.279800341514076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18.279800341514076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85.701306948362742</v>
      </c>
      <c r="AO160" s="62">
        <f t="shared" si="144"/>
        <v>118.59281525447091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24.231577088371257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3.0971024016700493E-11</v>
      </c>
      <c r="AX160" s="23">
        <f t="shared" si="166"/>
        <v>24.231577088402229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71.420552731458145</v>
      </c>
      <c r="BJ160" s="62">
        <f t="shared" si="146"/>
        <v>436.74855282454985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7.4935913254554807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9.6260619907454398E-20</v>
      </c>
      <c r="BS160" s="24">
        <f t="shared" si="169"/>
        <v>7.4935913254554807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145.14303899407867</v>
      </c>
      <c r="CE160" s="62">
        <f t="shared" si="148"/>
        <v>137.55906339137317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20.166701401206154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1.3497248820156301E-13</v>
      </c>
      <c r="CN160" s="24">
        <f t="shared" si="172"/>
        <v>20.166701401206289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-8.5265128291212022E-14</v>
      </c>
      <c r="O161" s="14">
        <f>N161*VLOOKUP('Données projet'!$B$9,Paramètres!$A$1:$I$89,3,0)*VLOOKUP('Données projet'!$B$9,Paramètres!$A$1:$I$89,5,0)</f>
        <v>-7.4487616075202836E-14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98.272553716009838</v>
      </c>
      <c r="T161" s="62">
        <f t="shared" si="142"/>
        <v>68.315893120570763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17.921344606394264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17.921344606394264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85.701306948362742</v>
      </c>
      <c r="AO161" s="62">
        <f t="shared" si="144"/>
        <v>118.59281525447091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23.756410641470936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2.1899821102500344E-11</v>
      </c>
      <c r="AX161" s="23">
        <f t="shared" si="166"/>
        <v>23.756410641492835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71.420552731458145</v>
      </c>
      <c r="BJ161" s="62">
        <f t="shared" si="146"/>
        <v>436.74855282454985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7.3466465702026937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6.8066537097781777E-20</v>
      </c>
      <c r="BS161" s="24">
        <f t="shared" si="169"/>
        <v>7.3466465702026937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145.14303899407867</v>
      </c>
      <c r="CE161" s="62">
        <f t="shared" si="148"/>
        <v>137.55906339137317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19.771244687201786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9.5439961680946484E-14</v>
      </c>
      <c r="CN161" s="24">
        <f t="shared" si="172"/>
        <v>19.771244687201882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-8.5265128291212022E-14</v>
      </c>
      <c r="O162" s="14">
        <f>N162*VLOOKUP('Données projet'!$B$9,Paramètres!$A$1:$I$89,3,0)*VLOOKUP('Données projet'!$B$9,Paramètres!$A$1:$I$89,5,0)</f>
        <v>-7.4487616075202836E-14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98.272553716009838</v>
      </c>
      <c r="T162" s="62">
        <f t="shared" si="142"/>
        <v>68.315893120570763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17.569917969603743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17.569917969603743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85.701306948362742</v>
      </c>
      <c r="AO162" s="62">
        <f t="shared" si="144"/>
        <v>118.59281525447091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23.290561918771417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1.5485512008350246E-11</v>
      </c>
      <c r="AX162" s="23">
        <f t="shared" si="166"/>
        <v>23.290561918786903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71.420552731458145</v>
      </c>
      <c r="BJ162" s="62">
        <f t="shared" si="146"/>
        <v>436.74855282454985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7.2025833119729636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4.8130309953727199E-20</v>
      </c>
      <c r="BS162" s="24">
        <f t="shared" si="169"/>
        <v>7.2025833119729636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145.14303899407867</v>
      </c>
      <c r="CE162" s="62">
        <f t="shared" si="148"/>
        <v>137.55906339137317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19.383542638154264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6.7486244100781505E-14</v>
      </c>
      <c r="CN162" s="24">
        <f t="shared" si="172"/>
        <v>19.383542638154331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-8.5265128291212022E-14</v>
      </c>
      <c r="O163" s="14">
        <f>N163*VLOOKUP('Données projet'!$B$9,Paramètres!$A$1:$I$89,3,0)*VLOOKUP('Données projet'!$B$9,Paramètres!$A$1:$I$89,5,0)</f>
        <v>-7.4487616075202836E-14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98.272553716009838</v>
      </c>
      <c r="T163" s="62">
        <f t="shared" si="142"/>
        <v>68.315893120570763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17.225382594811599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17.225382594811599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85.701306948362742</v>
      </c>
      <c r="AO163" s="62">
        <f t="shared" si="144"/>
        <v>118.59281525447091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22.833848205384371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1.0949910551250172E-11</v>
      </c>
      <c r="AX163" s="23">
        <f t="shared" si="166"/>
        <v>22.83384820539532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71.420552731458145</v>
      </c>
      <c r="BJ163" s="62">
        <f t="shared" si="146"/>
        <v>436.74855282454985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7.0613450463672072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3.4033268548890889E-20</v>
      </c>
      <c r="BS163" s="24">
        <f t="shared" si="169"/>
        <v>7.0613450463672072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145.14303899407867</v>
      </c>
      <c r="CE163" s="62">
        <f t="shared" si="148"/>
        <v>137.55906339137317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19.003443189813662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4.7719980840473242E-14</v>
      </c>
      <c r="CN163" s="24">
        <f t="shared" si="172"/>
        <v>19.003443189813709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-8.5265128291212022E-14</v>
      </c>
      <c r="O164" s="14">
        <f>N164*VLOOKUP('Données projet'!$B$9,Paramètres!$A$1:$I$89,3,0)*VLOOKUP('Données projet'!$B$9,Paramètres!$A$1:$I$89,5,0)</f>
        <v>-7.4487616075202836E-14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98.272553716009838</v>
      </c>
      <c r="T164" s="62">
        <f t="shared" si="142"/>
        <v>68.315893120570763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16.8876033485733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16.8876033485733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85.701306948362742</v>
      </c>
      <c r="AO164" s="62">
        <f t="shared" si="144"/>
        <v>118.59281525447091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22.386090369348985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7.7427560041751232E-12</v>
      </c>
      <c r="AX164" s="23">
        <f t="shared" si="166"/>
        <v>22.386090369356726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71.420552731458145</v>
      </c>
      <c r="BJ164" s="62">
        <f t="shared" si="146"/>
        <v>436.74855282454985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6.9228763770031438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2.40651549768636E-20</v>
      </c>
      <c r="BS164" s="24">
        <f t="shared" si="169"/>
        <v>6.9228763770031438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145.14303899407867</v>
      </c>
      <c r="CE164" s="62">
        <f t="shared" si="148"/>
        <v>137.55906339137317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18.63079725981725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3.3743122050390752E-14</v>
      </c>
      <c r="CN164" s="24">
        <f t="shared" si="172"/>
        <v>18.630797259817282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-8.5265128291212022E-14</v>
      </c>
      <c r="O165" s="14">
        <f>N165*VLOOKUP('Données projet'!$B$9,Paramètres!$A$1:$I$89,3,0)*VLOOKUP('Données projet'!$B$9,Paramètres!$A$1:$I$89,5,0)</f>
        <v>-7.4487616075202836E-14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98.272553716009838</v>
      </c>
      <c r="T165" s="62">
        <f t="shared" si="142"/>
        <v>68.315893120570763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16.55644774732874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16.55644774732874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85.701306948362742</v>
      </c>
      <c r="AO165" s="62">
        <f t="shared" si="144"/>
        <v>118.59281525447091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21.947112791372938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5.474955275625086E-12</v>
      </c>
      <c r="AX165" s="23">
        <f t="shared" si="166"/>
        <v>21.947112791378412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71.420552731458145</v>
      </c>
      <c r="BJ165" s="62">
        <f t="shared" si="146"/>
        <v>436.74855282454985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6.7871229937877615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1.7016634274445444E-20</v>
      </c>
      <c r="BS165" s="24">
        <f t="shared" si="169"/>
        <v>6.7871229937877615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145.14303899407867</v>
      </c>
      <c r="CE165" s="62">
        <f t="shared" si="148"/>
        <v>137.55906339137317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18.265458689216494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2.3859990420236621E-14</v>
      </c>
      <c r="CN165" s="24">
        <f t="shared" si="172"/>
        <v>18.265458689216519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-8.5265128291212022E-14</v>
      </c>
      <c r="O166" s="14">
        <f>N166*VLOOKUP('Données projet'!$B$9,Paramètres!$A$1:$I$89,3,0)*VLOOKUP('Données projet'!$B$9,Paramètres!$A$1:$I$89,5,0)</f>
        <v>-7.4487616075202836E-14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98.272553716009838</v>
      </c>
      <c r="T166" s="62">
        <f t="shared" si="142"/>
        <v>68.315893120570763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16.231785905439612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16.231785905439612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85.701306948362742</v>
      </c>
      <c r="AO166" s="62">
        <f t="shared" si="144"/>
        <v>118.59281525447091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21.51674329595112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3.8713780020875616E-12</v>
      </c>
      <c r="AX166" s="23">
        <f t="shared" si="166"/>
        <v>21.516743295954992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71.420552731458145</v>
      </c>
      <c r="BJ166" s="62">
        <f t="shared" si="146"/>
        <v>436.74855282454985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6.6540316516158446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1.20325774884318E-20</v>
      </c>
      <c r="BS166" s="24">
        <f t="shared" si="169"/>
        <v>6.6540316516158446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145.14303899407867</v>
      </c>
      <c r="CE166" s="62">
        <f t="shared" si="148"/>
        <v>137.55906339137317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17.907284185150694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1.6871561025195376E-14</v>
      </c>
      <c r="CN166" s="24">
        <f t="shared" si="172"/>
        <v>17.907284185150711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-8.5265128291212022E-14</v>
      </c>
      <c r="O167" s="14">
        <f>N167*VLOOKUP('Données projet'!$B$9,Paramètres!$A$1:$I$89,3,0)*VLOOKUP('Données projet'!$B$9,Paramètres!$A$1:$I$89,5,0)</f>
        <v>-7.4487616075202836E-14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98.272553716009838</v>
      </c>
      <c r="T167" s="62">
        <f t="shared" si="142"/>
        <v>68.315893120570763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15.913490484245759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15.913490484245759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85.701306948362742</v>
      </c>
      <c r="AO167" s="62">
        <f t="shared" si="144"/>
        <v>118.59281525447091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21.094813083835049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2.737477637812543E-12</v>
      </c>
      <c r="AX167" s="23">
        <f t="shared" si="166"/>
        <v>21.094813083837789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71.420552731458145</v>
      </c>
      <c r="BJ167" s="62">
        <f t="shared" si="146"/>
        <v>436.74855282454985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6.5235501494862165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8.5083171372227221E-21</v>
      </c>
      <c r="BS167" s="24">
        <f t="shared" si="169"/>
        <v>6.5235501494862165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145.14303899407867</v>
      </c>
      <c r="CE167" s="62">
        <f t="shared" si="148"/>
        <v>137.55906339137317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17.556133264644746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1.192999521011831E-14</v>
      </c>
      <c r="CN167" s="24">
        <f t="shared" si="172"/>
        <v>17.556133264644757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-8.5265128291212022E-14</v>
      </c>
      <c r="O168" s="14">
        <f>N168*VLOOKUP('Données projet'!$B$9,Paramètres!$A$1:$I$89,3,0)*VLOOKUP('Données projet'!$B$9,Paramètres!$A$1:$I$89,5,0)</f>
        <v>-7.4487616075202836E-14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98.272553716009838</v>
      </c>
      <c r="T168" s="62">
        <f t="shared" si="142"/>
        <v>68.315893120570763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15.601436642120481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15.601436642120481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85.701306948362742</v>
      </c>
      <c r="AO168" s="62">
        <f t="shared" si="144"/>
        <v>118.59281525447091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20.681156665826556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1.9356890010437808E-12</v>
      </c>
      <c r="AX168" s="23">
        <f t="shared" si="166"/>
        <v>20.681156665828492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71.420552731458145</v>
      </c>
      <c r="BJ168" s="62">
        <f t="shared" si="146"/>
        <v>436.74855282454985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6.3956273100274919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6.0162887442158999E-21</v>
      </c>
      <c r="BS168" s="24">
        <f t="shared" si="169"/>
        <v>6.3956273100274919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145.14303899407867</v>
      </c>
      <c r="CE168" s="62">
        <f t="shared" si="148"/>
        <v>137.55906339137317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17.211868199509009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8.4357805125976881E-15</v>
      </c>
      <c r="CN168" s="24">
        <f t="shared" si="172"/>
        <v>17.211868199509016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-8.5265128291212022E-14</v>
      </c>
      <c r="O169" s="14">
        <f>N169*VLOOKUP('Données projet'!$B$9,Paramètres!$A$1:$I$89,3,0)*VLOOKUP('Données projet'!$B$9,Paramètres!$A$1:$I$89,5,0)</f>
        <v>-7.4487616075202836E-14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98.272553716009838</v>
      </c>
      <c r="T169" s="62">
        <f t="shared" si="142"/>
        <v>68.315893120570763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15.295501985505229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15.295501985505229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85.701306948362742</v>
      </c>
      <c r="AO169" s="62">
        <f t="shared" si="144"/>
        <v>118.59281525447091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20.275611797869708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1.3687388189062715E-12</v>
      </c>
      <c r="AX169" s="23">
        <f t="shared" si="166"/>
        <v>20.275611797871075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71.420552731458145</v>
      </c>
      <c r="BJ169" s="62">
        <f t="shared" si="146"/>
        <v>436.74855282454985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6.2702129594253249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4.2541585686113611E-21</v>
      </c>
      <c r="BS169" s="24">
        <f t="shared" si="169"/>
        <v>6.2702129594253249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145.14303899407867</v>
      </c>
      <c r="CE169" s="62">
        <f t="shared" si="148"/>
        <v>137.55906339137317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16.874353962319628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5.9649976050591552E-15</v>
      </c>
      <c r="CN169" s="24">
        <f t="shared" si="172"/>
        <v>16.874353962319635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-8.5265128291212022E-14</v>
      </c>
      <c r="O170" s="14">
        <f>N170*VLOOKUP('Données projet'!$B$9,Paramètres!$A$1:$I$89,3,0)*VLOOKUP('Données projet'!$B$9,Paramètres!$A$1:$I$89,5,0)</f>
        <v>-7.4487616075202836E-14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98.272553716009838</v>
      </c>
      <c r="T170" s="62">
        <f t="shared" si="142"/>
        <v>68.315893120570763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14.995566520904488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14.995566520904488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85.701306948362742</v>
      </c>
      <c r="AO170" s="62">
        <f t="shared" si="144"/>
        <v>118.59281525447091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19.878019417415548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9.678445005218904E-13</v>
      </c>
      <c r="AX170" s="23">
        <f t="shared" si="166"/>
        <v>19.878019417416514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71.420552731458145</v>
      </c>
      <c r="BJ170" s="62">
        <f t="shared" si="146"/>
        <v>436.74855282454985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6.1472579077432661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3.0081443721079499E-21</v>
      </c>
      <c r="BS170" s="24">
        <f t="shared" si="169"/>
        <v>6.1472579077432661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145.14303899407867</v>
      </c>
      <c r="CE170" s="62">
        <f t="shared" si="148"/>
        <v>137.55906339137317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16.543458173458173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4.217890256298844E-15</v>
      </c>
      <c r="CN170" s="24">
        <f t="shared" si="172"/>
        <v>16.543458173458177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-8.5265128291212022E-14</v>
      </c>
      <c r="O171" s="14">
        <f>N171*VLOOKUP('Données projet'!$B$9,Paramètres!$A$1:$I$89,3,0)*VLOOKUP('Données projet'!$B$9,Paramètres!$A$1:$I$89,5,0)</f>
        <v>-7.4487616075202836E-14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98.272553716009838</v>
      </c>
      <c r="T171" s="62">
        <f t="shared" si="142"/>
        <v>68.315893120570763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14.701512607821996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14.701512607821996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85.701306948362742</v>
      </c>
      <c r="AO171" s="62">
        <f t="shared" si="144"/>
        <v>118.59281525447091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19.488223581034688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6.8436940945313575E-13</v>
      </c>
      <c r="AX171" s="23">
        <f t="shared" si="166"/>
        <v>19.488223581035374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71.420552731458145</v>
      </c>
      <c r="BJ171" s="62">
        <f t="shared" si="146"/>
        <v>436.74855282454985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6.0267139296295165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2.1270792843056805E-21</v>
      </c>
      <c r="BS171" s="24">
        <f t="shared" si="169"/>
        <v>6.0267139296295165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145.14303899407867</v>
      </c>
      <c r="CE171" s="62">
        <f t="shared" si="148"/>
        <v>137.55906339137317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16.21905104918979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2.9824988025295776E-15</v>
      </c>
      <c r="CN171" s="24">
        <f t="shared" si="172"/>
        <v>16.219051049189794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-8.5265128291212022E-14</v>
      </c>
      <c r="O172" s="14">
        <f>N172*VLOOKUP('Données projet'!$B$9,Paramètres!$A$1:$I$89,3,0)*VLOOKUP('Données projet'!$B$9,Paramètres!$A$1:$I$89,5,0)</f>
        <v>-7.4487616075202836E-14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98.272553716009838</v>
      </c>
      <c r="T172" s="62">
        <f t="shared" si="142"/>
        <v>68.315893120570763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14.413224912619876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14.413224912619876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85.701306948362742</v>
      </c>
      <c r="AO172" s="62">
        <f t="shared" si="144"/>
        <v>118.59281525447091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19.106071403253274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4.839222502609452E-13</v>
      </c>
      <c r="AX172" s="23">
        <f t="shared" si="166"/>
        <v>19.106071403253758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71.420552731458145</v>
      </c>
      <c r="BJ172" s="62">
        <f t="shared" si="146"/>
        <v>436.74855282454985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5.9085337454020106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1.504072186053975E-21</v>
      </c>
      <c r="BS172" s="24">
        <f t="shared" si="169"/>
        <v>5.9085337454020106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145.14303899407867</v>
      </c>
      <c r="CE172" s="62">
        <f t="shared" si="148"/>
        <v>137.55906339137317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15.901005350759501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2.108945128149422E-15</v>
      </c>
      <c r="CN172" s="24">
        <f t="shared" si="172"/>
        <v>15.901005350759503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-8.5265128291212022E-14</v>
      </c>
      <c r="O173" s="14">
        <f>N173*VLOOKUP('Données projet'!$B$9,Paramètres!$A$1:$I$89,3,0)*VLOOKUP('Données projet'!$B$9,Paramètres!$A$1:$I$89,5,0)</f>
        <v>-7.4487616075202836E-14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98.272553716009838</v>
      </c>
      <c r="T173" s="62">
        <f t="shared" si="142"/>
        <v>68.315893120570763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14.130590363282538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14.130590363282538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85.701306948362742</v>
      </c>
      <c r="AO173" s="62">
        <f t="shared" si="144"/>
        <v>118.59281525447091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18.73141299658834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3.4218470472656788E-13</v>
      </c>
      <c r="AX173" s="23">
        <f t="shared" si="166"/>
        <v>18.731412996588681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71.420552731458145</v>
      </c>
      <c r="BJ173" s="62">
        <f t="shared" si="146"/>
        <v>436.74855282454985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5.7926710025044112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1.0635396421528403E-21</v>
      </c>
      <c r="BS173" s="24">
        <f t="shared" si="169"/>
        <v>5.7926710025044112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145.14303899407867</v>
      </c>
      <c r="CE173" s="62">
        <f t="shared" si="148"/>
        <v>137.55906339137317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15.589196334486708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1.4912494012647888E-15</v>
      </c>
      <c r="CN173" s="24">
        <f t="shared" si="172"/>
        <v>15.58919633448671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-8.5265128291212022E-14</v>
      </c>
      <c r="O174" s="14">
        <f>N174*VLOOKUP('Données projet'!$B$9,Paramètres!$A$1:$I$89,3,0)*VLOOKUP('Données projet'!$B$9,Paramètres!$A$1:$I$89,5,0)</f>
        <v>-7.4487616075202836E-14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98.272553716009838</v>
      </c>
      <c r="T174" s="62">
        <f t="shared" si="142"/>
        <v>68.315893120570763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13.853498105067652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13.853498105067652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85.701306948362742</v>
      </c>
      <c r="AO174" s="62">
        <f t="shared" si="144"/>
        <v>118.59281525447091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18.364101412759041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2.419611251304726E-13</v>
      </c>
      <c r="AX174" s="23">
        <f t="shared" si="166"/>
        <v>18.364101412759283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71.420552731458145</v>
      </c>
      <c r="BJ174" s="62">
        <f t="shared" si="146"/>
        <v>436.74855282454985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5.6790802573257384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7.5203609302698749E-22</v>
      </c>
      <c r="BS174" s="24">
        <f t="shared" si="169"/>
        <v>5.6790802573257384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145.14303899407867</v>
      </c>
      <c r="CE174" s="62">
        <f t="shared" si="148"/>
        <v>137.55906339137317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15.283501702838304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1.054472564074711E-15</v>
      </c>
      <c r="CN174" s="24">
        <f t="shared" si="172"/>
        <v>15.283501702838306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-8.5265128291212022E-14</v>
      </c>
      <c r="O175" s="14">
        <f>N175*VLOOKUP('Données projet'!$B$9,Paramètres!$A$1:$I$89,3,0)*VLOOKUP('Données projet'!$B$9,Paramètres!$A$1:$I$89,5,0)</f>
        <v>-7.4487616075202836E-14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98.272553716009838</v>
      </c>
      <c r="T175" s="62">
        <f t="shared" si="142"/>
        <v>68.315893120570763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13.581839457026771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13.581839457026771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85.701306948362742</v>
      </c>
      <c r="AO175" s="62">
        <f t="shared" si="144"/>
        <v>118.59281525447091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18.003992585050693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1.7109235236328394E-13</v>
      </c>
      <c r="AX175" s="23">
        <f t="shared" si="166"/>
        <v>18.003992585050863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71.420552731458145</v>
      </c>
      <c r="BJ175" s="62">
        <f t="shared" si="146"/>
        <v>436.74855282454985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5.567716957376506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5.3176982107642013E-22</v>
      </c>
      <c r="BS175" s="24">
        <f t="shared" si="169"/>
        <v>5.567716957376506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145.14303899407867</v>
      </c>
      <c r="CE175" s="62">
        <f t="shared" si="148"/>
        <v>137.55906339137317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14.983801556461211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7.456247006323944E-16</v>
      </c>
      <c r="CN175" s="24">
        <f t="shared" si="172"/>
        <v>14.983801556461211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-8.5265128291212022E-14</v>
      </c>
      <c r="O176" s="14">
        <f>N176*VLOOKUP('Données projet'!$B$9,Paramètres!$A$1:$I$89,3,0)*VLOOKUP('Données projet'!$B$9,Paramètres!$A$1:$I$89,5,0)</f>
        <v>-7.4487616075202836E-14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98.272553716009838</v>
      </c>
      <c r="T176" s="62">
        <f t="shared" si="142"/>
        <v>68.315893120570763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13.315507869378557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13.315507869378557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85.701306948362742</v>
      </c>
      <c r="AO176" s="62">
        <f t="shared" si="144"/>
        <v>118.59281525447091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17.650945271809007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1.209805625652363E-13</v>
      </c>
      <c r="AX176" s="23">
        <f t="shared" si="166"/>
        <v>17.650945271809128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71.420552731458145</v>
      </c>
      <c r="BJ176" s="62">
        <f t="shared" si="146"/>
        <v>436.74855282454985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5.4585374238143727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3.7601804651349374E-22</v>
      </c>
      <c r="BS176" s="24">
        <f t="shared" si="169"/>
        <v>5.4585374238143727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145.14303899407867</v>
      </c>
      <c r="CE176" s="62">
        <f t="shared" si="148"/>
        <v>137.55906339137317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14.689978347155533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5.2723628203735551E-16</v>
      </c>
      <c r="CN176" s="24">
        <f t="shared" si="172"/>
        <v>14.689978347155533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-8.5265128291212022E-14</v>
      </c>
      <c r="O177" s="14">
        <f>N177*VLOOKUP('Données projet'!$B$9,Paramètres!$A$1:$I$89,3,0)*VLOOKUP('Données projet'!$B$9,Paramètres!$A$1:$I$89,5,0)</f>
        <v>-7.4487616075202836E-14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98.272553716009838</v>
      </c>
      <c r="T177" s="62">
        <f t="shared" si="142"/>
        <v>68.315893120570763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13.054398881717896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13.054398881717896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85.701306948362742</v>
      </c>
      <c r="AO177" s="62">
        <f t="shared" si="144"/>
        <v>118.59281525447091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17.304821001042392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8.5546176181641969E-14</v>
      </c>
      <c r="AX177" s="23">
        <f t="shared" si="166"/>
        <v>17.304821001042477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71.420552731458145</v>
      </c>
      <c r="BJ177" s="62">
        <f t="shared" si="146"/>
        <v>436.74855282454985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5.3514988343124523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2.6588491053821007E-22</v>
      </c>
      <c r="BS177" s="24">
        <f t="shared" si="169"/>
        <v>5.3514988343124523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145.14303899407867</v>
      </c>
      <c r="CE177" s="62">
        <f t="shared" si="148"/>
        <v>137.55906339137317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14.401916831769878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3.728123503161972E-16</v>
      </c>
      <c r="CN177" s="24">
        <f t="shared" si="172"/>
        <v>14.401916831769878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-8.5265128291212022E-14</v>
      </c>
      <c r="O178" s="14">
        <f>N178*VLOOKUP('Données projet'!$B$9,Paramètres!$A$1:$I$89,3,0)*VLOOKUP('Données projet'!$B$9,Paramètres!$A$1:$I$89,5,0)</f>
        <v>-7.4487616075202836E-14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98.272553716009838</v>
      </c>
      <c r="T178" s="62">
        <f t="shared" si="142"/>
        <v>68.315893120570763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12.798410082044505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12.798410082044505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85.701306948362742</v>
      </c>
      <c r="AO178" s="62">
        <f t="shared" si="144"/>
        <v>118.59281525447091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16.965484016110551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6.049028128261815E-14</v>
      </c>
      <c r="AX178" s="23">
        <f t="shared" si="166"/>
        <v>16.965484016110612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71.420552731458145</v>
      </c>
      <c r="BJ178" s="62">
        <f t="shared" si="146"/>
        <v>436.74855282454985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5.246559206263572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1.8800902325674687E-22</v>
      </c>
      <c r="BS178" s="24">
        <f t="shared" si="169"/>
        <v>5.246559206263572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145.14303899407867</v>
      </c>
      <c r="CE178" s="62">
        <f t="shared" si="148"/>
        <v>137.55906339137317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14.11950402700076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2.6361814101867775E-16</v>
      </c>
      <c r="CN178" s="24">
        <f t="shared" si="172"/>
        <v>14.11950402700076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-8.5265128291212022E-14</v>
      </c>
      <c r="O179" s="14">
        <f>N179*VLOOKUP('Données projet'!$B$9,Paramètres!$A$1:$I$89,3,0)*VLOOKUP('Données projet'!$B$9,Paramètres!$A$1:$I$89,5,0)</f>
        <v>-7.4487616075202836E-14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98.272553716009838</v>
      </c>
      <c r="T179" s="62">
        <f t="shared" si="142"/>
        <v>68.315893120570763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12.547441066594958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12.547441066594958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85.701306948362742</v>
      </c>
      <c r="AO179" s="62">
        <f t="shared" si="144"/>
        <v>118.59281525447091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16.632801222478101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4.2773088090820985E-14</v>
      </c>
      <c r="AX179" s="23">
        <f t="shared" si="166"/>
        <v>16.632801222478143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71.420552731458145</v>
      </c>
      <c r="BJ179" s="62">
        <f t="shared" si="146"/>
        <v>436.74855282454985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5.1436773803138767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1.3294245526910503E-22</v>
      </c>
      <c r="BS179" s="24">
        <f t="shared" si="169"/>
        <v>5.1436773803138767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145.14303899407867</v>
      </c>
      <c r="CE179" s="62">
        <f t="shared" si="148"/>
        <v>137.55906339137317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13.842629165078362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1.864061751580986E-16</v>
      </c>
      <c r="CN179" s="24">
        <f t="shared" si="172"/>
        <v>13.842629165078362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-8.5265128291212022E-14</v>
      </c>
      <c r="O180" s="14">
        <f>N180*VLOOKUP('Données projet'!$B$9,Paramètres!$A$1:$I$89,3,0)*VLOOKUP('Données projet'!$B$9,Paramètres!$A$1:$I$89,5,0)</f>
        <v>-7.4487616075202836E-14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98.272553716009838</v>
      </c>
      <c r="T180" s="62">
        <f t="shared" si="142"/>
        <v>68.315893120570763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12.301393400462393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12.301393400462393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85.701306948362742</v>
      </c>
      <c r="AO180" s="62">
        <f t="shared" si="144"/>
        <v>118.59281525447091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16.306642135512316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3.0245140641309075E-14</v>
      </c>
      <c r="AX180" s="23">
        <f t="shared" si="166"/>
        <v>16.306642135512348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71.420552731458145</v>
      </c>
      <c r="BJ180" s="62">
        <f t="shared" si="146"/>
        <v>436.74855282454985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5.0428130042193375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9.4004511628373436E-23</v>
      </c>
      <c r="BS180" s="24">
        <f t="shared" si="169"/>
        <v>5.0428130042193375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145.14303899407867</v>
      </c>
      <c r="CE180" s="62">
        <f t="shared" si="148"/>
        <v>137.55906339137317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13.571183650321272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1.3180907050933888E-16</v>
      </c>
      <c r="CN180" s="24">
        <f t="shared" si="172"/>
        <v>13.571183650321272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-8.5265128291212022E-14</v>
      </c>
      <c r="O181" s="14">
        <f>N181*VLOOKUP('Données projet'!$B$9,Paramètres!$A$1:$I$89,3,0)*VLOOKUP('Données projet'!$B$9,Paramètres!$A$1:$I$89,5,0)</f>
        <v>-7.4487616075202836E-14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98.272553716009838</v>
      </c>
      <c r="T181" s="62">
        <f t="shared" si="142"/>
        <v>68.315893120570763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12.06017057898843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12.06017057898843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85.701306948362742</v>
      </c>
      <c r="AO181" s="62">
        <f t="shared" si="144"/>
        <v>118.59281525447091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15.98687882930453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2.1386544045410492E-14</v>
      </c>
      <c r="AX181" s="23">
        <f t="shared" si="166"/>
        <v>15.986878829304551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71.420552731458145</v>
      </c>
      <c r="BJ181" s="62">
        <f t="shared" si="146"/>
        <v>436.74855282454985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4.9439265170188174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6.6471227634552517E-23</v>
      </c>
      <c r="BS181" s="24">
        <f t="shared" si="169"/>
        <v>4.9439265170188174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145.14303899407867</v>
      </c>
      <c r="CE181" s="62">
        <f t="shared" si="148"/>
        <v>137.55906339137317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13.305061016543153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9.3203087579049301E-17</v>
      </c>
      <c r="CN181" s="24">
        <f t="shared" si="172"/>
        <v>13.305061016543153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-8.5265128291212022E-14</v>
      </c>
      <c r="O182" s="14">
        <f>N182*VLOOKUP('Données projet'!$B$9,Paramètres!$A$1:$I$89,3,0)*VLOOKUP('Données projet'!$B$9,Paramètres!$A$1:$I$89,5,0)</f>
        <v>-7.4487616075202836E-14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98.272553716009838</v>
      </c>
      <c r="T182" s="62">
        <f t="shared" si="142"/>
        <v>68.315893120570763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11.823677989912177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11.823677989912177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85.701306948362742</v>
      </c>
      <c r="AO182" s="62">
        <f t="shared" si="144"/>
        <v>118.59281525447091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15.673385886495119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1.5122570320654537E-14</v>
      </c>
      <c r="AX182" s="23">
        <f t="shared" si="166"/>
        <v>15.673385886495135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71.420552731458145</v>
      </c>
      <c r="BJ182" s="62">
        <f t="shared" si="146"/>
        <v>436.74855282454985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4.8469791335174977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4.7002255814186718E-23</v>
      </c>
      <c r="BS182" s="24">
        <f t="shared" si="169"/>
        <v>4.8469791335174977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145.14303899407867</v>
      </c>
      <c r="CE182" s="62">
        <f t="shared" si="148"/>
        <v>137.55906339137317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13.044156885294644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6.5904535254669438E-17</v>
      </c>
      <c r="CN182" s="24">
        <f t="shared" si="172"/>
        <v>13.044156885294644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-8.5265128291212022E-14</v>
      </c>
      <c r="O183" s="14">
        <f>N183*VLOOKUP('Données projet'!$B$9,Paramètres!$A$1:$I$89,3,0)*VLOOKUP('Données projet'!$B$9,Paramètres!$A$1:$I$89,5,0)</f>
        <v>-7.4487616075202836E-14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98.272553716009838</v>
      </c>
      <c r="T183" s="62">
        <f t="shared" si="142"/>
        <v>68.315893120570763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11.591822876261475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11.591822876261475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85.701306948362742</v>
      </c>
      <c r="AO183" s="62">
        <f t="shared" si="144"/>
        <v>118.59281525447091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15.366040349082386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1.0693272022705246E-14</v>
      </c>
      <c r="AX183" s="23">
        <f t="shared" si="166"/>
        <v>15.366040349082397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71.420552731458145</v>
      </c>
      <c r="BJ183" s="62">
        <f t="shared" si="146"/>
        <v>436.74855282454985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4.7519328290745744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3.3235613817276258E-23</v>
      </c>
      <c r="BS183" s="24">
        <f t="shared" si="169"/>
        <v>4.7519328290745744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145.14303899407867</v>
      </c>
      <c r="CE183" s="62">
        <f t="shared" si="148"/>
        <v>137.55906339137317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12.788368924924111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4.660154378952465E-17</v>
      </c>
      <c r="CN183" s="24">
        <f t="shared" si="172"/>
        <v>12.788368924924111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-8.5265128291212022E-14</v>
      </c>
      <c r="O184" s="14">
        <f>N184*VLOOKUP('Données projet'!$B$9,Paramètres!$A$1:$I$89,3,0)*VLOOKUP('Données projet'!$B$9,Paramètres!$A$1:$I$89,5,0)</f>
        <v>-7.4487616075202836E-14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98.272553716009838</v>
      </c>
      <c r="T184" s="62">
        <f t="shared" si="142"/>
        <v>68.315893120570763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11.364514299971805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11.364514299971805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85.701306948362742</v>
      </c>
      <c r="AO184" s="62">
        <f t="shared" si="144"/>
        <v>118.59281525447091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15.06472167019605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7.5612851603272687E-15</v>
      </c>
      <c r="AX184" s="23">
        <f t="shared" si="166"/>
        <v>15.064721670196057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71.420552731458145</v>
      </c>
      <c r="BJ184" s="62">
        <f t="shared" si="146"/>
        <v>436.74855282454985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4.6587503246892554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2.3501127907093359E-23</v>
      </c>
      <c r="BS184" s="24">
        <f t="shared" si="169"/>
        <v>4.6587503246892554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145.14303899407867</v>
      </c>
      <c r="CE184" s="62">
        <f t="shared" si="148"/>
        <v>137.55906339137317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12.537596810441194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3.2952267627334719E-17</v>
      </c>
      <c r="CN184" s="24">
        <f t="shared" si="172"/>
        <v>12.537596810441194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-8.5265128291212022E-14</v>
      </c>
      <c r="O185" s="14">
        <f>N185*VLOOKUP('Données projet'!$B$9,Paramètres!$A$1:$I$89,3,0)*VLOOKUP('Données projet'!$B$9,Paramètres!$A$1:$I$89,5,0)</f>
        <v>-7.4487616075202836E-14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98.272553716009838</v>
      </c>
      <c r="T185" s="62">
        <f t="shared" si="142"/>
        <v>68.315893120570763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11.141663106218635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11.141663106218635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85.701306948362742</v>
      </c>
      <c r="AO185" s="62">
        <f t="shared" si="144"/>
        <v>118.59281525447091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14.769311666816428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5.3466360113526231E-15</v>
      </c>
      <c r="AX185" s="23">
        <f t="shared" si="166"/>
        <v>14.769311666816433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71.420552731458145</v>
      </c>
      <c r="BJ185" s="62">
        <f t="shared" si="146"/>
        <v>436.74855282454985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4.5673950723792167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1.6617806908638129E-23</v>
      </c>
      <c r="BS185" s="24">
        <f t="shared" si="169"/>
        <v>4.5673950723792167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145.14303899407867</v>
      </c>
      <c r="CE185" s="62">
        <f t="shared" si="148"/>
        <v>137.55906339137317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12.291742184167401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2.3300771894762325E-17</v>
      </c>
      <c r="CN185" s="24">
        <f t="shared" si="172"/>
        <v>12.291742184167401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-8.5265128291212022E-14</v>
      </c>
      <c r="O186" s="14">
        <f>N186*VLOOKUP('Données projet'!$B$9,Paramètres!$A$1:$I$89,3,0)*VLOOKUP('Données projet'!$B$9,Paramètres!$A$1:$I$89,5,0)</f>
        <v>-7.4487616075202836E-14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98.272553716009838</v>
      </c>
      <c r="T186" s="62">
        <f t="shared" si="142"/>
        <v>68.315893120570763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10.923181888449159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10.923181888449159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85.701306948362742</v>
      </c>
      <c r="AO186" s="62">
        <f t="shared" si="144"/>
        <v>118.59281525447091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14.47969447342077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3.7806425801636344E-15</v>
      </c>
      <c r="AX186" s="23">
        <f t="shared" si="166"/>
        <v>14.479694473420773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71.420552731458145</v>
      </c>
      <c r="BJ186" s="62">
        <f t="shared" si="146"/>
        <v>436.74855282454985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4.4778312408457763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1.1750563953546679E-23</v>
      </c>
      <c r="BS186" s="24">
        <f t="shared" si="169"/>
        <v>4.4778312408457763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145.14303899407867</v>
      </c>
      <c r="CE186" s="62">
        <f t="shared" si="148"/>
        <v>137.55906339137317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12.050708617158321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1.647613381366736E-17</v>
      </c>
      <c r="CN186" s="24">
        <f t="shared" si="172"/>
        <v>12.050708617158321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-8.5265128291212022E-14</v>
      </c>
      <c r="O187" s="14">
        <f>N187*VLOOKUP('Données projet'!$B$9,Paramètres!$A$1:$I$89,3,0)*VLOOKUP('Données projet'!$B$9,Paramètres!$A$1:$I$89,5,0)</f>
        <v>-7.4487616075202836E-14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98.272553716009838</v>
      </c>
      <c r="T187" s="62">
        <f t="shared" si="142"/>
        <v>68.315893120570763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10.708984954099758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10.708984954099758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85.701306948362742</v>
      </c>
      <c r="AO187" s="62">
        <f t="shared" si="144"/>
        <v>118.59281525447091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14.195756496538555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2.6733180056763115E-15</v>
      </c>
      <c r="AX187" s="23">
        <f t="shared" si="166"/>
        <v>14.195756496538559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71.420552731458145</v>
      </c>
      <c r="BJ187" s="62">
        <f t="shared" si="146"/>
        <v>436.74855282454985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4.3900237014201631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8.3089034543190646E-24</v>
      </c>
      <c r="BS187" s="24">
        <f t="shared" si="169"/>
        <v>4.3900237014201631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145.14303899407867</v>
      </c>
      <c r="CE187" s="62">
        <f t="shared" si="148"/>
        <v>137.55906339137317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11.81440157138233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1.1650385947381163E-17</v>
      </c>
      <c r="CN187" s="24">
        <f t="shared" si="172"/>
        <v>11.81440157138233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-8.5265128291212022E-14</v>
      </c>
      <c r="O188" s="14">
        <f>N188*VLOOKUP('Données projet'!$B$9,Paramètres!$A$1:$I$89,3,0)*VLOOKUP('Données projet'!$B$9,Paramètres!$A$1:$I$89,5,0)</f>
        <v>-7.4487616075202836E-14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98.272553716009838</v>
      </c>
      <c r="T188" s="62">
        <f t="shared" si="142"/>
        <v>68.315893120570763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10.49898829098572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10.49898829098572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85.701306948362742</v>
      </c>
      <c r="AO188" s="62">
        <f t="shared" si="144"/>
        <v>118.59281525447091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13.917386370197935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1.8903212900818172E-15</v>
      </c>
      <c r="AX188" s="23">
        <f t="shared" si="166"/>
        <v>13.917386370197937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71.420552731458145</v>
      </c>
      <c r="BJ188" s="62">
        <f t="shared" si="146"/>
        <v>436.74855282454985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4.3039380142853751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5.8752819767733397E-24</v>
      </c>
      <c r="BS188" s="24">
        <f t="shared" si="169"/>
        <v>4.3039380142853751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145.14303899407867</v>
      </c>
      <c r="CE188" s="62">
        <f t="shared" si="148"/>
        <v>137.55906339137317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11.582728362640941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8.2380669068336798E-18</v>
      </c>
      <c r="CN188" s="24">
        <f t="shared" si="172"/>
        <v>11.582728362640941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-8.5265128291212022E-14</v>
      </c>
      <c r="O189" s="14">
        <f>N189*VLOOKUP('Données projet'!$B$9,Paramètres!$A$1:$I$89,3,0)*VLOOKUP('Données projet'!$B$9,Paramètres!$A$1:$I$89,5,0)</f>
        <v>-7.4487616075202836E-14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98.272553716009838</v>
      </c>
      <c r="T189" s="62">
        <f t="shared" si="142"/>
        <v>68.315893120570763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10.29310953435003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10.29310953435003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85.701306948362742</v>
      </c>
      <c r="AO189" s="62">
        <f t="shared" si="144"/>
        <v>118.59281525447091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13.644474912245844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1.3366590028381558E-15</v>
      </c>
      <c r="AX189" s="23">
        <f t="shared" si="166"/>
        <v>13.644474912245846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71.420552731458145</v>
      </c>
      <c r="BJ189" s="62">
        <f t="shared" si="146"/>
        <v>436.74855282454985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4.2195404149682165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4.1544517271595323E-24</v>
      </c>
      <c r="BS189" s="24">
        <f t="shared" si="169"/>
        <v>4.2195404149682165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145.14303899407867</v>
      </c>
      <c r="CE189" s="62">
        <f t="shared" si="148"/>
        <v>137.55906339137317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11.355598124216264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5.8251929736905813E-18</v>
      </c>
      <c r="CN189" s="24">
        <f t="shared" si="172"/>
        <v>11.355598124216264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-8.5265128291212022E-14</v>
      </c>
      <c r="O190" s="14">
        <f>N190*VLOOKUP('Données projet'!$B$9,Paramètres!$A$1:$I$89,3,0)*VLOOKUP('Données projet'!$B$9,Paramètres!$A$1:$I$89,5,0)</f>
        <v>-7.4487616075202836E-14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98.272553716009838</v>
      </c>
      <c r="T190" s="62">
        <f t="shared" si="142"/>
        <v>68.315893120570763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10.091267934558324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10.091267934558324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85.701306948362742</v>
      </c>
      <c r="AO190" s="62">
        <f t="shared" si="144"/>
        <v>118.59281525447091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13.37691508152464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9.4516064504090859E-16</v>
      </c>
      <c r="AX190" s="23">
        <f t="shared" si="166"/>
        <v>13.376915081524642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71.420552731458145</v>
      </c>
      <c r="BJ190" s="62">
        <f t="shared" si="146"/>
        <v>436.74855282454985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4.1367978010962148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2.9376409883866699E-24</v>
      </c>
      <c r="BS190" s="24">
        <f t="shared" si="169"/>
        <v>4.1367978010962148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145.14303899407867</v>
      </c>
      <c r="CE190" s="62">
        <f t="shared" si="148"/>
        <v>137.55906339137317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11.132921771231331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4.1190334534168399E-18</v>
      </c>
      <c r="CN190" s="24">
        <f t="shared" si="172"/>
        <v>11.132921771231331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-8.5265128291212022E-14</v>
      </c>
      <c r="O191" s="14">
        <f>N191*VLOOKUP('Données projet'!$B$9,Paramètres!$A$1:$I$89,3,0)*VLOOKUP('Données projet'!$B$9,Paramètres!$A$1:$I$89,5,0)</f>
        <v>-7.4487616075202836E-14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98.272553716009838</v>
      </c>
      <c r="T191" s="62">
        <f t="shared" si="142"/>
        <v>68.315893120570763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9.8933843254273128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9.8933843254273128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85.701306948362742</v>
      </c>
      <c r="AO191" s="62">
        <f t="shared" si="144"/>
        <v>118.59281525447091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13.114601935888496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6.6832950141907789E-16</v>
      </c>
      <c r="AX191" s="23">
        <f t="shared" si="166"/>
        <v>13.114601935888496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71.420552731458145</v>
      </c>
      <c r="BJ191" s="62">
        <f t="shared" si="146"/>
        <v>436.74855282454985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4.0556777194142315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2.0772258635797661E-24</v>
      </c>
      <c r="BS191" s="24">
        <f t="shared" si="169"/>
        <v>4.0556777194142315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145.14303899407867</v>
      </c>
      <c r="CE191" s="62">
        <f t="shared" si="148"/>
        <v>137.55906339137317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10.914611965709268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2.9125964868452906E-18</v>
      </c>
      <c r="CN191" s="24">
        <f t="shared" si="172"/>
        <v>10.914611965709268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-8.5265128291212022E-14</v>
      </c>
      <c r="O192" s="14">
        <f>N192*VLOOKUP('Données projet'!$B$9,Paramètres!$A$1:$I$89,3,0)*VLOOKUP('Données projet'!$B$9,Paramètres!$A$1:$I$89,5,0)</f>
        <v>-7.4487616075202836E-14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98.272553716009838</v>
      </c>
      <c r="T192" s="62">
        <f t="shared" si="142"/>
        <v>68.315893120570763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9.6993810931742779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9.6993810931742779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85.701306948362742</v>
      </c>
      <c r="AO192" s="62">
        <f t="shared" si="144"/>
        <v>118.59281525447091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12.857432591043056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4.725803225204543E-16</v>
      </c>
      <c r="AX192" s="23">
        <f t="shared" si="166"/>
        <v>12.857432591043056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71.420552731458145</v>
      </c>
      <c r="BJ192" s="62">
        <f t="shared" si="146"/>
        <v>436.74855282454985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3.9761483530556676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1.4688204941933349E-24</v>
      </c>
      <c r="BS192" s="24">
        <f t="shared" si="169"/>
        <v>3.9761483530556676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145.14303899407867</v>
      </c>
      <c r="CE192" s="62">
        <f t="shared" si="148"/>
        <v>137.55906339137317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10.700583082317658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2.0595167267084199E-18</v>
      </c>
      <c r="CN192" s="24">
        <f t="shared" si="172"/>
        <v>10.700583082317658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-8.5265128291212022E-14</v>
      </c>
      <c r="O193" s="14">
        <f>N193*VLOOKUP('Données projet'!$B$9,Paramètres!$A$1:$I$89,3,0)*VLOOKUP('Données projet'!$B$9,Paramètres!$A$1:$I$89,5,0)</f>
        <v>-7.4487616075202836E-14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98.272553716009838</v>
      </c>
      <c r="T193" s="62">
        <f t="shared" si="142"/>
        <v>68.315893120570763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9.5091821459754371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9.5091821459754371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85.701306948362742</v>
      </c>
      <c r="AO193" s="62">
        <f t="shared" si="144"/>
        <v>118.59281525447091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12.605306180192223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3.3416475070953894E-16</v>
      </c>
      <c r="AX193" s="23">
        <f t="shared" si="166"/>
        <v>12.605306180192223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71.420552731458145</v>
      </c>
      <c r="BJ193" s="62">
        <f t="shared" si="146"/>
        <v>436.74855282454985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3.8981785090632717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1.0386129317898831E-24</v>
      </c>
      <c r="BS193" s="24">
        <f t="shared" si="169"/>
        <v>3.8981785090632717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145.14303899407867</v>
      </c>
      <c r="CE193" s="62">
        <f t="shared" si="148"/>
        <v>137.55906339137317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10.490751174784631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1.4562982434226453E-18</v>
      </c>
      <c r="CN193" s="24">
        <f t="shared" si="172"/>
        <v>10.490751174784631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-8.5265128291212022E-14</v>
      </c>
      <c r="O194" s="14">
        <f>N194*VLOOKUP('Données projet'!$B$9,Paramètres!$A$1:$I$89,3,0)*VLOOKUP('Données projet'!$B$9,Paramètres!$A$1:$I$89,5,0)</f>
        <v>-7.4487616075202836E-14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98.272553716009838</v>
      </c>
      <c r="T194" s="62">
        <f t="shared" si="142"/>
        <v>68.315893120570763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9.3227128841212625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9.3227128841212625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85.701306948362742</v>
      </c>
      <c r="AO194" s="62">
        <f t="shared" si="144"/>
        <v>118.59281525447091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12.358123814476249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2.3629016126022715E-16</v>
      </c>
      <c r="AX194" s="23">
        <f t="shared" si="166"/>
        <v>12.358123814476249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71.420552731458145</v>
      </c>
      <c r="BJ194" s="62">
        <f t="shared" si="146"/>
        <v>436.74855282454985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3.8217376061546577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7.3441024709666747E-25</v>
      </c>
      <c r="BS194" s="24">
        <f t="shared" si="169"/>
        <v>3.8217376061546577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145.14303899407867</v>
      </c>
      <c r="CE194" s="62">
        <f t="shared" si="148"/>
        <v>137.55906339137317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10.285033942973499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1.02975836335421E-18</v>
      </c>
      <c r="CN194" s="24">
        <f t="shared" si="172"/>
        <v>10.285033942973499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-8.5265128291212022E-14</v>
      </c>
      <c r="O195" s="14">
        <f>N195*VLOOKUP('Données projet'!$B$9,Paramètres!$A$1:$I$89,3,0)*VLOOKUP('Données projet'!$B$9,Paramètres!$A$1:$I$89,5,0)</f>
        <v>-7.4487616075202836E-14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98.272553716009838</v>
      </c>
      <c r="T195" s="62">
        <f t="shared" si="142"/>
        <v>68.315893120570763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9.1399001707570289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9.1399001707570289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85.701306948362742</v>
      </c>
      <c r="AO195" s="62">
        <f t="shared" si="144"/>
        <v>118.59281525447091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12.115788544185609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1.6708237535476947E-16</v>
      </c>
      <c r="AX195" s="23">
        <f t="shared" si="166"/>
        <v>12.115788544185609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71.420552731458145</v>
      </c>
      <c r="BJ195" s="62">
        <f t="shared" si="146"/>
        <v>436.74855282454985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3.7467956627277346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5.1930646589494154E-25</v>
      </c>
      <c r="BS195" s="24">
        <f t="shared" si="169"/>
        <v>3.7467956627277346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145.14303899407867</v>
      </c>
      <c r="CE195" s="62">
        <f t="shared" si="148"/>
        <v>137.55906339137317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10.083350700603061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7.2814912171132266E-19</v>
      </c>
      <c r="CN195" s="24">
        <f t="shared" si="172"/>
        <v>10.083350700603061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-8.5265128291212022E-14</v>
      </c>
      <c r="O196" s="14">
        <f>N196*VLOOKUP('Données projet'!$B$9,Paramètres!$A$1:$I$89,3,0)*VLOOKUP('Données projet'!$B$9,Paramètres!$A$1:$I$89,5,0)</f>
        <v>-7.4487616075202836E-14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98.272553716009838</v>
      </c>
      <c r="T196" s="62">
        <f t="shared" si="142"/>
        <v>68.315893120570763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8.9606723031971232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8.9606723031971232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85.701306948362742</v>
      </c>
      <c r="AO196" s="62">
        <f t="shared" si="144"/>
        <v>118.59281525447091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11.878205320735448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1.1814508063011357E-16</v>
      </c>
      <c r="AX196" s="23">
        <f t="shared" si="166"/>
        <v>11.878205320735448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71.420552731458145</v>
      </c>
      <c r="BJ196" s="62">
        <f t="shared" si="146"/>
        <v>436.74855282454985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3.6733232851013415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3.6720512354833373E-25</v>
      </c>
      <c r="BS196" s="24">
        <f t="shared" si="169"/>
        <v>3.6733232851013415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145.14303899407867</v>
      </c>
      <c r="CE196" s="62">
        <f t="shared" si="148"/>
        <v>137.55906339137317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9.8856223436008772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5.1487918167710499E-19</v>
      </c>
      <c r="CN196" s="24">
        <f t="shared" si="172"/>
        <v>9.8856223436008772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-8.5265128291212022E-14</v>
      </c>
      <c r="O197" s="14">
        <f>N197*VLOOKUP('Données projet'!$B$9,Paramètres!$A$1:$I$89,3,0)*VLOOKUP('Données projet'!$B$9,Paramètres!$A$1:$I$89,5,0)</f>
        <v>-7.4487616075202836E-14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98.272553716009838</v>
      </c>
      <c r="T197" s="62">
        <f t="shared" ref="T197:T203" si="204">$T$3</f>
        <v>68.315893120570763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8.7849589848018628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8.7849589848018628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85.701306948362742</v>
      </c>
      <c r="AO197" s="62">
        <f t="shared" ref="AO197:AO203" si="205">$AO$3</f>
        <v>118.59281525447091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11.645280959385689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8.3541187677384736E-17</v>
      </c>
      <c r="AX197" s="23">
        <f t="shared" si="166"/>
        <v>11.645280959385689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71.420552731458145</v>
      </c>
      <c r="BJ197" s="62">
        <f t="shared" ref="BJ197:BJ203" si="206">$BJ$3</f>
        <v>436.74855282454985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3.6012916559864765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2.5965323294747077E-25</v>
      </c>
      <c r="BS197" s="24">
        <f t="shared" si="169"/>
        <v>3.6012916559864765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145.14303899407867</v>
      </c>
      <c r="CE197" s="62">
        <f t="shared" ref="CE197:CE203" si="207">$CE$3</f>
        <v>137.55906339137317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9.691771319077116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3.6407456085566133E-19</v>
      </c>
      <c r="CN197" s="24">
        <f t="shared" si="172"/>
        <v>9.691771319077116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-8.5265128291212022E-14</v>
      </c>
      <c r="O198" s="14">
        <f>N198*VLOOKUP('Données projet'!$B$9,Paramètres!$A$1:$I$89,3,0)*VLOOKUP('Données projet'!$B$9,Paramètres!$A$1:$I$89,5,0)</f>
        <v>-7.4487616075202836E-14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98.272553716009838</v>
      </c>
      <c r="T198" s="62">
        <f t="shared" si="204"/>
        <v>68.315893120570763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8.6126912974057905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8.6126912974057905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85.701306948362742</v>
      </c>
      <c r="AO198" s="62">
        <f t="shared" si="205"/>
        <v>118.59281525447091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11.416924102692166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5.9072540315056787E-17</v>
      </c>
      <c r="AX198" s="23">
        <f t="shared" si="166"/>
        <v>11.416924102692166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71.420552731458145</v>
      </c>
      <c r="BJ198" s="62">
        <f t="shared" si="206"/>
        <v>436.74855282454985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3.5306725231835983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1.8360256177416687E-25</v>
      </c>
      <c r="BS198" s="24">
        <f t="shared" si="169"/>
        <v>3.5306725231835983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145.14303899407867</v>
      </c>
      <c r="CE198" s="62">
        <f t="shared" si="207"/>
        <v>137.55906339137317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9.501721594906817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2.5743959083855249E-19</v>
      </c>
      <c r="CN198" s="24">
        <f t="shared" si="172"/>
        <v>9.501721594906817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-8.5265128291212022E-14</v>
      </c>
      <c r="O199" s="14">
        <f>N199*VLOOKUP('Données projet'!$B$9,Paramètres!$A$1:$I$89,3,0)*VLOOKUP('Données projet'!$B$9,Paramètres!$A$1:$I$89,5,0)</f>
        <v>-7.4487616075202836E-14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98.272553716009838</v>
      </c>
      <c r="T199" s="62">
        <f t="shared" si="204"/>
        <v>68.315893120570763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8.4438016742866413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8.4438016742866413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85.701306948362742</v>
      </c>
      <c r="AO199" s="62">
        <f t="shared" si="205"/>
        <v>118.59281525447091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11.193045184674473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4.1770593838692368E-17</v>
      </c>
      <c r="AX199" s="23">
        <f t="shared" si="166"/>
        <v>11.193045184674473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71.420552731458145</v>
      </c>
      <c r="BJ199" s="62">
        <f t="shared" si="206"/>
        <v>436.74855282454985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3.4614381885015666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1.2982661647373538E-25</v>
      </c>
      <c r="BS199" s="24">
        <f t="shared" si="169"/>
        <v>3.4614381885015666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145.14303899407867</v>
      </c>
      <c r="CE199" s="62">
        <f t="shared" si="207"/>
        <v>137.55906339137317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9.3153986299086107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1.8203728042783067E-19</v>
      </c>
      <c r="CN199" s="24">
        <f t="shared" si="172"/>
        <v>9.3153986299086107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-8.5265128291212022E-14</v>
      </c>
      <c r="O200" s="14">
        <f>N200*VLOOKUP('Données projet'!$B$9,Paramètres!$A$1:$I$89,3,0)*VLOOKUP('Données projet'!$B$9,Paramètres!$A$1:$I$89,5,0)</f>
        <v>-7.4487616075202836E-14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98.272553716009838</v>
      </c>
      <c r="T200" s="62">
        <f t="shared" si="204"/>
        <v>68.315893120570763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8.278223873664361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8.278223873664361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85.701306948362742</v>
      </c>
      <c r="AO200" s="62">
        <f t="shared" si="205"/>
        <v>118.59281525447091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10.973556395686451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2.9536270157528394E-17</v>
      </c>
      <c r="AX200" s="23">
        <f t="shared" si="166"/>
        <v>10.973556395686451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71.420552731458145</v>
      </c>
      <c r="BJ200" s="62">
        <f t="shared" si="206"/>
        <v>436.74855282454985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3.3935614968938754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9.1801280887083434E-26</v>
      </c>
      <c r="BS200" s="24">
        <f t="shared" si="169"/>
        <v>3.3935614968938754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145.14303899407867</v>
      </c>
      <c r="CE200" s="62">
        <f t="shared" si="207"/>
        <v>137.55906339137317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9.1327293446082329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1.2871979541927625E-19</v>
      </c>
      <c r="CN200" s="24">
        <f t="shared" si="172"/>
        <v>9.1327293446082329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-8.5265128291212022E-14</v>
      </c>
      <c r="O201" s="14">
        <f>N201*VLOOKUP('Données projet'!$B$9,Paramètres!$A$1:$I$89,3,0)*VLOOKUP('Données projet'!$B$9,Paramètres!$A$1:$I$89,5,0)</f>
        <v>-7.4487616075202836E-14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98.272553716009838</v>
      </c>
      <c r="T201" s="62">
        <f t="shared" si="204"/>
        <v>68.315893120570763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8.1158929527197969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8.1158929527197969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85.701306948362742</v>
      </c>
      <c r="AO201" s="62">
        <f t="shared" si="205"/>
        <v>118.59281525447091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10.758371647975542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2.0885296919346184E-17</v>
      </c>
      <c r="AX201" s="23">
        <f t="shared" si="166"/>
        <v>10.758371647975542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71.420552731458145</v>
      </c>
      <c r="BJ201" s="62">
        <f t="shared" si="206"/>
        <v>436.74855282454985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3.327015825807917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6.4913308236867692E-26</v>
      </c>
      <c r="BS201" s="24">
        <f t="shared" si="169"/>
        <v>3.327015825807917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145.14303899407867</v>
      </c>
      <c r="CE201" s="62">
        <f t="shared" si="207"/>
        <v>137.55906339137317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8.9536420925753326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9.1018640213915333E-20</v>
      </c>
      <c r="CN201" s="24">
        <f t="shared" si="172"/>
        <v>8.9536420925753326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-8.5265128291212022E-14</v>
      </c>
      <c r="O202" s="14">
        <f>N202*VLOOKUP('Données projet'!$B$9,Paramètres!$A$1:$I$89,3,0)*VLOOKUP('Données projet'!$B$9,Paramètres!$A$1:$I$89,5,0)</f>
        <v>-7.4487616075202836E-14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98.272553716009838</v>
      </c>
      <c r="T202" s="62">
        <f t="shared" si="204"/>
        <v>68.315893120570763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7.9567452421228708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7.9567452421228708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85.701306948362742</v>
      </c>
      <c r="AO202" s="62">
        <f t="shared" si="205"/>
        <v>118.59281525447091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10.547406541917507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1.4768135078764197E-17</v>
      </c>
      <c r="AX202" s="23">
        <f t="shared" si="166"/>
        <v>10.547406541917507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71.420552731458145</v>
      </c>
      <c r="BJ202" s="62">
        <f t="shared" si="206"/>
        <v>436.74855282454985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3.2617750747431029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4.5900640443541717E-26</v>
      </c>
      <c r="BS202" s="24">
        <f t="shared" si="169"/>
        <v>3.2617750747431029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145.14303899407867</v>
      </c>
      <c r="CE202" s="62">
        <f t="shared" si="207"/>
        <v>137.55906339137317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8.7780666323223606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6.4359897709638123E-20</v>
      </c>
      <c r="CN202" s="24">
        <f t="shared" si="172"/>
        <v>8.7780666323223606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-8.5265128291212022E-14</v>
      </c>
      <c r="O203" s="14">
        <f>N203*VLOOKUP('Données projet'!$B$9,Paramètres!$A$1:$I$89,3,0)*VLOOKUP('Données projet'!$B$9,Paramètres!$A$1:$I$89,5,0)</f>
        <v>-7.4487616075202836E-14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98.272553716009838</v>
      </c>
      <c r="T203" s="62">
        <f t="shared" si="204"/>
        <v>68.315893120570763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7.8007183210602316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7.8007183210602316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85.701306948362742</v>
      </c>
      <c r="AO203" s="62">
        <f t="shared" si="205"/>
        <v>118.59281525447091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10.340578332913262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1.0442648459673092E-17</v>
      </c>
      <c r="AX203" s="23">
        <f t="shared" si="166"/>
        <v>10.340578332913262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71.420552731458145</v>
      </c>
      <c r="BJ203" s="62">
        <f t="shared" si="206"/>
        <v>436.74855282454985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3.1978136550137406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3.2456654118433846E-26</v>
      </c>
      <c r="BS203" s="24">
        <f t="shared" si="169"/>
        <v>3.1978136550137406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145.14303899407867</v>
      </c>
      <c r="CE203" s="62">
        <f t="shared" si="207"/>
        <v>137.55906339137317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8.6059340997544922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4.5509320106957666E-20</v>
      </c>
      <c r="CN203" s="24">
        <f t="shared" si="172"/>
        <v>8.6059340997544922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>
        <f>EXP(LN('Données projet'!B88)/'Données projet'!A88)</f>
        <v>1.3622043665537431</v>
      </c>
      <c r="BV205" s="88">
        <f>EXP(LN('Données projet'!B114)/'Données projet'!A114)</f>
        <v>1.1932635389591795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2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3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2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4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4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3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2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3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6" t="s">
        <v>191</v>
      </c>
      <c r="C2" s="317"/>
      <c r="D2" s="317"/>
      <c r="E2" s="317"/>
      <c r="F2" s="317"/>
      <c r="G2" s="31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5"/>
      <c r="C4" s="315"/>
      <c r="D4" s="315"/>
      <c r="E4" s="315"/>
      <c r="F4" s="315"/>
      <c r="G4" s="31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6" t="s">
        <v>271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0.36799999999999999</v>
      </c>
      <c r="C6" s="156">
        <f ca="1">IF(OR('Données projet'!B9="",'Données projet'!C9="",'Données projet'!C9=0%),0,Calculateur!S3)</f>
        <v>98.272553716009838</v>
      </c>
      <c r="D6" s="156">
        <f>IF(OR('Données projet'!B9="",'Données projet'!C9="",'Données projet'!C9=0%),0,Calculateur!T3)</f>
        <v>68.315893120570763</v>
      </c>
      <c r="E6" s="156">
        <f ca="1">MIN(C6,D6)</f>
        <v>68.315893120570763</v>
      </c>
      <c r="F6" s="156">
        <f ca="1">E6*B6</f>
        <v>25.140248668370042</v>
      </c>
      <c r="G6" s="156">
        <f ca="1">F6*(100%-'Données projet'!$C$24)*(100%-'Données projet'!$C$25)*(100%-'Données projet'!$C$26)*(100%-'Données projet'!$C$27)</f>
        <v>22.626223801533037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22.626223801533037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0.27599999999999997</v>
      </c>
      <c r="C7" s="156">
        <f ca="1">IF(OR('Données projet'!B10="",'Données projet'!C10="",'Données projet'!C10=0%),0,Calculateur!AN3)</f>
        <v>85.701306948362742</v>
      </c>
      <c r="D7" s="156">
        <f>IF(OR('Données projet'!B10="",'Données projet'!C10="",'Données projet'!C10=0%),0,Calculateur!AO3)</f>
        <v>118.59281525447091</v>
      </c>
      <c r="E7" s="156">
        <f t="shared" ref="E7:E15" ca="1" si="0">MIN(C7,D7)</f>
        <v>85.701306948362742</v>
      </c>
      <c r="F7" s="156">
        <f t="shared" ref="F7:F15" ca="1" si="1">E7*B7</f>
        <v>23.653560717748114</v>
      </c>
      <c r="G7" s="156">
        <f ca="1">F7*(100%-'Données projet'!$C$24)*(100%-'Données projet'!$C$25)*(100%-'Données projet'!$C$26)*(100%-'Données projet'!$C$27)</f>
        <v>21.288204645973302</v>
      </c>
      <c r="H7" s="164">
        <f>IF(OR('Données projet'!B10="",'Données projet'!C10="",'Données projet'!C10=0%),0,AVERAGE(Calculateur!$AX$3:$AX$33)*B7)</f>
        <v>0.72869164495848493</v>
      </c>
      <c r="I7" s="158">
        <f>H7*(100%-'Données projet'!$C$24)*(100%-'Données projet'!$C$25)*(100%-'Données projet'!$C$26)*(100%-'Données projet'!$C$27)</f>
        <v>0.65582248046263647</v>
      </c>
      <c r="J7" s="159">
        <f>IF(OR('Données projet'!B10="",'Données projet'!C10="",'Données projet'!C10=0%),0,SUM(Calculateur!$AQ$3:$AQ$33)*VLOOKUP('Données projet'!$B$10,Paramètres!$A$1:$I$89,9,0)*B7)</f>
        <v>8.307599999999999</v>
      </c>
      <c r="K7" s="160">
        <f>J7*(100%-'Données projet'!$C$24)*(100%-'Données projet'!$C$25)*(100%-'Données projet'!$C$26)*(100%-'Données projet'!$C$27)</f>
        <v>7.4768399999999993</v>
      </c>
      <c r="L7" s="161">
        <f t="shared" ref="L7:L15" ca="1" si="2">G7+I7+K7</f>
        <v>29.420867126435937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I-214</v>
      </c>
      <c r="B8" s="163">
        <f>'Données projet'!D11</f>
        <v>5.8879999999999999</v>
      </c>
      <c r="C8" s="156">
        <f ca="1">IF(OR('Données projet'!B11="",'Données projet'!C11="",'Données projet'!C11=0%),0,Calculateur!BI3)</f>
        <v>71.420552731458145</v>
      </c>
      <c r="D8" s="156">
        <f>IF(OR('Données projet'!B11="",'Données projet'!C11="",'Données projet'!C11=0%),0,Calculateur!BJ3)</f>
        <v>436.74855282454985</v>
      </c>
      <c r="E8" s="156">
        <f t="shared" ca="1" si="0"/>
        <v>71.420552731458145</v>
      </c>
      <c r="F8" s="156">
        <f t="shared" ca="1" si="1"/>
        <v>420.52421448282553</v>
      </c>
      <c r="G8" s="156">
        <f ca="1">F8*(100%-'Données projet'!$C$24)*(100%-'Données projet'!$C$25)*(100%-'Données projet'!$C$26)*(100%-'Données projet'!$C$27)</f>
        <v>378.471793034543</v>
      </c>
      <c r="H8" s="164">
        <f>IF(OR('Données projet'!B11="",'Données projet'!C11="",'Données projet'!C11=0%),0,AVERAGE(Calculateur!$BS$3:$BS$33)*B8)</f>
        <v>239.69645567375608</v>
      </c>
      <c r="I8" s="158">
        <f>H8*(100%-'Données projet'!$C$24)*(100%-'Données projet'!$C$25)*(100%-'Données projet'!$C$26)*(100%-'Données projet'!$C$27)</f>
        <v>215.72681010638047</v>
      </c>
      <c r="J8" s="159">
        <f>IF(OR('Données projet'!B11="",'Données projet'!C11="",'Données projet'!C11=0%),0,SUM(Calculateur!$BL$3:$BL$33)*VLOOKUP('Données projet'!$B$11,Paramètres!$A$1:$I$89,9,0)*B8)</f>
        <v>2935.2857600000002</v>
      </c>
      <c r="K8" s="160">
        <f>J8*(100%-'Données projet'!$C$24)*(100%-'Données projet'!$C$25)*(100%-'Données projet'!$C$26)*(100%-'Données projet'!$C$27)</f>
        <v>2641.7571840000001</v>
      </c>
      <c r="L8" s="161">
        <f t="shared" ca="1" si="2"/>
        <v>3235.9557871409233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laricio</v>
      </c>
      <c r="B9" s="163">
        <f>'Données projet'!D12</f>
        <v>2.6679999999999997</v>
      </c>
      <c r="C9" s="156">
        <f ca="1">IF(OR('Données projet'!B12="",'Données projet'!C12="",'Données projet'!C12=0%),0,Calculateur!CD3)</f>
        <v>145.14303899407867</v>
      </c>
      <c r="D9" s="156">
        <f>IF(OR('Données projet'!B12="",'Données projet'!C12="",'Données projet'!C12=0%),0,Calculateur!CE3)</f>
        <v>137.55906339137317</v>
      </c>
      <c r="E9" s="156">
        <f t="shared" ca="1" si="0"/>
        <v>137.55906339137317</v>
      </c>
      <c r="F9" s="156">
        <f t="shared" ca="1" si="1"/>
        <v>367.00758112818357</v>
      </c>
      <c r="G9" s="156">
        <f ca="1">F9*(100%-'Données projet'!$C$24)*(100%-'Données projet'!$C$25)*(100%-'Données projet'!$C$26)*(100%-'Données projet'!$C$27)</f>
        <v>330.30682301536524</v>
      </c>
      <c r="H9" s="164">
        <f>IF(OR('Données projet'!B12="",'Données projet'!C12="",'Données projet'!C12=0%),0,AVERAGE(Calculateur!$CN$3:$CN$33)*B9)</f>
        <v>2.8434881773721843</v>
      </c>
      <c r="I9" s="158">
        <f>H9*(100%-'Données projet'!$C$24)*(100%-'Données projet'!$C$25)*(100%-'Données projet'!$C$26)*(100%-'Données projet'!$C$27)</f>
        <v>2.5591393596349659</v>
      </c>
      <c r="J9" s="159">
        <f>IF(OR('Données projet'!B12="",'Données projet'!C12="",'Données projet'!C12=0%),0,SUM(Calculateur!$CG$3:$CG$33)*VLOOKUP('Données projet'!$B$12,Paramètres!$A$1:$I$89,9,0)*B9)</f>
        <v>32.122719999999994</v>
      </c>
      <c r="K9" s="160">
        <f>J9*(100%-'Données projet'!$C$24)*(100%-'Données projet'!$C$25)*(100%-'Données projet'!$C$26)*(100%-'Données projet'!$C$27)</f>
        <v>28.910447999999995</v>
      </c>
      <c r="L9" s="161">
        <f t="shared" ca="1" si="2"/>
        <v>361.77641037500018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836.32560499712724</v>
      </c>
      <c r="G16" s="175">
        <f t="shared" ca="1" si="3"/>
        <v>752.69304449741458</v>
      </c>
      <c r="H16" s="176">
        <f t="shared" si="3"/>
        <v>243.26863549608674</v>
      </c>
      <c r="I16" s="176">
        <f t="shared" si="3"/>
        <v>218.94177194647807</v>
      </c>
      <c r="J16" s="177">
        <f t="shared" si="3"/>
        <v>2975.7160800000001</v>
      </c>
      <c r="K16" s="177">
        <f t="shared" si="3"/>
        <v>2678.144472</v>
      </c>
      <c r="L16" s="178">
        <f t="shared" ca="1" si="3"/>
        <v>3649.7792884438923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I-214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80" zoomScaleNormal="80" workbookViewId="0">
      <selection activeCell="T35" sqref="T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6" t="s">
        <v>272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-2667.6811743983253</v>
      </c>
      <c r="U10" s="190">
        <f>'Données projet'!D9</f>
        <v>0.36799999999999999</v>
      </c>
      <c r="V10" s="189">
        <f>U10*T10</f>
        <v>-981.70667217858374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-2888.7223406037833</v>
      </c>
      <c r="U11" s="190">
        <f>'Données projet'!D10</f>
        <v>0.27599999999999997</v>
      </c>
      <c r="V11" s="189">
        <f t="shared" ref="V11" si="0">U11*T11</f>
        <v>-797.28736600664411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I-214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7793.2672043669463</v>
      </c>
      <c r="U12" s="190">
        <f>'Données projet'!D11</f>
        <v>5.8879999999999999</v>
      </c>
      <c r="V12" s="189">
        <f t="shared" ref="V12:V19" si="1">U12*T12</f>
        <v>45886.75729931258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-1895.4569356548409</v>
      </c>
      <c r="U13" s="190">
        <f>'Données projet'!D12</f>
        <v>2.6679999999999997</v>
      </c>
      <c r="V13" s="189">
        <f t="shared" si="1"/>
        <v>-5057.0791043271147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0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>
        <v>120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3596.51</v>
      </c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119.99999999999991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3599.9999999999973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1</v>
      </c>
      <c r="I20" s="204">
        <v>1798.5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1700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1130.5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484.4</v>
      </c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-3956.0588077084903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168.31990387869408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13</v>
      </c>
      <c r="C25" s="206">
        <v>10</v>
      </c>
      <c r="D25" s="194">
        <f t="shared" si="2"/>
        <v>130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5">
        <f ca="1">T23-T24</f>
        <v>-4124.3787115871846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14</v>
      </c>
      <c r="C26" s="206">
        <v>10</v>
      </c>
      <c r="D26" s="194">
        <f t="shared" si="2"/>
        <v>140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14</v>
      </c>
      <c r="C27" s="206">
        <v>20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14</v>
      </c>
      <c r="C28" s="206">
        <v>30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14</v>
      </c>
      <c r="C29" s="206">
        <v>40</v>
      </c>
      <c r="D29" s="194">
        <f t="shared" si="2"/>
        <v>560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14</v>
      </c>
      <c r="C30" s="206">
        <v>60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14</v>
      </c>
      <c r="C31" s="206">
        <v>80</v>
      </c>
      <c r="D31" s="194">
        <f t="shared" si="2"/>
        <v>1120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14</v>
      </c>
      <c r="C32" s="206">
        <v>80</v>
      </c>
      <c r="D32" s="194">
        <f t="shared" si="2"/>
        <v>1120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14</v>
      </c>
      <c r="C33" s="206">
        <v>90</v>
      </c>
      <c r="D33" s="194">
        <f t="shared" si="2"/>
        <v>1260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176</v>
      </c>
      <c r="C34" s="206">
        <v>100</v>
      </c>
      <c r="D34" s="194">
        <f t="shared" si="2"/>
        <v>17600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3909.52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30</v>
      </c>
      <c r="C54" s="204">
        <v>2</v>
      </c>
      <c r="D54" s="191">
        <f>B54*C54</f>
        <v>60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40</v>
      </c>
      <c r="C55" s="204">
        <v>10</v>
      </c>
      <c r="D55" s="191">
        <f t="shared" ref="D55:D73" si="4">B55*C55</f>
        <v>400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50</v>
      </c>
      <c r="C56" s="204">
        <v>20</v>
      </c>
      <c r="D56" s="191">
        <f t="shared" si="4"/>
        <v>1000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60</v>
      </c>
      <c r="C57" s="204">
        <v>30</v>
      </c>
      <c r="D57" s="191">
        <f t="shared" si="4"/>
        <v>1800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70</v>
      </c>
      <c r="C58" s="204">
        <v>30</v>
      </c>
      <c r="D58" s="191">
        <f t="shared" si="4"/>
        <v>2100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80</v>
      </c>
      <c r="C59" s="204">
        <v>40</v>
      </c>
      <c r="D59" s="191">
        <f t="shared" si="4"/>
        <v>3200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222</v>
      </c>
      <c r="C60" s="204">
        <v>50</v>
      </c>
      <c r="D60" s="191">
        <f t="shared" si="4"/>
        <v>11100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I-214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2241.09</v>
      </c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484</v>
      </c>
      <c r="C85" s="204">
        <v>50</v>
      </c>
      <c r="D85" s="191">
        <f>B85*C85</f>
        <v>24200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3095.52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27</v>
      </c>
      <c r="B116" s="193">
        <f>'Données projet'!D114</f>
        <v>15</v>
      </c>
      <c r="C116" s="204">
        <v>1</v>
      </c>
      <c r="D116" s="191">
        <f>B116*C116</f>
        <v>15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13</v>
      </c>
      <c r="C117" s="204">
        <v>4</v>
      </c>
      <c r="D117" s="191">
        <f t="shared" ref="D117:D135" si="8">B117*C117</f>
        <v>52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23</v>
      </c>
      <c r="C118" s="204">
        <v>10</v>
      </c>
      <c r="D118" s="191">
        <f t="shared" si="8"/>
        <v>230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34</v>
      </c>
      <c r="C119" s="204">
        <v>20</v>
      </c>
      <c r="D119" s="191">
        <f t="shared" si="8"/>
        <v>680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50</v>
      </c>
      <c r="B120" s="193">
        <f>'Données projet'!D118</f>
        <v>79</v>
      </c>
      <c r="C120" s="204">
        <v>20</v>
      </c>
      <c r="D120" s="191">
        <f t="shared" si="8"/>
        <v>1580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60</v>
      </c>
      <c r="B121" s="193">
        <f>'Données projet'!D119</f>
        <v>393</v>
      </c>
      <c r="C121" s="204">
        <v>30</v>
      </c>
      <c r="D121" s="191">
        <f t="shared" si="8"/>
        <v>11790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Lorène GRIMOUILLE</cp:lastModifiedBy>
  <dcterms:created xsi:type="dcterms:W3CDTF">2021-02-01T08:22:39Z</dcterms:created>
  <dcterms:modified xsi:type="dcterms:W3CDTF">2024-03-14T14:57:24Z</dcterms:modified>
</cp:coreProperties>
</file>