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Espalais (82) - GF d'Auvillar - SWC-E4\Espalais (82) - GF d'Auvilllar_projet_1\Dossier déposé le 20 09 2023\"/>
    </mc:Choice>
  </mc:AlternateContent>
  <xr:revisionPtr revIDLastSave="0" documentId="13_ncr:1_{B3E449AA-B889-420C-865F-1E9415D6EECC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A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EB156" i="2" l="1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D157" i="2" s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A161" i="2"/>
  <c r="ED160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C162" i="2" l="1"/>
  <c r="ED161" i="2"/>
  <c r="DI161" i="2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A172" i="2"/>
  <c r="HG172" i="2"/>
  <c r="EW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V179" i="2"/>
  <c r="DF179" i="2"/>
  <c r="EA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B185" i="2" l="1"/>
  <c r="ED184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A193" i="2" l="1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B201" i="2"/>
  <c r="EA201" i="2"/>
  <c r="HH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47" i="2" a="1"/>
  <c r="BC47" i="2" s="1"/>
  <c r="BC126" i="2" a="1"/>
  <c r="BC126" i="2" s="1"/>
  <c r="BC114" i="2" a="1"/>
  <c r="BC114" i="2" s="1"/>
  <c r="BC65" i="2" a="1"/>
  <c r="BC65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AH90" i="2" a="1"/>
  <c r="AH90" i="2" s="1"/>
  <c r="AH19" i="2" a="1"/>
  <c r="AH19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151" i="2" a="1"/>
  <c r="BC151" i="2" s="1"/>
  <c r="BC83" i="2" a="1"/>
  <c r="BC83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CS38" i="2" l="1" a="1"/>
  <c r="CS38" i="2" s="1"/>
  <c r="CS105" i="2" a="1"/>
  <c r="CS105" i="2" s="1"/>
  <c r="CS185" i="2" a="1"/>
  <c r="CS185" i="2" s="1"/>
  <c r="CS161" i="2" a="1"/>
  <c r="CS161" i="2" s="1"/>
  <c r="CS77" i="2" a="1"/>
  <c r="CS77" i="2" s="1"/>
  <c r="CS137" i="2" a="1"/>
  <c r="CS137" i="2" s="1"/>
  <c r="CS129" i="2" a="1"/>
  <c r="CS129" i="2" s="1"/>
  <c r="BC117" i="2" a="1"/>
  <c r="BC117" i="2" s="1"/>
  <c r="BC38" i="2" a="1"/>
  <c r="BC38" i="2" s="1"/>
  <c r="BC130" i="2" a="1"/>
  <c r="BC130" i="2" s="1"/>
  <c r="BC82" i="2" a="1"/>
  <c r="BC82" i="2" s="1"/>
  <c r="BC58" i="2" a="1"/>
  <c r="BC58" i="2" s="1"/>
  <c r="BC185" i="2" a="1"/>
  <c r="BC185" i="2" s="1"/>
  <c r="BC34" i="2" a="1"/>
  <c r="BC34" i="2" s="1"/>
  <c r="BC143" i="2" a="1"/>
  <c r="BC143" i="2" s="1"/>
  <c r="BC7" i="2" a="1"/>
  <c r="BC7" i="2" s="1"/>
  <c r="BC31" i="2" a="1"/>
  <c r="BC31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<sst xmlns="http://schemas.openxmlformats.org/spreadsheetml/2006/main" count="1175" uniqueCount="324">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</sst>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1.9961617766868303</c:v>
                </c:pt>
                <c:pt idx="2">
                  <c:v>2.7370418308786157</c:v>
                </c:pt>
                <c:pt idx="3">
                  <c:v>3.7540771918027382</c:v>
                </c:pt>
                <c:pt idx="4">
                  <c:v>5.1506146917400519</c:v>
                </c:pt>
                <c:pt idx="5">
                  <c:v>7.0688214146640007</c:v>
                </c:pt>
                <c:pt idx="6">
                  <c:v>9.7043170194073411</c:v>
                </c:pt>
                <c:pt idx="7">
                  <c:v>13.326338778281302</c:v>
                </c:pt>
                <c:pt idx="8">
                  <c:v>18.305537363491958</c:v>
                </c:pt>
                <c:pt idx="9">
                  <c:v>25.152299073502515</c:v>
                </c:pt>
                <c:pt idx="10">
                  <c:v>34.56959183020561</c:v>
                </c:pt>
                <c:pt idx="11">
                  <c:v>47.52585398267059</c:v>
                </c:pt>
                <c:pt idx="12">
                  <c:v>65.355547228028229</c:v>
                </c:pt>
                <c:pt idx="13">
                  <c:v>89.897899747685031</c:v>
                </c:pt>
                <c:pt idx="14">
                  <c:v>123.68837989625058</c:v>
                </c:pt>
                <c:pt idx="15">
                  <c:v>170.22298900728532</c:v>
                </c:pt>
                <c:pt idx="16">
                  <c:v>234.3231313511468</c:v>
                </c:pt>
                <c:pt idx="17">
                  <c:v>322.63942243533285</c:v>
                </c:pt>
                <c:pt idx="18">
                  <c:v>444.34745776823866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1.7977710275505689</c:v>
                </c:pt>
                <c:pt idx="2">
                  <c:v>2.4647592205994107</c:v>
                </c:pt>
                <c:pt idx="3">
                  <c:v>3.380269491589559</c:v>
                </c:pt>
                <c:pt idx="4">
                  <c:v>4.6372756234508108</c:v>
                </c:pt>
                <c:pt idx="5">
                  <c:v>6.3636641625148087</c:v>
                </c:pt>
                <c:pt idx="6">
                  <c:v>8.735390078239158</c:v>
                </c:pt>
                <c:pt idx="7">
                  <c:v>11.99460546318902</c:v>
                </c:pt>
                <c:pt idx="8">
                  <c:v>16.474646617470725</c:v>
                </c:pt>
                <c:pt idx="9">
                  <c:v>22.634481501913573</c:v>
                </c:pt>
                <c:pt idx="10">
                  <c:v>31.10620923387059</c:v>
                </c:pt>
                <c:pt idx="11">
                  <c:v>42.760570295727433</c:v>
                </c:pt>
                <c:pt idx="12">
                  <c:v>58.797314570058148</c:v>
                </c:pt>
                <c:pt idx="13">
                  <c:v>80.869883515166464</c:v>
                </c:pt>
                <c:pt idx="14">
                  <c:v>111.25746837512214</c:v>
                </c:pt>
                <c:pt idx="15">
                  <c:v>153.10248948874249</c:v>
                </c:pt>
                <c:pt idx="16">
                  <c:v>210.73842982564656</c:v>
                </c:pt>
                <c:pt idx="17">
                  <c:v>290.1424783042421</c:v>
                </c:pt>
                <c:pt idx="18">
                  <c:v>399.56060449432636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2.0289531873206541</c:v>
                </c:pt>
                <c:pt idx="2">
                  <c:v>2.761130719995549</c:v>
                </c:pt>
                <c:pt idx="3">
                  <c:v>3.7586466198384625</c:v>
                </c:pt>
                <c:pt idx="4">
                  <c:v>5.1180412855156474</c:v>
                </c:pt>
                <c:pt idx="5">
                  <c:v>6.9711103705549853</c:v>
                </c:pt>
                <c:pt idx="6">
                  <c:v>9.4978235784239651</c:v>
                </c:pt>
                <c:pt idx="7">
                  <c:v>12.943992228088073</c:v>
                </c:pt>
                <c:pt idx="8">
                  <c:v>17.645436167363375</c:v>
                </c:pt>
                <c:pt idx="9">
                  <c:v>24.061047614572857</c:v>
                </c:pt>
                <c:pt idx="10">
                  <c:v>32.818036200155738</c:v>
                </c:pt>
                <c:pt idx="11">
                  <c:v>44.773854839856718</c:v>
                </c:pt>
                <c:pt idx="12">
                  <c:v>61.100972175766721</c:v>
                </c:pt>
                <c:pt idx="13">
                  <c:v>83.402941671229854</c:v>
                </c:pt>
                <c:pt idx="14">
                  <c:v>113.87334989545788</c:v>
                </c:pt>
                <c:pt idx="15">
                  <c:v>155.51352254203547</c:v>
                </c:pt>
                <c:pt idx="16">
                  <c:v>212.43075928353338</c:v>
                </c:pt>
                <c:pt idx="17">
                  <c:v>290.2469520507945</c:v>
                </c:pt>
                <c:pt idx="18">
                  <c:v>396.65853174565382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1.711740496445793</c:v>
                </c:pt>
                <c:pt idx="2">
                  <c:v>2.3466948528980645</c:v>
                </c:pt>
                <c:pt idx="3">
                  <c:v>3.2181947081022009</c:v>
                </c:pt>
                <c:pt idx="4">
                  <c:v>4.4147191070711242</c:v>
                </c:pt>
                <c:pt idx="5">
                  <c:v>6.0579670783858832</c:v>
                </c:pt>
                <c:pt idx="6">
                  <c:v>8.3153737104667407</c:v>
                </c:pt>
                <c:pt idx="7">
                  <c:v>11.417356901646029</c:v>
                </c:pt>
                <c:pt idx="8">
                  <c:v>15.681088039175163</c:v>
                </c:pt>
                <c:pt idx="9">
                  <c:v>21.543261427950728</c:v>
                </c:pt>
                <c:pt idx="10">
                  <c:v>29.605278516910094</c:v>
                </c:pt>
                <c:pt idx="11">
                  <c:v>40.695562996785263</c:v>
                </c:pt>
                <c:pt idx="12">
                  <c:v>55.955518726567163</c:v>
                </c:pt>
                <c:pt idx="13">
                  <c:v>76.958123700161025</c:v>
                </c:pt>
                <c:pt idx="14">
                  <c:v>105.87158196222867</c:v>
                </c:pt>
                <c:pt idx="15">
                  <c:v>145.68519398271448</c:v>
                </c:pt>
                <c:pt idx="16">
                  <c:v>200.52115586186937</c:v>
                </c:pt>
                <c:pt idx="17">
                  <c:v>276.06505242766451</c:v>
                </c:pt>
                <c:pt idx="18">
                  <c:v>380.16032837232211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1.8192551750041208</c:v>
                </c:pt>
                <c:pt idx="2">
                  <c:v>2.4942439380372288</c:v>
                </c:pt>
                <c:pt idx="3">
                  <c:v>3.4207462736890375</c:v>
                </c:pt>
                <c:pt idx="4">
                  <c:v>4.69285875914305</c:v>
                </c:pt>
                <c:pt idx="5">
                  <c:v>6.44001363089943</c:v>
                </c:pt>
                <c:pt idx="6">
                  <c:v>8.8402942399079567</c:v>
                </c:pt>
                <c:pt idx="7">
                  <c:v>12.138784104827842</c:v>
                </c:pt>
                <c:pt idx="8">
                  <c:v>16.672857918539059</c:v>
                </c:pt>
                <c:pt idx="9">
                  <c:v>22.907048267935934</c:v>
                </c:pt>
                <c:pt idx="10">
                  <c:v>31.481123627123836</c:v>
                </c:pt>
                <c:pt idx="11">
                  <c:v>43.2763969161822</c:v>
                </c:pt>
                <c:pt idx="12">
                  <c:v>59.507195492475432</c:v>
                </c:pt>
                <c:pt idx="13">
                  <c:v>81.847064615581942</c:v>
                </c:pt>
                <c:pt idx="14">
                  <c:v>112.60292621179531</c:v>
                </c:pt>
                <c:pt idx="15">
                  <c:v>154.95545905530619</c:v>
                </c:pt>
                <c:pt idx="16">
                  <c:v>213.29093906827609</c:v>
                </c:pt>
                <c:pt idx="17">
                  <c:v>293.65941776428105</c:v>
                </c:pt>
                <c:pt idx="18">
                  <c:v>404.40744459656599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1.7347460521283651</c:v>
                </c:pt>
                <c:pt idx="2">
                  <c:v>2.3729322653777567</c:v>
                </c:pt>
                <c:pt idx="3">
                  <c:v>3.2469063864709891</c:v>
                </c:pt>
                <c:pt idx="4">
                  <c:v>4.4441354650744449</c:v>
                </c:pt>
                <c:pt idx="5">
                  <c:v>6.0846549408171287</c:v>
                </c:pt>
                <c:pt idx="6">
                  <c:v>8.333237615188402</c:v>
                </c:pt>
                <c:pt idx="7">
                  <c:v>11.416123978482565</c:v>
                </c:pt>
                <c:pt idx="8">
                  <c:v>15.644028618525772</c:v>
                </c:pt>
                <c:pt idx="9">
                  <c:v>21.443783746105016</c:v>
                </c:pt>
                <c:pt idx="10">
                  <c:v>29.401871363637451</c:v>
                </c:pt>
                <c:pt idx="11">
                  <c:v>40.324322731281342</c:v>
                </c:pt>
                <c:pt idx="12">
                  <c:v>55.319155072195713</c:v>
                </c:pt>
                <c:pt idx="13">
                  <c:v>75.909846827588396</c:v>
                </c:pt>
                <c:pt idx="14">
                  <c:v>104.19156694010887</c:v>
                </c:pt>
                <c:pt idx="15">
                  <c:v>143.04630552694914</c:v>
                </c:pt>
                <c:pt idx="16">
                  <c:v>196.43916509250028</c:v>
                </c:pt>
                <c:pt idx="17">
                  <c:v>269.82650102979295</c:v>
                </c:pt>
                <c:pt idx="18">
                  <c:v>370.71822808948235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3" zoomScale="90" zoomScaleNormal="90" workbookViewId="0">
      <selection activeCell="B152" sqref="B15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18.7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113</v>
      </c>
      <c r="C9" s="35">
        <v>0.16800000000000001</v>
      </c>
      <c r="D9" s="36">
        <f t="shared" ref="D9:D18" si="0">C9*$C$5</f>
        <v>3.1415999999999999</v>
      </c>
      <c r="E9" s="37">
        <v>18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121</v>
      </c>
      <c r="C10" s="35">
        <v>0.11219999999999999</v>
      </c>
      <c r="D10" s="36">
        <f t="shared" si="0"/>
        <v>2.0981399999999999</v>
      </c>
      <c r="E10" s="37">
        <v>18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118</v>
      </c>
      <c r="C11" s="35">
        <v>0.1711</v>
      </c>
      <c r="D11" s="36">
        <f t="shared" si="0"/>
        <v>3.19957</v>
      </c>
      <c r="E11" s="37">
        <v>18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119</v>
      </c>
      <c r="C12" s="35">
        <v>0.21390000000000001</v>
      </c>
      <c r="D12" s="36">
        <f t="shared" si="0"/>
        <v>3.99993</v>
      </c>
      <c r="E12" s="37">
        <v>18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112</v>
      </c>
      <c r="C13" s="35">
        <v>0.1176</v>
      </c>
      <c r="D13" s="36">
        <f t="shared" si="0"/>
        <v>2.1991199999999997</v>
      </c>
      <c r="E13" s="37">
        <v>18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122</v>
      </c>
      <c r="C14" s="35">
        <v>0.2165</v>
      </c>
      <c r="D14" s="36">
        <f t="shared" si="0"/>
        <v>4.0485499999999996</v>
      </c>
      <c r="E14" s="37">
        <v>18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0.99930000000000008</v>
      </c>
      <c r="D19" s="41">
        <f>SUM(D9:D18)</f>
        <v>18.686909999999997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Lambro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18</v>
      </c>
      <c r="B36" s="63">
        <v>365</v>
      </c>
      <c r="C36" s="63">
        <v>1</v>
      </c>
      <c r="D36" s="63">
        <v>365</v>
      </c>
      <c r="E36" s="54">
        <v>0.77</v>
      </c>
      <c r="F36" s="54">
        <v>0.21</v>
      </c>
      <c r="G36" s="54"/>
      <c r="H36" s="54"/>
      <c r="I36" s="52">
        <f>IFERROR(B36/A36,"")</f>
        <v>20.277777777777779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Beaupré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18</v>
      </c>
      <c r="B62" s="63">
        <v>365</v>
      </c>
      <c r="C62" s="63">
        <v>1</v>
      </c>
      <c r="D62" s="63">
        <v>365</v>
      </c>
      <c r="E62" s="54">
        <v>0.77</v>
      </c>
      <c r="F62" s="54">
        <v>0.21</v>
      </c>
      <c r="G62" s="54"/>
      <c r="H62" s="54"/>
      <c r="I62" s="56">
        <f>IFERROR(B62/A62,"")</f>
        <v>20.277777777777779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Peuplier Taro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18</v>
      </c>
      <c r="B88" s="63">
        <v>317</v>
      </c>
      <c r="C88" s="63">
        <v>1</v>
      </c>
      <c r="D88" s="63">
        <v>317</v>
      </c>
      <c r="E88" s="54">
        <v>0.77</v>
      </c>
      <c r="F88" s="54">
        <v>0.21</v>
      </c>
      <c r="G88" s="54"/>
      <c r="H88" s="93"/>
      <c r="I88" s="56">
        <f>IFERROR(B88/A88,"")</f>
        <v>17.611111111111111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Peuplier Trichobel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18</v>
      </c>
      <c r="B114" s="63">
        <v>365</v>
      </c>
      <c r="C114" s="63">
        <v>1</v>
      </c>
      <c r="D114" s="63">
        <v>365</v>
      </c>
      <c r="E114" s="54">
        <v>0.77</v>
      </c>
      <c r="F114" s="54">
        <v>0.21</v>
      </c>
      <c r="G114" s="54"/>
      <c r="H114" s="54"/>
      <c r="I114" s="56">
        <f>IFERROR(B114/A114,"")</f>
        <v>20.277777777777779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Peuplier Koster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18</v>
      </c>
      <c r="B140" s="63">
        <v>365</v>
      </c>
      <c r="C140" s="63">
        <v>1</v>
      </c>
      <c r="D140" s="63">
        <v>365</v>
      </c>
      <c r="E140" s="54">
        <v>0.77</v>
      </c>
      <c r="F140" s="54">
        <v>0.21</v>
      </c>
      <c r="G140" s="54"/>
      <c r="H140" s="54"/>
      <c r="I140" s="60">
        <f>IFERROR(B140/A140,"")</f>
        <v>20.277777777777779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Peuplier Blanc du Poitou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18</v>
      </c>
      <c r="B166" s="63">
        <v>350</v>
      </c>
      <c r="C166" s="63">
        <v>1</v>
      </c>
      <c r="D166" s="63">
        <v>350</v>
      </c>
      <c r="E166" s="54">
        <v>0.77</v>
      </c>
      <c r="F166" s="54">
        <v>0.21</v>
      </c>
      <c r="G166" s="54"/>
      <c r="H166" s="54"/>
      <c r="I166" s="52">
        <f>IFERROR(B166/A166,"")</f>
        <v>19.444444444444443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127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Lambro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Beaupré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Peuplier Taro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Peuplier Trichobel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Peuplier Koster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Peuplier Blanc du Poitou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74.209918391015606</v>
      </c>
      <c r="T3" s="62">
        <f>IF('Données projet'!E9&gt;30,$R$33-$H$33,LOOKUP('Données projet'!$E$9,$A$3:$A$203,R3:R203)-LOOKUP('Données projet'!$E$9,$A$3:$A$203,$H$3:$H$203))</f>
        <v>422.59746235438649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65.6337514911271</v>
      </c>
      <c r="AO3" s="62">
        <f>IF('Données projet'!E10&gt;30,$AM$33-$H$33,LOOKUP('Données projet'!$E$10,$A$3:$A$203,AM3:AM203)-LOOKUP('Données projet'!$E$10,$A$3:$A$203,$H$3:$H$203))</f>
        <v>377.81060908047425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66.622529958850123</v>
      </c>
      <c r="BJ3" s="62">
        <f>IF('Données projet'!E11&gt;30,$BH$33-$H$33,LOOKUP('Données projet'!$E$11,$A$3:$A$203,BH3:BH203)-LOOKUP('Données projet'!$E$11,$A$3:$A$203,$H$3:$H$203))</f>
        <v>374.90853633180166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61.91827157428213</v>
      </c>
      <c r="CE3" s="62">
        <f>IF('Données projet'!E12&gt;30,$CC$33-$H$33,LOOKUP('Données projet'!$E$12,$A$3:$A$203,CC3:CC203)-LOOKUP('Données projet'!$E$12,$A$3:$A$203,$H$3:$H$203))</f>
        <v>358.41033295847001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66.561949299871912</v>
      </c>
      <c r="CZ3" s="62">
        <f>IF('Données projet'!E13&gt;30,$CX$33-$H$33,LOOKUP('Données projet'!$E$13,$A$3:$A$203,CX3:CX203)-LOOKUP('Données projet'!$E$13,$A$3:$A$203,$H$3:$H$203))</f>
        <v>382.65744918271389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293.33333333333331</v>
      </c>
      <c r="DT3" s="62">
        <f ca="1">AVERAGE(OFFSET($DS$3,0,0,'Données projet'!$E$14+1,1))-AVERAGE(OFFSET($H$3,0,0,'Données projet'!$E$14+1,1))</f>
        <v>60.532656778089574</v>
      </c>
      <c r="DU3" s="62">
        <f>IF('Données projet'!E14&gt;30,$DS$33-$H$33,LOOKUP('Données projet'!$E$14,$A$3:$A$203,DS3:DS203)-LOOKUP('Données projet'!$E$14,$A$3:$A$203,$H$3:$H$203))</f>
        <v>348.96823267563025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0.51168000000000002</v>
      </c>
      <c r="D4" s="12">
        <f>IFERROR(EXP(-1.0587+0.8836*LN(C4)+0.284),0)</f>
        <v>0.25493125753163876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5.9177009353319496</v>
      </c>
      <c r="H4" s="70">
        <f t="shared" ref="H4:H67" si="1">(B4+E4+F4)*44/12+(C4+D4)*0.475*44/12</f>
        <v>294.66851460686757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20.277777777777779</v>
      </c>
      <c r="N4" s="14">
        <f>IF('Données projet'!$A$36&gt;35,N3+M4-V3,IF(A4&lt;'Données projet'!$A$36,$K$205^A4,IF(A4='Données projet'!$A$36,'Données projet'!$B$36,N3+M4-V3)))</f>
        <v>1.3878726056494621</v>
      </c>
      <c r="O4" s="14">
        <f>N4*VLOOKUP('Données projet'!$B$9,Paramètres!$A$1:$I$89,3,0)*VLOOKUP('Données projet'!$B$9,Paramètres!$A$1:$I$89,5,0)</f>
        <v>0.7772641740679247</v>
      </c>
      <c r="P4" s="14">
        <f>EXP(-1.0587+0.8836*LN(O4)+0.284)</f>
        <v>0.36885742020202589</v>
      </c>
      <c r="Q4" s="22">
        <f t="shared" ref="Q4:Q34" si="2">(O4+P4)*0.475*44/12</f>
        <v>1.9961617766868303</v>
      </c>
      <c r="R4" s="62">
        <f t="shared" si="0"/>
        <v>295.32949511002016</v>
      </c>
      <c r="S4" s="62">
        <f ca="1">AVERAGE(OFFSET($R$3,0,0,'Données projet'!$E$9+1,1))-AVERAGE(OFFSET($H$3,0,0,'Données projet'!$E$9+1,1))</f>
        <v>74.209918391015606</v>
      </c>
      <c r="T4" s="62">
        <f>$T$3</f>
        <v>422.59746235438649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20.277777777777779</v>
      </c>
      <c r="AI4" s="14">
        <f>IF('Données projet'!$A$62&gt;35,AI3+AH4-AQ3,IF(A4&lt;'Données projet'!$A$62,$AF$205^A4,IF(A4='Données projet'!$A$62,'Données projet'!$B$62,AI3+AH4-AQ3)))</f>
        <v>1.3878726056494621</v>
      </c>
      <c r="AJ4" s="14">
        <f>AI4*VLOOKUP('Données projet'!$B$10,Paramètres!$A$1:$I$89,3,0)*VLOOKUP('Données projet'!$B$10,Paramètres!$A$1:$I$89,5,0)</f>
        <v>0.69715616726983787</v>
      </c>
      <c r="AK4" s="14">
        <f>EXP(-1.0587+0.8836*LN(AJ4)+0.284)</f>
        <v>0.33505686290273784</v>
      </c>
      <c r="AL4" s="22">
        <f t="shared" ref="AL4:AL67" si="4">(AJ4+AK4)*0.475*44/12</f>
        <v>1.7977710275505689</v>
      </c>
      <c r="AM4" s="62">
        <f t="shared" ref="AM4:AM67" si="5">AL4+(AD4+AE4)*44/12</f>
        <v>295.13110436088391</v>
      </c>
      <c r="AN4" s="62">
        <f ca="1">AVERAGE(OFFSET($AM$3,0,0,'Données projet'!$E$10+1,1))-AVERAGE(OFFSET($H$3,0,0,'Données projet'!$E$10+1,1))</f>
        <v>65.6337514911271</v>
      </c>
      <c r="AO4" s="62">
        <f>$AO$3</f>
        <v>377.81060908047425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17.611111111111111</v>
      </c>
      <c r="BD4" s="13">
        <f>IF('Données projet'!$A$88&gt;35,BD3+BC4-BL3,IF(A4&lt;'Données projet'!$A$88,$BA$205^A4,IF(A4='Données projet'!$A$88,'Données projet'!$B$88,BD3+BC4-BL3)))</f>
        <v>1.3770437448054891</v>
      </c>
      <c r="BE4" s="14">
        <f>BD4*VLOOKUP('Données projet'!$B$11,Paramètres!$A$1:$I$89,3,0)*VLOOKUP('Données projet'!$B$11,Paramètres!$A$1:$I$89,5,0)</f>
        <v>0.79053327301793508</v>
      </c>
      <c r="BF4" s="14">
        <f>EXP(-1.0587+0.8836*LN(BE4)+0.284)</f>
        <v>0.37441592544368474</v>
      </c>
      <c r="BG4" s="22">
        <f t="shared" ref="BG4:BG67" si="7">(BE4+BF4)*0.475*44/12</f>
        <v>2.0289531873206541</v>
      </c>
      <c r="BH4" s="62">
        <f t="shared" ref="BH4:BH67" si="8">BG4+(AY4+AZ4)*44/12</f>
        <v>295.36228652065398</v>
      </c>
      <c r="BI4" s="62">
        <f ca="1">AVERAGE(OFFSET($BH$3,0,0,'Données projet'!$E$11+1,1))-AVERAGE(OFFSET($H$3,0,0,'Données projet'!$E$11+1,1))</f>
        <v>66.622529958850123</v>
      </c>
      <c r="BJ4" s="62">
        <f>$BJ$3</f>
        <v>374.90853633180166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20.277777777777779</v>
      </c>
      <c r="BY4" s="13">
        <f>IF('Données projet'!$A$114&gt;35,BY3+BX4-CG3,IF(A4&lt;'Données projet'!$A$114,$BV$205^A4,IF(A4='Données projet'!$A$114,'Données projet'!$B$114,BY3+BX4-CG3)))</f>
        <v>1.3878726056494621</v>
      </c>
      <c r="BZ4" s="14">
        <f>BY4*VLOOKUP('Données projet'!$B$12,Paramètres!$A$1:$I$89,3,0)*VLOOKUP('Données projet'!$B$12,Paramètres!$A$1:$I$89,5,0)</f>
        <v>0.66251486703282725</v>
      </c>
      <c r="CA4" s="14">
        <f>EXP(-1.0587+0.8836*LN(BZ4)+0.284)</f>
        <v>0.32030264288820226</v>
      </c>
      <c r="CB4" s="22">
        <f t="shared" ref="CB4:CB67" si="10">(BZ4+CA4)*0.475*44/12</f>
        <v>1.711740496445793</v>
      </c>
      <c r="CC4" s="62">
        <f t="shared" ref="CC4:CC67" si="11">CB4+(BT4+BU4)*44/12</f>
        <v>295.04507382977908</v>
      </c>
      <c r="CD4" s="62">
        <f ca="1">AVERAGE(OFFSET($CC$3,0,0,'Données projet'!$E$12+1,1))-AVERAGE(OFFSET($H$3,0,0,'Données projet'!$E$12+1,1))</f>
        <v>61.91827157428213</v>
      </c>
      <c r="CE4" s="62">
        <f>$CE$3</f>
        <v>358.41033295847001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20.277777777777779</v>
      </c>
      <c r="CT4" s="13">
        <f>IF('Données projet'!$A$140&gt;35,CT3+CS4-DB3,IF(A4&lt;'Données projet'!$A$140,$CQ$205^A4,IF(A4='Données projet'!$A$140,'Données projet'!$B$140,CT3+CS4-DB3)))</f>
        <v>1.3878726056494621</v>
      </c>
      <c r="CU4" s="18">
        <f>CT4*VLOOKUP('Données projet'!$B$13,Paramètres!$A$1:$I$89,3,0)*VLOOKUP('Données projet'!$B$13,Paramètres!$A$1:$I$89,5,0)</f>
        <v>0.70581649232909049</v>
      </c>
      <c r="CV4" s="14">
        <f>EXP(-1.0587+0.8836*LN(CU4)+0.284)</f>
        <v>0.33873193351059616</v>
      </c>
      <c r="CW4" s="22">
        <f t="shared" ref="CW4:CW67" si="13">(CU4+CV4)*0.475*44/12</f>
        <v>1.8192551750041208</v>
      </c>
      <c r="CX4" s="62">
        <f t="shared" ref="CX4:CX67" si="14">CW4+(CO4+CP4)*44/12</f>
        <v>295.15258850833743</v>
      </c>
      <c r="CY4" s="62">
        <f ca="1">AVERAGE(OFFSET($CX$3,0,0,'Données projet'!$E$13+1,1))-AVERAGE(OFFSET($H$3,0,0,'Données projet'!$E$13+1,1))</f>
        <v>66.561949299871912</v>
      </c>
      <c r="CZ4" s="62">
        <f>$CZ$3</f>
        <v>382.65744918271389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19.444444444444443</v>
      </c>
      <c r="DO4" s="13">
        <f>IF('Données projet'!$A$166&gt;35,DO3+DN4-DW3,IF(A4&lt;'Données projet'!$A$166,$DL$205^A4,IF(A4='Données projet'!$A$166,'Données projet'!$B$166,DO3+DN4-DW3)))</f>
        <v>1.3846407653603228</v>
      </c>
      <c r="DP4" s="18">
        <f>DO4*VLOOKUP('Données projet'!$B$14,Paramètres!$A$1:$I$89,3,0)*VLOOKUP('Données projet'!$B$14,Paramètres!$A$1:$I$89,5,0)</f>
        <v>0.67177231372221413</v>
      </c>
      <c r="DQ4" s="14">
        <f>EXP(-1.0587+0.8836*LN(DP4)+0.284)</f>
        <v>0.32425412769120127</v>
      </c>
      <c r="DR4" s="22">
        <f t="shared" ref="DR4:DR67" si="16">(DP4+DQ4)*0.475*44/12</f>
        <v>1.7347460521283651</v>
      </c>
      <c r="DS4" s="62">
        <f t="shared" ref="DS4:DS67" si="17">DR4+(DJ4+DK4)*44/12</f>
        <v>295.06807938546166</v>
      </c>
      <c r="DT4" s="62">
        <f ca="1">AVERAGE(OFFSET($DS$3,0,0,'Données projet'!$E$14+1,1))-AVERAGE(OFFSET($H$3,0,0,'Données projet'!$E$14+1,1))</f>
        <v>60.532656778089574</v>
      </c>
      <c r="DU4" s="62">
        <f>$DU$3</f>
        <v>348.96823267563025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1.02336</v>
      </c>
      <c r="D5" s="12">
        <f t="shared" ref="D5:D68" si="32">IFERROR(EXP(-1.0587+0.8836*LN(C5)+0.284),0)</f>
        <v>0.47034138365880424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11.530326470348664</v>
      </c>
      <c r="H5" s="70">
        <f t="shared" si="1"/>
        <v>295.93486324320571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20.277777777777779</v>
      </c>
      <c r="N5" s="14">
        <f>IF('Données projet'!$A$36&gt;35,N4+M5-V4,IF(A5&lt;'Données projet'!$A$36,$K$205^A5,IF(A5='Données projet'!$A$36,'Données projet'!$B$36,N4+M5-V4)))</f>
        <v>1.9261903695122273</v>
      </c>
      <c r="O5" s="14">
        <f>N5*VLOOKUP('Données projet'!$B$9,Paramètres!$A$1:$I$89,3,0)*VLOOKUP('Données projet'!$B$9,Paramètres!$A$1:$I$89,5,0)</f>
        <v>1.0787436545416278</v>
      </c>
      <c r="P5" s="14">
        <f t="shared" ref="P5:P68" si="33">EXP(-1.0587+0.8836*LN(O5)+0.284)</f>
        <v>0.49276361677623792</v>
      </c>
      <c r="Q5" s="22">
        <f t="shared" si="2"/>
        <v>2.7370418308786157</v>
      </c>
      <c r="R5" s="62">
        <f t="shared" si="0"/>
        <v>296.07037516421195</v>
      </c>
      <c r="S5" s="62">
        <f ca="1">AVERAGE(OFFSET($R$3,0,0,'Données projet'!$E$9+1,1))-AVERAGE(OFFSET($H$3,0,0,'Données projet'!$E$9+1,1))</f>
        <v>74.209918391015606</v>
      </c>
      <c r="T5" s="62">
        <f t="shared" ref="T5:T68" si="34">$T$3</f>
        <v>422.59746235438649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20.277777777777779</v>
      </c>
      <c r="AI5" s="14">
        <f>IF('Données projet'!$A$62&gt;35,AI4+AH5-AQ4,IF(A5&lt;'Données projet'!$A$62,$AF$205^A5,IF(A5='Données projet'!$A$62,'Données projet'!$B$62,AI4+AH5-AQ4)))</f>
        <v>1.9261903695122273</v>
      </c>
      <c r="AJ5" s="14">
        <f>AI5*VLOOKUP('Données projet'!$B$10,Paramètres!$A$1:$I$89,3,0)*VLOOKUP('Données projet'!$B$10,Paramètres!$A$1:$I$89,5,0)</f>
        <v>0.96756394641338206</v>
      </c>
      <c r="AK5" s="14">
        <f t="shared" ref="AK5:AK68" si="35">EXP(-1.0587+0.8836*LN(AJ5)+0.284)</f>
        <v>0.44760881182551415</v>
      </c>
      <c r="AL5" s="22">
        <f t="shared" si="4"/>
        <v>2.4647592205994107</v>
      </c>
      <c r="AM5" s="62">
        <f t="shared" si="5"/>
        <v>295.79809255393275</v>
      </c>
      <c r="AN5" s="62">
        <f ca="1">AVERAGE(OFFSET($AM$3,0,0,'Données projet'!$E$10+1,1))-AVERAGE(OFFSET($H$3,0,0,'Données projet'!$E$10+1,1))</f>
        <v>65.6337514911271</v>
      </c>
      <c r="AO5" s="62">
        <f t="shared" ref="AO5:AO68" si="36">$AO$3</f>
        <v>377.81060908047425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17.611111111111111</v>
      </c>
      <c r="BD5" s="13">
        <f>IF('Données projet'!$A$88&gt;35,BD4+BC5-BL4,IF(A5&lt;'Données projet'!$A$88,$BA$205^A5,IF(A5='Données projet'!$A$88,'Données projet'!$B$88,BD4+BC5-BL4)))</f>
        <v>1.8962494751079249</v>
      </c>
      <c r="BE5" s="14">
        <f>BD5*VLOOKUP('Données projet'!$B$11,Paramètres!$A$1:$I$89,3,0)*VLOOKUP('Données projet'!$B$11,Paramètres!$A$1:$I$89,5,0)</f>
        <v>1.0885988986699575</v>
      </c>
      <c r="BF5" s="14">
        <f t="shared" ref="BF5:BF68" si="37">EXP(-1.0587+0.8836*LN(BE5)+0.284)</f>
        <v>0.49673931376767833</v>
      </c>
      <c r="BG5" s="22">
        <f t="shared" si="7"/>
        <v>2.761130719995549</v>
      </c>
      <c r="BH5" s="62">
        <f t="shared" si="8"/>
        <v>296.09446405332886</v>
      </c>
      <c r="BI5" s="62">
        <f ca="1">AVERAGE(OFFSET($BH$3,0,0,'Données projet'!$E$11+1,1))-AVERAGE(OFFSET($H$3,0,0,'Données projet'!$E$11+1,1))</f>
        <v>66.622529958850123</v>
      </c>
      <c r="BJ5" s="62">
        <f t="shared" ref="BJ5:BJ68" si="38">$BJ$3</f>
        <v>374.90853633180166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20.277777777777779</v>
      </c>
      <c r="BY5" s="13">
        <f>IF('Données projet'!$A$114&gt;35,BY4+BX5-CG4,IF(A5&lt;'Données projet'!$A$114,$BV$205^A5,IF(A5='Données projet'!$A$114,'Données projet'!$B$114,BY4+BX5-CG4)))</f>
        <v>1.9261903695122273</v>
      </c>
      <c r="BZ5" s="14">
        <f>BY5*VLOOKUP('Données projet'!$B$12,Paramètres!$A$1:$I$89,3,0)*VLOOKUP('Données projet'!$B$12,Paramètres!$A$1:$I$89,5,0)</f>
        <v>0.91948623479035685</v>
      </c>
      <c r="CA5" s="14">
        <f t="shared" ref="CA5:CA68" si="39">EXP(-1.0587+0.8836*LN(BZ5)+0.284)</f>
        <v>0.42789836974441708</v>
      </c>
      <c r="CB5" s="22">
        <f t="shared" si="10"/>
        <v>2.3466948528980645</v>
      </c>
      <c r="CC5" s="62">
        <f t="shared" si="11"/>
        <v>295.68002818623137</v>
      </c>
      <c r="CD5" s="62">
        <f ca="1">AVERAGE(OFFSET($CC$3,0,0,'Données projet'!$E$12+1,1))-AVERAGE(OFFSET($H$3,0,0,'Données projet'!$E$12+1,1))</f>
        <v>61.91827157428213</v>
      </c>
      <c r="CE5" s="62">
        <f t="shared" ref="CE5:CE68" si="40">$CE$3</f>
        <v>358.41033295847001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20.277777777777779</v>
      </c>
      <c r="CT5" s="13">
        <f>IF('Données projet'!$A$140&gt;35,CT4+CS5-DB4,IF(A5&lt;'Données projet'!$A$140,$CQ$205^A5,IF(A5='Données projet'!$A$140,'Données projet'!$B$140,CT4+CS5-DB4)))</f>
        <v>1.9261903695122273</v>
      </c>
      <c r="CU5" s="18">
        <f>CT5*VLOOKUP('Données projet'!$B$13,Paramètres!$A$1:$I$89,3,0)*VLOOKUP('Données projet'!$B$13,Paramètres!$A$1:$I$89,5,0)</f>
        <v>0.97958337431913833</v>
      </c>
      <c r="CV5" s="14">
        <f t="shared" ref="CV5:CV68" si="41">EXP(-1.0587+0.8836*LN(CU5)+0.284)</f>
        <v>0.45251840828596879</v>
      </c>
      <c r="CW5" s="22">
        <f t="shared" si="13"/>
        <v>2.4942439380372288</v>
      </c>
      <c r="CX5" s="62">
        <f t="shared" si="14"/>
        <v>295.82757727137056</v>
      </c>
      <c r="CY5" s="62">
        <f ca="1">AVERAGE(OFFSET($CX$3,0,0,'Données projet'!$E$13+1,1))-AVERAGE(OFFSET($H$3,0,0,'Données projet'!$E$13+1,1))</f>
        <v>66.561949299871912</v>
      </c>
      <c r="CZ5" s="62">
        <f t="shared" ref="CZ5:CZ68" si="42">$CZ$3</f>
        <v>382.65744918271389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19.444444444444443</v>
      </c>
      <c r="DO5" s="13">
        <f>IF('Données projet'!$A$166&gt;35,DO4+DN5-DW4,IF(A5&lt;'Données projet'!$A$166,$DL$205^A5,IF(A5='Données projet'!$A$166,'Données projet'!$B$166,DO4+DN5-DW4)))</f>
        <v>1.9172300490976204</v>
      </c>
      <c r="DP5" s="18">
        <f>DO5*VLOOKUP('Données projet'!$B$14,Paramètres!$A$1:$I$89,3,0)*VLOOKUP('Données projet'!$B$14,Paramètres!$A$1:$I$89,5,0)</f>
        <v>0.93016333062020151</v>
      </c>
      <c r="DQ5" s="14">
        <f t="shared" ref="DQ5:DQ68" si="43">EXP(-1.0587+0.8836*LN(DP5)+0.284)</f>
        <v>0.43228581696511326</v>
      </c>
      <c r="DR5" s="22">
        <f t="shared" si="16"/>
        <v>2.3729322653777567</v>
      </c>
      <c r="DS5" s="62">
        <f t="shared" si="17"/>
        <v>295.70626559871107</v>
      </c>
      <c r="DT5" s="62">
        <f ca="1">AVERAGE(OFFSET($DS$3,0,0,'Données projet'!$E$14+1,1))-AVERAGE(OFFSET($H$3,0,0,'Données projet'!$E$14+1,1))</f>
        <v>60.532656778089574</v>
      </c>
      <c r="DU5" s="62">
        <f t="shared" ref="DU5:DU68" si="44">$DU$3</f>
        <v>348.96823267563025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1.53504</v>
      </c>
      <c r="D6" s="12">
        <f t="shared" si="32"/>
        <v>0.67298816817902041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17.044427964890687</v>
      </c>
      <c r="H6" s="70">
        <f t="shared" si="1"/>
        <v>297.17898239291179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20.277777777777779</v>
      </c>
      <c r="N6" s="14">
        <f>IF('Données projet'!$A$36&gt;35,N5+M6-V5,IF(A6&lt;'Données projet'!$A$36,$K$205^A6,IF(A6='Données projet'!$A$36,'Données projet'!$B$36,N5+M6-V5)))</f>
        <v>2.6733068471118351</v>
      </c>
      <c r="O6" s="14">
        <f>N6*VLOOKUP('Données projet'!$B$9,Paramètres!$A$1:$I$89,3,0)*VLOOKUP('Données projet'!$B$9,Paramètres!$A$1:$I$89,5,0)</f>
        <v>1.497158766656512</v>
      </c>
      <c r="P6" s="14">
        <f t="shared" si="33"/>
        <v>0.65829225256037127</v>
      </c>
      <c r="Q6" s="22">
        <f t="shared" si="2"/>
        <v>3.7540771918027382</v>
      </c>
      <c r="R6" s="62">
        <f t="shared" si="0"/>
        <v>297.08741052513608</v>
      </c>
      <c r="S6" s="62">
        <f ca="1">AVERAGE(OFFSET($R$3,0,0,'Données projet'!$E$9+1,1))-AVERAGE(OFFSET($H$3,0,0,'Données projet'!$E$9+1,1))</f>
        <v>74.209918391015606</v>
      </c>
      <c r="T6" s="62">
        <f t="shared" si="34"/>
        <v>422.59746235438649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20.277777777777779</v>
      </c>
      <c r="AI6" s="14">
        <f>IF('Données projet'!$A$62&gt;35,AI5+AH6-AQ5,IF(A6&lt;'Données projet'!$A$62,$AF$205^A6,IF(A6='Données projet'!$A$62,'Données projet'!$B$62,AI5+AH6-AQ5)))</f>
        <v>2.6733068471118351</v>
      </c>
      <c r="AJ6" s="14">
        <f>AI6*VLOOKUP('Données projet'!$B$10,Paramètres!$A$1:$I$89,3,0)*VLOOKUP('Données projet'!$B$10,Paramètres!$A$1:$I$89,5,0)</f>
        <v>1.3428554954412171</v>
      </c>
      <c r="AK6" s="14">
        <f t="shared" si="35"/>
        <v>0.59796909303125734</v>
      </c>
      <c r="AL6" s="22">
        <f t="shared" si="4"/>
        <v>3.380269491589559</v>
      </c>
      <c r="AM6" s="62">
        <f t="shared" si="5"/>
        <v>296.71360282492287</v>
      </c>
      <c r="AN6" s="62">
        <f ca="1">AVERAGE(OFFSET($AM$3,0,0,'Données projet'!$E$10+1,1))-AVERAGE(OFFSET($H$3,0,0,'Données projet'!$E$10+1,1))</f>
        <v>65.6337514911271</v>
      </c>
      <c r="AO6" s="62">
        <f t="shared" si="36"/>
        <v>377.81060908047425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17.611111111111111</v>
      </c>
      <c r="BD6" s="13">
        <f>IF('Données projet'!$A$88&gt;35,BD5+BC6-BL5,IF(A6&lt;'Données projet'!$A$88,$BA$205^A6,IF(A6='Données projet'!$A$88,'Données projet'!$B$88,BD5+BC6-BL5)))</f>
        <v>2.6112184782880599</v>
      </c>
      <c r="BE6" s="14">
        <f>BD6*VLOOKUP('Données projet'!$B$11,Paramètres!$A$1:$I$89,3,0)*VLOOKUP('Données projet'!$B$11,Paramètres!$A$1:$I$89,5,0)</f>
        <v>1.4990483040156095</v>
      </c>
      <c r="BF6" s="14">
        <f t="shared" si="37"/>
        <v>0.6590263102457089</v>
      </c>
      <c r="BG6" s="22">
        <f t="shared" si="7"/>
        <v>3.7586466198384625</v>
      </c>
      <c r="BH6" s="62">
        <f t="shared" si="8"/>
        <v>297.0919799531718</v>
      </c>
      <c r="BI6" s="62">
        <f ca="1">AVERAGE(OFFSET($BH$3,0,0,'Données projet'!$E$11+1,1))-AVERAGE(OFFSET($H$3,0,0,'Données projet'!$E$11+1,1))</f>
        <v>66.622529958850123</v>
      </c>
      <c r="BJ6" s="62">
        <f t="shared" si="38"/>
        <v>374.90853633180166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20.277777777777779</v>
      </c>
      <c r="BY6" s="13">
        <f>IF('Données projet'!$A$114&gt;35,BY5+BX6-CG5,IF(A6&lt;'Données projet'!$A$114,$BV$205^A6,IF(A6='Données projet'!$A$114,'Données projet'!$B$114,BY5+BX6-CG5)))</f>
        <v>2.6733068471118351</v>
      </c>
      <c r="BZ6" s="14">
        <f>BY6*VLOOKUP('Données projet'!$B$12,Paramètres!$A$1:$I$89,3,0)*VLOOKUP('Données projet'!$B$12,Paramètres!$A$1:$I$89,5,0)</f>
        <v>1.2761297565373058</v>
      </c>
      <c r="CA6" s="14">
        <f t="shared" si="39"/>
        <v>0.57163753998070399</v>
      </c>
      <c r="CB6" s="22">
        <f t="shared" si="10"/>
        <v>3.2181947081022009</v>
      </c>
      <c r="CC6" s="62">
        <f t="shared" si="11"/>
        <v>296.55152804143552</v>
      </c>
      <c r="CD6" s="62">
        <f ca="1">AVERAGE(OFFSET($CC$3,0,0,'Données projet'!$E$12+1,1))-AVERAGE(OFFSET($H$3,0,0,'Données projet'!$E$12+1,1))</f>
        <v>61.91827157428213</v>
      </c>
      <c r="CE6" s="62">
        <f t="shared" si="40"/>
        <v>358.41033295847001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20.277777777777779</v>
      </c>
      <c r="CT6" s="13">
        <f>IF('Données projet'!$A$140&gt;35,CT5+CS6-DB5,IF(A6&lt;'Données projet'!$A$140,$CQ$205^A6,IF(A6='Données projet'!$A$140,'Données projet'!$B$140,CT5+CS6-DB5)))</f>
        <v>2.6733068471118351</v>
      </c>
      <c r="CU6" s="18">
        <f>CT6*VLOOKUP('Données projet'!$B$13,Paramètres!$A$1:$I$89,3,0)*VLOOKUP('Données projet'!$B$13,Paramètres!$A$1:$I$89,5,0)</f>
        <v>1.3595369301671949</v>
      </c>
      <c r="CV6" s="14">
        <f t="shared" si="41"/>
        <v>0.60452791597005151</v>
      </c>
      <c r="CW6" s="22">
        <f t="shared" si="13"/>
        <v>3.4207462736890375</v>
      </c>
      <c r="CX6" s="62">
        <f t="shared" si="14"/>
        <v>296.75407960702233</v>
      </c>
      <c r="CY6" s="62">
        <f ca="1">AVERAGE(OFFSET($CX$3,0,0,'Données projet'!$E$13+1,1))-AVERAGE(OFFSET($H$3,0,0,'Données projet'!$E$13+1,1))</f>
        <v>66.561949299871912</v>
      </c>
      <c r="CZ6" s="62">
        <f t="shared" si="42"/>
        <v>382.65744918271389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19.444444444444443</v>
      </c>
      <c r="DO6" s="13">
        <f>IF('Données projet'!$A$166&gt;35,DO5+DN6-DW5,IF(A6&lt;'Données projet'!$A$166,$DL$205^A6,IF(A6='Données projet'!$A$166,'Données projet'!$B$166,DO5+DN6-DW5)))</f>
        <v>2.6546748825543385</v>
      </c>
      <c r="DP6" s="18">
        <f>DO6*VLOOKUP('Données projet'!$B$14,Paramètres!$A$1:$I$89,3,0)*VLOOKUP('Données projet'!$B$14,Paramètres!$A$1:$I$89,5,0)</f>
        <v>1.2879420660200629</v>
      </c>
      <c r="DQ6" s="14">
        <f t="shared" si="43"/>
        <v>0.57631040468098316</v>
      </c>
      <c r="DR6" s="22">
        <f t="shared" si="16"/>
        <v>3.2469063864709891</v>
      </c>
      <c r="DS6" s="62">
        <f t="shared" si="17"/>
        <v>296.5802397198043</v>
      </c>
      <c r="DT6" s="62">
        <f ca="1">AVERAGE(OFFSET($DS$3,0,0,'Données projet'!$E$14+1,1))-AVERAGE(OFFSET($H$3,0,0,'Données projet'!$E$14+1,1))</f>
        <v>60.532656778089574</v>
      </c>
      <c r="DU6" s="62">
        <f t="shared" si="44"/>
        <v>348.96823267563025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2.0467200000000001</v>
      </c>
      <c r="D7" s="12">
        <f t="shared" si="32"/>
        <v>0.8677673319625131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22.497796948482559</v>
      </c>
      <c r="H7" s="70">
        <f t="shared" si="1"/>
        <v>298.4093987698347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20.277777777777779</v>
      </c>
      <c r="N7" s="14">
        <f>IF('Données projet'!$A$36&gt;35,N6+M7-V6,IF(A7&lt;'Données projet'!$A$36,$K$205^A7,IF(A7='Données projet'!$A$36,'Données projet'!$B$36,N6+M7-V6)))</f>
        <v>3.7102093396016507</v>
      </c>
      <c r="O7" s="14">
        <f>N7*VLOOKUP('Données projet'!$B$9,Paramètres!$A$1:$I$89,3,0)*VLOOKUP('Données projet'!$B$9,Paramètres!$A$1:$I$89,5,0)</f>
        <v>2.0778656385505085</v>
      </c>
      <c r="P7" s="14">
        <f t="shared" si="33"/>
        <v>0.87942509354904286</v>
      </c>
      <c r="Q7" s="22">
        <f t="shared" si="2"/>
        <v>5.1506146917400519</v>
      </c>
      <c r="R7" s="62">
        <f t="shared" si="0"/>
        <v>298.48394802507335</v>
      </c>
      <c r="S7" s="62">
        <f ca="1">AVERAGE(OFFSET($R$3,0,0,'Données projet'!$E$9+1,1))-AVERAGE(OFFSET($H$3,0,0,'Données projet'!$E$9+1,1))</f>
        <v>74.209918391015606</v>
      </c>
      <c r="T7" s="62">
        <f t="shared" si="34"/>
        <v>422.59746235438649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20.277777777777779</v>
      </c>
      <c r="AI7" s="14">
        <f>IF('Données projet'!$A$62&gt;35,AI6+AH7-AQ6,IF(A7&lt;'Données projet'!$A$62,$AF$205^A7,IF(A7='Données projet'!$A$62,'Données projet'!$B$62,AI6+AH7-AQ6)))</f>
        <v>3.7102093396016507</v>
      </c>
      <c r="AJ7" s="14">
        <f>AI7*VLOOKUP('Données projet'!$B$10,Paramètres!$A$1:$I$89,3,0)*VLOOKUP('Données projet'!$B$10,Paramètres!$A$1:$I$89,5,0)</f>
        <v>1.8637123554687012</v>
      </c>
      <c r="AK7" s="14">
        <f t="shared" si="35"/>
        <v>0.79883824172793672</v>
      </c>
      <c r="AL7" s="22">
        <f t="shared" si="4"/>
        <v>4.6372756234508108</v>
      </c>
      <c r="AM7" s="62">
        <f t="shared" si="5"/>
        <v>297.97060895678413</v>
      </c>
      <c r="AN7" s="62">
        <f ca="1">AVERAGE(OFFSET($AM$3,0,0,'Données projet'!$E$10+1,1))-AVERAGE(OFFSET($H$3,0,0,'Données projet'!$E$10+1,1))</f>
        <v>65.6337514911271</v>
      </c>
      <c r="AO7" s="62">
        <f t="shared" si="36"/>
        <v>377.81060908047425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17.611111111111111</v>
      </c>
      <c r="BD7" s="13">
        <f>IF('Données projet'!$A$88&gt;35,BD6+BC7-BL6,IF(A7&lt;'Données projet'!$A$88,$BA$205^A7,IF(A7='Données projet'!$A$88,'Données projet'!$B$88,BD6+BC7-BL6)))</f>
        <v>3.5957620718470804</v>
      </c>
      <c r="BE7" s="14">
        <f>BD7*VLOOKUP('Données projet'!$B$11,Paramètres!$A$1:$I$89,3,0)*VLOOKUP('Données projet'!$B$11,Paramètres!$A$1:$I$89,5,0)</f>
        <v>2.0642550902059718</v>
      </c>
      <c r="BF7" s="14">
        <f t="shared" si="37"/>
        <v>0.87433320769774991</v>
      </c>
      <c r="BG7" s="22">
        <f t="shared" si="7"/>
        <v>5.1180412855156474</v>
      </c>
      <c r="BH7" s="62">
        <f t="shared" si="8"/>
        <v>298.45137461884894</v>
      </c>
      <c r="BI7" s="62">
        <f ca="1">AVERAGE(OFFSET($BH$3,0,0,'Données projet'!$E$11+1,1))-AVERAGE(OFFSET($H$3,0,0,'Données projet'!$E$11+1,1))</f>
        <v>66.622529958850123</v>
      </c>
      <c r="BJ7" s="62">
        <f t="shared" si="38"/>
        <v>374.90853633180166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20.277777777777779</v>
      </c>
      <c r="BY7" s="13">
        <f>IF('Données projet'!$A$114&gt;35,BY6+BX7-CG6,IF(A7&lt;'Données projet'!$A$114,$BV$205^A7,IF(A7='Données projet'!$A$114,'Données projet'!$B$114,BY6+BX7-CG6)))</f>
        <v>3.7102093396016507</v>
      </c>
      <c r="BZ7" s="14">
        <f>BY7*VLOOKUP('Données projet'!$B$12,Paramètres!$A$1:$I$89,3,0)*VLOOKUP('Données projet'!$B$12,Paramètres!$A$1:$I$89,5,0)</f>
        <v>1.7711055303522438</v>
      </c>
      <c r="CA7" s="14">
        <f t="shared" si="39"/>
        <v>0.76366142107615331</v>
      </c>
      <c r="CB7" s="22">
        <f t="shared" si="10"/>
        <v>4.4147191070711242</v>
      </c>
      <c r="CC7" s="62">
        <f t="shared" si="11"/>
        <v>297.74805244040442</v>
      </c>
      <c r="CD7" s="62">
        <f ca="1">AVERAGE(OFFSET($CC$3,0,0,'Données projet'!$E$12+1,1))-AVERAGE(OFFSET($H$3,0,0,'Données projet'!$E$12+1,1))</f>
        <v>61.91827157428213</v>
      </c>
      <c r="CE7" s="62">
        <f t="shared" si="40"/>
        <v>358.41033295847001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20.277777777777779</v>
      </c>
      <c r="CT7" s="13">
        <f>IF('Données projet'!$A$140&gt;35,CT6+CS7-DB6,IF(A7&lt;'Données projet'!$A$140,$CQ$205^A7,IF(A7='Données projet'!$A$140,'Données projet'!$B$140,CT6+CS7-DB6)))</f>
        <v>3.7102093396016507</v>
      </c>
      <c r="CU7" s="18">
        <f>CT7*VLOOKUP('Données projet'!$B$13,Paramètres!$A$1:$I$89,3,0)*VLOOKUP('Données projet'!$B$13,Paramètres!$A$1:$I$89,5,0)</f>
        <v>1.8868640617478154</v>
      </c>
      <c r="CV7" s="14">
        <f t="shared" si="41"/>
        <v>0.80760029756876794</v>
      </c>
      <c r="CW7" s="22">
        <f t="shared" si="13"/>
        <v>4.69285875914305</v>
      </c>
      <c r="CX7" s="62">
        <f t="shared" si="14"/>
        <v>298.02619209247638</v>
      </c>
      <c r="CY7" s="62">
        <f ca="1">AVERAGE(OFFSET($CX$3,0,0,'Données projet'!$E$13+1,1))-AVERAGE(OFFSET($H$3,0,0,'Données projet'!$E$13+1,1))</f>
        <v>66.561949299871912</v>
      </c>
      <c r="CZ7" s="62">
        <f t="shared" si="42"/>
        <v>382.65744918271389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19.444444444444443</v>
      </c>
      <c r="DO7" s="13">
        <f>IF('Données projet'!$A$166&gt;35,DO6+DN7-DW6,IF(A7&lt;'Données projet'!$A$166,$DL$205^A7,IF(A7='Données projet'!$A$166,'Données projet'!$B$166,DO6+DN7-DW6)))</f>
        <v>3.6757710611628638</v>
      </c>
      <c r="DP7" s="18">
        <f>DO7*VLOOKUP('Données projet'!$B$14,Paramètres!$A$1:$I$89,3,0)*VLOOKUP('Données projet'!$B$14,Paramètres!$A$1:$I$89,5,0)</f>
        <v>1.7833370880337749</v>
      </c>
      <c r="DQ7" s="14">
        <f t="shared" si="43"/>
        <v>0.76831963832475825</v>
      </c>
      <c r="DR7" s="22">
        <f t="shared" si="16"/>
        <v>4.4441354650744449</v>
      </c>
      <c r="DS7" s="62">
        <f t="shared" si="17"/>
        <v>297.77746879840777</v>
      </c>
      <c r="DT7" s="62">
        <f ca="1">AVERAGE(OFFSET($DS$3,0,0,'Données projet'!$E$14+1,1))-AVERAGE(OFFSET($H$3,0,0,'Données projet'!$E$14+1,1))</f>
        <v>60.532656778089574</v>
      </c>
      <c r="DU7" s="62">
        <f t="shared" si="44"/>
        <v>348.96823267563025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2.5584000000000002</v>
      </c>
      <c r="D8" s="12">
        <f t="shared" si="32"/>
        <v>1.0568977762000111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27.907561781193071</v>
      </c>
      <c r="H8" s="70">
        <f t="shared" si="1"/>
        <v>299.629976960215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20.277777777777779</v>
      </c>
      <c r="N8" s="14">
        <f>IF('Données projet'!$A$36&gt;35,N7+M8-V7,IF(A8&lt;'Données projet'!$A$36,$K$205^A8,IF(A8='Données projet'!$A$36,'Données projet'!$B$36,N7+M8-V7)))</f>
        <v>5.1492979036579127</v>
      </c>
      <c r="O8" s="14">
        <f>N8*VLOOKUP('Données projet'!$B$9,Paramètres!$A$1:$I$89,3,0)*VLOOKUP('Données projet'!$B$9,Paramètres!$A$1:$I$89,5,0)</f>
        <v>2.8838127979645773</v>
      </c>
      <c r="P8" s="14">
        <f t="shared" si="33"/>
        <v>1.1748406458616434</v>
      </c>
      <c r="Q8" s="22">
        <f t="shared" si="2"/>
        <v>7.0688214146640007</v>
      </c>
      <c r="R8" s="62">
        <f t="shared" si="0"/>
        <v>300.40215474799732</v>
      </c>
      <c r="S8" s="62">
        <f ca="1">AVERAGE(OFFSET($R$3,0,0,'Données projet'!$E$9+1,1))-AVERAGE(OFFSET($H$3,0,0,'Données projet'!$E$9+1,1))</f>
        <v>74.209918391015606</v>
      </c>
      <c r="T8" s="62">
        <f t="shared" si="34"/>
        <v>422.59746235438649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20.277777777777779</v>
      </c>
      <c r="AI8" s="14">
        <f>IF('Données projet'!$A$62&gt;35,AI7+AH8-AQ7,IF(A8&lt;'Données projet'!$A$62,$AF$205^A8,IF(A8='Données projet'!$A$62,'Données projet'!$B$62,AI7+AH8-AQ7)))</f>
        <v>5.1492979036579127</v>
      </c>
      <c r="AJ8" s="14">
        <f>AI8*VLOOKUP('Données projet'!$B$10,Paramètres!$A$1:$I$89,3,0)*VLOOKUP('Données projet'!$B$10,Paramètres!$A$1:$I$89,5,0)</f>
        <v>2.5865953229654428</v>
      </c>
      <c r="AK8" s="14">
        <f t="shared" si="35"/>
        <v>1.067183143550237</v>
      </c>
      <c r="AL8" s="22">
        <f t="shared" si="4"/>
        <v>6.3636641625148087</v>
      </c>
      <c r="AM8" s="62">
        <f t="shared" si="5"/>
        <v>299.69699749584811</v>
      </c>
      <c r="AN8" s="62">
        <f ca="1">AVERAGE(OFFSET($AM$3,0,0,'Données projet'!$E$10+1,1))-AVERAGE(OFFSET($H$3,0,0,'Données projet'!$E$10+1,1))</f>
        <v>65.6337514911271</v>
      </c>
      <c r="AO8" s="62">
        <f t="shared" si="36"/>
        <v>377.81060908047425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17.611111111111111</v>
      </c>
      <c r="BD8" s="13">
        <f>IF('Données projet'!$A$88&gt;35,BD7+BC8-BL7,IF(A8&lt;'Données projet'!$A$88,$BA$205^A8,IF(A8='Données projet'!$A$88,'Données projet'!$B$88,BD7+BC8-BL7)))</f>
        <v>4.9515216688458477</v>
      </c>
      <c r="BE8" s="14">
        <f>BD8*VLOOKUP('Données projet'!$B$11,Paramètres!$A$1:$I$89,3,0)*VLOOKUP('Données projet'!$B$11,Paramètres!$A$1:$I$89,5,0)</f>
        <v>2.8425695596510243</v>
      </c>
      <c r="BF8" s="14">
        <f t="shared" si="37"/>
        <v>1.1599818492800675</v>
      </c>
      <c r="BG8" s="22">
        <f t="shared" si="7"/>
        <v>6.9711103705549853</v>
      </c>
      <c r="BH8" s="62">
        <f t="shared" si="8"/>
        <v>300.3044437038883</v>
      </c>
      <c r="BI8" s="62">
        <f ca="1">AVERAGE(OFFSET($BH$3,0,0,'Données projet'!$E$11+1,1))-AVERAGE(OFFSET($H$3,0,0,'Données projet'!$E$11+1,1))</f>
        <v>66.622529958850123</v>
      </c>
      <c r="BJ8" s="62">
        <f t="shared" si="38"/>
        <v>374.90853633180166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20.277777777777779</v>
      </c>
      <c r="BY8" s="13">
        <f>IF('Données projet'!$A$114&gt;35,BY7+BX8-CG7,IF(A8&lt;'Données projet'!$A$114,$BV$205^A8,IF(A8='Données projet'!$A$114,'Données projet'!$B$114,BY7+BX8-CG7)))</f>
        <v>5.1492979036579127</v>
      </c>
      <c r="BZ8" s="14">
        <f>BY8*VLOOKUP('Données projet'!$B$12,Paramètres!$A$1:$I$89,3,0)*VLOOKUP('Données projet'!$B$12,Paramètres!$A$1:$I$89,5,0)</f>
        <v>2.4580688472901411</v>
      </c>
      <c r="CA8" s="14">
        <f t="shared" si="39"/>
        <v>1.0201897623094096</v>
      </c>
      <c r="CB8" s="22">
        <f t="shared" si="10"/>
        <v>6.0579670783858832</v>
      </c>
      <c r="CC8" s="62">
        <f t="shared" si="11"/>
        <v>299.39130041171921</v>
      </c>
      <c r="CD8" s="62">
        <f ca="1">AVERAGE(OFFSET($CC$3,0,0,'Données projet'!$E$12+1,1))-AVERAGE(OFFSET($H$3,0,0,'Données projet'!$E$12+1,1))</f>
        <v>61.91827157428213</v>
      </c>
      <c r="CE8" s="62">
        <f t="shared" si="40"/>
        <v>358.41033295847001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20.277777777777779</v>
      </c>
      <c r="CT8" s="13">
        <f>IF('Données projet'!$A$140&gt;35,CT7+CS8-DB7,IF(A8&lt;'Données projet'!$A$140,$CQ$205^A8,IF(A8='Données projet'!$A$140,'Données projet'!$B$140,CT7+CS8-DB7)))</f>
        <v>5.1492979036579127</v>
      </c>
      <c r="CU8" s="18">
        <f>CT8*VLOOKUP('Données projet'!$B$13,Paramètres!$A$1:$I$89,3,0)*VLOOKUP('Données projet'!$B$13,Paramètres!$A$1:$I$89,5,0)</f>
        <v>2.6187269418842685</v>
      </c>
      <c r="CV8" s="14">
        <f t="shared" si="41"/>
        <v>1.0788885399718642</v>
      </c>
      <c r="CW8" s="22">
        <f t="shared" si="13"/>
        <v>6.44001363089943</v>
      </c>
      <c r="CX8" s="62">
        <f t="shared" si="14"/>
        <v>299.77334696423276</v>
      </c>
      <c r="CY8" s="62">
        <f ca="1">AVERAGE(OFFSET($CX$3,0,0,'Données projet'!$E$13+1,1))-AVERAGE(OFFSET($H$3,0,0,'Données projet'!$E$13+1,1))</f>
        <v>66.561949299871912</v>
      </c>
      <c r="CZ8" s="62">
        <f t="shared" si="42"/>
        <v>382.65744918271389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19.444444444444443</v>
      </c>
      <c r="DO8" s="13">
        <f>IF('Données projet'!$A$166&gt;35,DO7+DN8-DW7,IF(A8&lt;'Données projet'!$A$166,$DL$205^A8,IF(A8='Données projet'!$A$166,'Données projet'!$B$166,DO7+DN8-DW7)))</f>
        <v>5.0896224554178735</v>
      </c>
      <c r="DP8" s="18">
        <f>DO8*VLOOKUP('Données projet'!$B$14,Paramètres!$A$1:$I$89,3,0)*VLOOKUP('Données projet'!$B$14,Paramètres!$A$1:$I$89,5,0)</f>
        <v>2.4692812304705356</v>
      </c>
      <c r="DQ8" s="14">
        <f t="shared" si="43"/>
        <v>1.0243005537306873</v>
      </c>
      <c r="DR8" s="22">
        <f t="shared" si="16"/>
        <v>6.0846549408171287</v>
      </c>
      <c r="DS8" s="62">
        <f t="shared" si="17"/>
        <v>299.41798827415045</v>
      </c>
      <c r="DT8" s="62">
        <f ca="1">AVERAGE(OFFSET($DS$3,0,0,'Données projet'!$E$14+1,1))-AVERAGE(OFFSET($H$3,0,0,'Données projet'!$E$14+1,1))</f>
        <v>60.532656778089574</v>
      </c>
      <c r="DU8" s="62">
        <f t="shared" si="44"/>
        <v>348.96823267563025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3.0700800000000004</v>
      </c>
      <c r="D9" s="12">
        <f t="shared" si="32"/>
        <v>1.2416452547724184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33.283493194734469</v>
      </c>
      <c r="H9" s="70">
        <f t="shared" si="1"/>
        <v>300.84292148539527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20.277777777777779</v>
      </c>
      <c r="N9" s="14">
        <f>IF('Données projet'!$A$36&gt;35,N8+M9-V8,IF(A9&lt;'Données projet'!$A$36,$K$205^A9,IF(A9='Données projet'!$A$36,'Données projet'!$B$36,N8+M9-V8)))</f>
        <v>7.1465694988150208</v>
      </c>
      <c r="O9" s="14">
        <f>N9*VLOOKUP('Données projet'!$B$9,Paramètres!$A$1:$I$89,3,0)*VLOOKUP('Données projet'!$B$9,Paramètres!$A$1:$I$89,5,0)</f>
        <v>4.0023647821163646</v>
      </c>
      <c r="P9" s="14">
        <f t="shared" si="33"/>
        <v>1.5694918797443107</v>
      </c>
      <c r="Q9" s="22">
        <f t="shared" si="2"/>
        <v>9.7043170194073411</v>
      </c>
      <c r="R9" s="62">
        <f t="shared" si="0"/>
        <v>303.03765035274068</v>
      </c>
      <c r="S9" s="62">
        <f ca="1">AVERAGE(OFFSET($R$3,0,0,'Données projet'!$E$9+1,1))-AVERAGE(OFFSET($H$3,0,0,'Données projet'!$E$9+1,1))</f>
        <v>74.209918391015606</v>
      </c>
      <c r="T9" s="62">
        <f t="shared" si="34"/>
        <v>422.59746235438649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20.277777777777779</v>
      </c>
      <c r="AI9" s="14">
        <f>IF('Données projet'!$A$62&gt;35,AI8+AH9-AQ8,IF(A9&lt;'Données projet'!$A$62,$AF$205^A9,IF(A9='Données projet'!$A$62,'Données projet'!$B$62,AI8+AH9-AQ8)))</f>
        <v>7.1465694988150208</v>
      </c>
      <c r="AJ9" s="14">
        <f>AI9*VLOOKUP('Données projet'!$B$10,Paramètres!$A$1:$I$89,3,0)*VLOOKUP('Données projet'!$B$10,Paramètres!$A$1:$I$89,5,0)</f>
        <v>3.5898647906447616</v>
      </c>
      <c r="AK9" s="14">
        <f t="shared" si="35"/>
        <v>1.4256701825069089</v>
      </c>
      <c r="AL9" s="22">
        <f t="shared" si="4"/>
        <v>8.735390078239158</v>
      </c>
      <c r="AM9" s="62">
        <f t="shared" si="5"/>
        <v>302.06872341157248</v>
      </c>
      <c r="AN9" s="62">
        <f ca="1">AVERAGE(OFFSET($AM$3,0,0,'Données projet'!$E$10+1,1))-AVERAGE(OFFSET($H$3,0,0,'Données projet'!$E$10+1,1))</f>
        <v>65.6337514911271</v>
      </c>
      <c r="AO9" s="62">
        <f t="shared" si="36"/>
        <v>377.81060908047425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17.611111111111111</v>
      </c>
      <c r="BD9" s="13">
        <f>IF('Données projet'!$A$88&gt;35,BD8+BC9-BL8,IF(A9&lt;'Données projet'!$A$88,$BA$205^A9,IF(A9='Données projet'!$A$88,'Données projet'!$B$88,BD8+BC9-BL8)))</f>
        <v>6.8184619413530108</v>
      </c>
      <c r="BE9" s="14">
        <f>BD9*VLOOKUP('Données projet'!$B$11,Paramètres!$A$1:$I$89,3,0)*VLOOKUP('Données projet'!$B$11,Paramètres!$A$1:$I$89,5,0)</f>
        <v>3.9143426312919365</v>
      </c>
      <c r="BF9" s="14">
        <f t="shared" si="37"/>
        <v>1.5389532032098612</v>
      </c>
      <c r="BG9" s="22">
        <f t="shared" si="7"/>
        <v>9.4978235784239651</v>
      </c>
      <c r="BH9" s="62">
        <f t="shared" si="8"/>
        <v>302.83115691175726</v>
      </c>
      <c r="BI9" s="62">
        <f ca="1">AVERAGE(OFFSET($BH$3,0,0,'Données projet'!$E$11+1,1))-AVERAGE(OFFSET($H$3,0,0,'Données projet'!$E$11+1,1))</f>
        <v>66.622529958850123</v>
      </c>
      <c r="BJ9" s="62">
        <f t="shared" si="38"/>
        <v>374.90853633180166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20.277777777777779</v>
      </c>
      <c r="BY9" s="13">
        <f>IF('Données projet'!$A$114&gt;35,BY8+BX9-CG8,IF(A9&lt;'Données projet'!$A$114,$BV$205^A9,IF(A9='Données projet'!$A$114,'Données projet'!$B$114,BY8+BX9-CG8)))</f>
        <v>7.1465694988150208</v>
      </c>
      <c r="BZ9" s="14">
        <f>BY9*VLOOKUP('Données projet'!$B$12,Paramètres!$A$1:$I$89,3,0)*VLOOKUP('Données projet'!$B$12,Paramètres!$A$1:$I$89,5,0)</f>
        <v>3.4114864159543385</v>
      </c>
      <c r="CA9" s="14">
        <f t="shared" si="39"/>
        <v>1.3628908340744128</v>
      </c>
      <c r="CB9" s="22">
        <f t="shared" si="10"/>
        <v>8.3153737104667407</v>
      </c>
      <c r="CC9" s="62">
        <f t="shared" si="11"/>
        <v>301.64870704380007</v>
      </c>
      <c r="CD9" s="62">
        <f ca="1">AVERAGE(OFFSET($CC$3,0,0,'Données projet'!$E$12+1,1))-AVERAGE(OFFSET($H$3,0,0,'Données projet'!$E$12+1,1))</f>
        <v>61.91827157428213</v>
      </c>
      <c r="CE9" s="62">
        <f t="shared" si="40"/>
        <v>358.41033295847001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20.277777777777779</v>
      </c>
      <c r="CT9" s="13">
        <f>IF('Données projet'!$A$140&gt;35,CT8+CS9-DB8,IF(A9&lt;'Données projet'!$A$140,$CQ$205^A9,IF(A9='Données projet'!$A$140,'Données projet'!$B$140,CT8+CS9-DB8)))</f>
        <v>7.1465694988150208</v>
      </c>
      <c r="CU9" s="18">
        <f>CT9*VLOOKUP('Données projet'!$B$13,Paramètres!$A$1:$I$89,3,0)*VLOOKUP('Données projet'!$B$13,Paramètres!$A$1:$I$89,5,0)</f>
        <v>3.6344593843173674</v>
      </c>
      <c r="CV9" s="14">
        <f t="shared" si="41"/>
        <v>1.4413076433809819</v>
      </c>
      <c r="CW9" s="22">
        <f t="shared" si="13"/>
        <v>8.8402942399079567</v>
      </c>
      <c r="CX9" s="62">
        <f t="shared" si="14"/>
        <v>302.17362757324128</v>
      </c>
      <c r="CY9" s="62">
        <f ca="1">AVERAGE(OFFSET($CX$3,0,0,'Données projet'!$E$13+1,1))-AVERAGE(OFFSET($H$3,0,0,'Données projet'!$E$13+1,1))</f>
        <v>66.561949299871912</v>
      </c>
      <c r="CZ9" s="62">
        <f t="shared" si="42"/>
        <v>382.65744918271389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19.444444444444443</v>
      </c>
      <c r="DO9" s="13">
        <f>IF('Données projet'!$A$166&gt;35,DO8+DN9-DW8,IF(A9&lt;'Données projet'!$A$166,$DL$205^A9,IF(A9='Données projet'!$A$166,'Données projet'!$B$166,DO8+DN9-DW8)))</f>
        <v>7.0472987320648892</v>
      </c>
      <c r="DP9" s="18">
        <f>DO9*VLOOKUP('Données projet'!$B$14,Paramètres!$A$1:$I$89,3,0)*VLOOKUP('Données projet'!$B$14,Paramètres!$A$1:$I$89,5,0)</f>
        <v>3.4190674528486023</v>
      </c>
      <c r="DQ9" s="14">
        <f t="shared" si="43"/>
        <v>1.3655665845801452</v>
      </c>
      <c r="DR9" s="22">
        <f t="shared" si="16"/>
        <v>8.333237615188402</v>
      </c>
      <c r="DS9" s="62">
        <f t="shared" si="17"/>
        <v>301.66657094852172</v>
      </c>
      <c r="DT9" s="62">
        <f ca="1">AVERAGE(OFFSET($DS$3,0,0,'Données projet'!$E$14+1,1))-AVERAGE(OFFSET($H$3,0,0,'Données projet'!$E$14+1,1))</f>
        <v>60.532656778089574</v>
      </c>
      <c r="DU9" s="62">
        <f t="shared" si="44"/>
        <v>348.96823267563025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3.5817600000000005</v>
      </c>
      <c r="D10" s="12">
        <f t="shared" si="32"/>
        <v>1.422825750265666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38.63189000205076</v>
      </c>
      <c r="H10" s="70">
        <f t="shared" si="1"/>
        <v>302.04965351504603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20.277777777777779</v>
      </c>
      <c r="N10" s="14">
        <f>IF('Données projet'!$A$36&gt;35,N9+M10-V9,IF(A10&lt;'Données projet'!$A$36,$K$205^A10,IF(A10='Données projet'!$A$36,'Données projet'!$B$36,N9+M10-V9)))</f>
        <v>9.9185280317753719</v>
      </c>
      <c r="O10" s="14">
        <f>N10*VLOOKUP('Données projet'!$B$9,Paramètres!$A$1:$I$89,3,0)*VLOOKUP('Données projet'!$B$9,Paramètres!$A$1:$I$89,5,0)</f>
        <v>5.5547724389154789</v>
      </c>
      <c r="P10" s="14">
        <f t="shared" si="33"/>
        <v>2.0967139409589541</v>
      </c>
      <c r="Q10" s="22">
        <f t="shared" si="2"/>
        <v>13.326338778281302</v>
      </c>
      <c r="R10" s="62">
        <f t="shared" si="0"/>
        <v>306.65967211161461</v>
      </c>
      <c r="S10" s="62">
        <f ca="1">AVERAGE(OFFSET($R$3,0,0,'Données projet'!$E$9+1,1))-AVERAGE(OFFSET($H$3,0,0,'Données projet'!$E$9+1,1))</f>
        <v>74.209918391015606</v>
      </c>
      <c r="T10" s="62">
        <f t="shared" si="34"/>
        <v>422.59746235438649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20.277777777777779</v>
      </c>
      <c r="AI10" s="14">
        <f>IF('Données projet'!$A$62&gt;35,AI9+AH10-AQ9,IF(A10&lt;'Données projet'!$A$62,$AF$205^A10,IF(A10='Données projet'!$A$62,'Données projet'!$B$62,AI9+AH10-AQ9)))</f>
        <v>9.9185280317753719</v>
      </c>
      <c r="AJ10" s="14">
        <f>AI10*VLOOKUP('Données projet'!$B$10,Paramètres!$A$1:$I$89,3,0)*VLOOKUP('Données projet'!$B$10,Paramètres!$A$1:$I$89,5,0)</f>
        <v>4.9822750009214047</v>
      </c>
      <c r="AK10" s="14">
        <f t="shared" si="35"/>
        <v>1.9045798104789897</v>
      </c>
      <c r="AL10" s="22">
        <f t="shared" si="4"/>
        <v>11.99460546318902</v>
      </c>
      <c r="AM10" s="62">
        <f t="shared" si="5"/>
        <v>305.32793879652235</v>
      </c>
      <c r="AN10" s="62">
        <f ca="1">AVERAGE(OFFSET($AM$3,0,0,'Données projet'!$E$10+1,1))-AVERAGE(OFFSET($H$3,0,0,'Données projet'!$E$10+1,1))</f>
        <v>65.6337514911271</v>
      </c>
      <c r="AO10" s="62">
        <f t="shared" si="36"/>
        <v>377.81060908047425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17.611111111111111</v>
      </c>
      <c r="BD10" s="13">
        <f>IF('Données projet'!$A$88&gt;35,BD9+BC10-BL9,IF(A10&lt;'Données projet'!$A$88,$BA$205^A10,IF(A10='Données projet'!$A$88,'Données projet'!$B$88,BD9+BC10-BL9)))</f>
        <v>9.3893203655344539</v>
      </c>
      <c r="BE10" s="14">
        <f>BD10*VLOOKUP('Données projet'!$B$11,Paramètres!$A$1:$I$89,3,0)*VLOOKUP('Données projet'!$B$11,Paramètres!$A$1:$I$89,5,0)</f>
        <v>5.3902210354460189</v>
      </c>
      <c r="BF10" s="14">
        <f t="shared" si="37"/>
        <v>2.041736224700244</v>
      </c>
      <c r="BG10" s="22">
        <f t="shared" si="7"/>
        <v>12.943992228088073</v>
      </c>
      <c r="BH10" s="62">
        <f t="shared" si="8"/>
        <v>306.27732556142138</v>
      </c>
      <c r="BI10" s="62">
        <f ca="1">AVERAGE(OFFSET($BH$3,0,0,'Données projet'!$E$11+1,1))-AVERAGE(OFFSET($H$3,0,0,'Données projet'!$E$11+1,1))</f>
        <v>66.622529958850123</v>
      </c>
      <c r="BJ10" s="62">
        <f t="shared" si="38"/>
        <v>374.90853633180166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20.277777777777779</v>
      </c>
      <c r="BY10" s="13">
        <f>IF('Données projet'!$A$114&gt;35,BY9+BX10-CG9,IF(A10&lt;'Données projet'!$A$114,$BV$205^A10,IF(A10='Données projet'!$A$114,'Données projet'!$B$114,BY9+BX10-CG9)))</f>
        <v>9.9185280317753719</v>
      </c>
      <c r="BZ10" s="14">
        <f>BY10*VLOOKUP('Données projet'!$B$12,Paramètres!$A$1:$I$89,3,0)*VLOOKUP('Données projet'!$B$12,Paramètres!$A$1:$I$89,5,0)</f>
        <v>4.7347085412482919</v>
      </c>
      <c r="CA10" s="14">
        <f t="shared" si="39"/>
        <v>1.8207116893618684</v>
      </c>
      <c r="CB10" s="22">
        <f t="shared" si="10"/>
        <v>11.417356901646029</v>
      </c>
      <c r="CC10" s="62">
        <f t="shared" si="11"/>
        <v>304.75069023497934</v>
      </c>
      <c r="CD10" s="62">
        <f ca="1">AVERAGE(OFFSET($CC$3,0,0,'Données projet'!$E$12+1,1))-AVERAGE(OFFSET($H$3,0,0,'Données projet'!$E$12+1,1))</f>
        <v>61.91827157428213</v>
      </c>
      <c r="CE10" s="62">
        <f t="shared" si="40"/>
        <v>358.41033295847001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20.277777777777779</v>
      </c>
      <c r="CT10" s="13">
        <f>IF('Données projet'!$A$140&gt;35,CT9+CS10-DB9,IF(A10&lt;'Données projet'!$A$140,$CQ$205^A10,IF(A10='Données projet'!$A$140,'Données projet'!$B$140,CT9+CS10-DB9)))</f>
        <v>9.9185280317753719</v>
      </c>
      <c r="CU10" s="18">
        <f>CT10*VLOOKUP('Données projet'!$B$13,Paramètres!$A$1:$I$89,3,0)*VLOOKUP('Données projet'!$B$13,Paramètres!$A$1:$I$89,5,0)</f>
        <v>5.0441666158396838</v>
      </c>
      <c r="CV10" s="14">
        <f t="shared" si="41"/>
        <v>1.925470190760034</v>
      </c>
      <c r="CW10" s="22">
        <f t="shared" si="13"/>
        <v>12.138784104827842</v>
      </c>
      <c r="CX10" s="62">
        <f t="shared" si="14"/>
        <v>305.47211743816115</v>
      </c>
      <c r="CY10" s="62">
        <f ca="1">AVERAGE(OFFSET($CX$3,0,0,'Données projet'!$E$13+1,1))-AVERAGE(OFFSET($H$3,0,0,'Données projet'!$E$13+1,1))</f>
        <v>66.561949299871912</v>
      </c>
      <c r="CZ10" s="62">
        <f t="shared" si="42"/>
        <v>382.65744918271389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19.444444444444443</v>
      </c>
      <c r="DO10" s="13">
        <f>IF('Données projet'!$A$166&gt;35,DO9+DN10-DW9,IF(A10&lt;'Données projet'!$A$166,$DL$205^A10,IF(A10='Données projet'!$A$166,'Données projet'!$B$166,DO9+DN10-DW9)))</f>
        <v>9.7579771100891612</v>
      </c>
      <c r="DP10" s="18">
        <f>DO10*VLOOKUP('Données projet'!$B$14,Paramètres!$A$1:$I$89,3,0)*VLOOKUP('Données projet'!$B$14,Paramètres!$A$1:$I$89,5,0)</f>
        <v>4.7341801747308576</v>
      </c>
      <c r="DQ10" s="14">
        <f t="shared" si="43"/>
        <v>1.8205321574122426</v>
      </c>
      <c r="DR10" s="22">
        <f t="shared" si="16"/>
        <v>11.416123978482565</v>
      </c>
      <c r="DS10" s="62">
        <f t="shared" si="17"/>
        <v>304.74945731181589</v>
      </c>
      <c r="DT10" s="62">
        <f ca="1">AVERAGE(OFFSET($DS$3,0,0,'Données projet'!$E$14+1,1))-AVERAGE(OFFSET($H$3,0,0,'Données projet'!$E$14+1,1))</f>
        <v>60.532656778089574</v>
      </c>
      <c r="DU10" s="62">
        <f t="shared" si="44"/>
        <v>348.96823267563025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4.0934400000000002</v>
      </c>
      <c r="D11" s="12">
        <f t="shared" si="32"/>
        <v>1.6010076267658291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43.957139575034468</v>
      </c>
      <c r="H11" s="70">
        <f t="shared" si="1"/>
        <v>303.25116294995047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20.277777777777779</v>
      </c>
      <c r="N11" s="14">
        <f>IF('Données projet'!$A$36&gt;35,N10+M11-V10,IF(A11&lt;'Données projet'!$A$36,$K$205^A11,IF(A11='Données projet'!$A$36,'Données projet'!$B$36,N10+M11-V10)))</f>
        <v>13.765653343667317</v>
      </c>
      <c r="O11" s="14">
        <f>N11*VLOOKUP('Données projet'!$B$9,Paramètres!$A$1:$I$89,3,0)*VLOOKUP('Données projet'!$B$9,Paramètres!$A$1:$I$89,5,0)</f>
        <v>7.7093164985874445</v>
      </c>
      <c r="P11" s="14">
        <f t="shared" si="33"/>
        <v>2.8010398823648752</v>
      </c>
      <c r="Q11" s="22">
        <f t="shared" si="2"/>
        <v>18.305537363491958</v>
      </c>
      <c r="R11" s="62">
        <f t="shared" si="0"/>
        <v>311.63887069682528</v>
      </c>
      <c r="S11" s="62">
        <f ca="1">AVERAGE(OFFSET($R$3,0,0,'Données projet'!$E$9+1,1))-AVERAGE(OFFSET($H$3,0,0,'Données projet'!$E$9+1,1))</f>
        <v>74.209918391015606</v>
      </c>
      <c r="T11" s="62">
        <f t="shared" si="34"/>
        <v>422.59746235438649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20.277777777777779</v>
      </c>
      <c r="AI11" s="14">
        <f>IF('Données projet'!$A$62&gt;35,AI10+AH11-AQ10,IF(A11&lt;'Données projet'!$A$62,$AF$205^A11,IF(A11='Données projet'!$A$62,'Données projet'!$B$62,AI10+AH11-AQ10)))</f>
        <v>13.765653343667317</v>
      </c>
      <c r="AJ11" s="14">
        <f>AI11*VLOOKUP('Données projet'!$B$10,Paramètres!$A$1:$I$89,3,0)*VLOOKUP('Données projet'!$B$10,Paramètres!$A$1:$I$89,5,0)</f>
        <v>6.9147629875909669</v>
      </c>
      <c r="AK11" s="14">
        <f t="shared" si="35"/>
        <v>2.5443642568898341</v>
      </c>
      <c r="AL11" s="22">
        <f t="shared" si="4"/>
        <v>16.474646617470725</v>
      </c>
      <c r="AM11" s="62">
        <f t="shared" si="5"/>
        <v>309.80797995080405</v>
      </c>
      <c r="AN11" s="62">
        <f ca="1">AVERAGE(OFFSET($AM$3,0,0,'Données projet'!$E$10+1,1))-AVERAGE(OFFSET($H$3,0,0,'Données projet'!$E$10+1,1))</f>
        <v>65.6337514911271</v>
      </c>
      <c r="AO11" s="62">
        <f t="shared" si="36"/>
        <v>377.81060908047425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17.611111111111111</v>
      </c>
      <c r="BD11" s="13">
        <f>IF('Données projet'!$A$88&gt;35,BD10+BC11-BL10,IF(A11&lt;'Données projet'!$A$88,$BA$205^A11,IF(A11='Données projet'!$A$88,'Données projet'!$B$88,BD10+BC11-BL10)))</f>
        <v>12.929504877334008</v>
      </c>
      <c r="BE11" s="14">
        <f>BD11*VLOOKUP('Données projet'!$B$11,Paramètres!$A$1:$I$89,3,0)*VLOOKUP('Données projet'!$B$11,Paramètres!$A$1:$I$89,5,0)</f>
        <v>7.422570159979907</v>
      </c>
      <c r="BF11" s="14">
        <f t="shared" si="37"/>
        <v>2.708780749511027</v>
      </c>
      <c r="BG11" s="22">
        <f t="shared" si="7"/>
        <v>17.645436167363375</v>
      </c>
      <c r="BH11" s="62">
        <f t="shared" si="8"/>
        <v>310.97876950069667</v>
      </c>
      <c r="BI11" s="62">
        <f ca="1">AVERAGE(OFFSET($BH$3,0,0,'Données projet'!$E$11+1,1))-AVERAGE(OFFSET($H$3,0,0,'Données projet'!$E$11+1,1))</f>
        <v>66.622529958850123</v>
      </c>
      <c r="BJ11" s="62">
        <f t="shared" si="38"/>
        <v>374.90853633180166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20.277777777777779</v>
      </c>
      <c r="BY11" s="13">
        <f>IF('Données projet'!$A$114&gt;35,BY10+BX11-CG10,IF(A11&lt;'Données projet'!$A$114,$BV$205^A11,IF(A11='Données projet'!$A$114,'Données projet'!$B$114,BY10+BX11-CG10)))</f>
        <v>13.765653343667317</v>
      </c>
      <c r="BZ11" s="14">
        <f>BY11*VLOOKUP('Données projet'!$B$12,Paramètres!$A$1:$I$89,3,0)*VLOOKUP('Données projet'!$B$12,Paramètres!$A$1:$I$89,5,0)</f>
        <v>6.5711722801330312</v>
      </c>
      <c r="CA11" s="14">
        <f t="shared" si="39"/>
        <v>2.4323232447522307</v>
      </c>
      <c r="CB11" s="22">
        <f t="shared" si="10"/>
        <v>15.681088039175163</v>
      </c>
      <c r="CC11" s="62">
        <f t="shared" si="11"/>
        <v>309.01442137250848</v>
      </c>
      <c r="CD11" s="62">
        <f ca="1">AVERAGE(OFFSET($CC$3,0,0,'Données projet'!$E$12+1,1))-AVERAGE(OFFSET($H$3,0,0,'Données projet'!$E$12+1,1))</f>
        <v>61.91827157428213</v>
      </c>
      <c r="CE11" s="62">
        <f t="shared" si="40"/>
        <v>358.41033295847001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20.277777777777779</v>
      </c>
      <c r="CT11" s="13">
        <f>IF('Données projet'!$A$140&gt;35,CT10+CS11-DB10,IF(A11&lt;'Données projet'!$A$140,$CQ$205^A11,IF(A11='Données projet'!$A$140,'Données projet'!$B$140,CT10+CS11-DB10)))</f>
        <v>13.765653343667317</v>
      </c>
      <c r="CU11" s="18">
        <f>CT11*VLOOKUP('Données projet'!$B$13,Paramètres!$A$1:$I$89,3,0)*VLOOKUP('Données projet'!$B$13,Paramètres!$A$1:$I$89,5,0)</f>
        <v>7.0006606644554514</v>
      </c>
      <c r="CV11" s="14">
        <f t="shared" si="41"/>
        <v>2.5722721117392227</v>
      </c>
      <c r="CW11" s="22">
        <f t="shared" si="13"/>
        <v>16.672857918539059</v>
      </c>
      <c r="CX11" s="62">
        <f t="shared" si="14"/>
        <v>310.00619125187239</v>
      </c>
      <c r="CY11" s="62">
        <f ca="1">AVERAGE(OFFSET($CX$3,0,0,'Données projet'!$E$13+1,1))-AVERAGE(OFFSET($H$3,0,0,'Données projet'!$E$13+1,1))</f>
        <v>66.561949299871912</v>
      </c>
      <c r="CZ11" s="62">
        <f t="shared" si="42"/>
        <v>382.65744918271389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19.444444444444443</v>
      </c>
      <c r="DO11" s="13">
        <f>IF('Données projet'!$A$166&gt;35,DO10+DN11-DW10,IF(A11&lt;'Données projet'!$A$166,$DL$205^A11,IF(A11='Données projet'!$A$166,'Données projet'!$B$166,DO10+DN11-DW10)))</f>
        <v>13.511292894082366</v>
      </c>
      <c r="DP11" s="18">
        <f>DO11*VLOOKUP('Données projet'!$B$14,Paramètres!$A$1:$I$89,3,0)*VLOOKUP('Données projet'!$B$14,Paramètres!$A$1:$I$89,5,0)</f>
        <v>6.5551388604930008</v>
      </c>
      <c r="DQ11" s="14">
        <f t="shared" si="43"/>
        <v>2.4270785281342357</v>
      </c>
      <c r="DR11" s="22">
        <f t="shared" si="16"/>
        <v>15.644028618525772</v>
      </c>
      <c r="DS11" s="62">
        <f t="shared" si="17"/>
        <v>308.97736195185911</v>
      </c>
      <c r="DT11" s="62">
        <f ca="1">AVERAGE(OFFSET($DS$3,0,0,'Données projet'!$E$14+1,1))-AVERAGE(OFFSET($H$3,0,0,'Données projet'!$E$14+1,1))</f>
        <v>60.532656778089574</v>
      </c>
      <c r="DU11" s="62">
        <f t="shared" si="44"/>
        <v>348.96823267563025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4.6051200000000003</v>
      </c>
      <c r="D12" s="12">
        <f t="shared" si="32"/>
        <v>1.7766086391063436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49.262466687838447</v>
      </c>
      <c r="H12" s="70">
        <f t="shared" si="1"/>
        <v>304.44817737977684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20.277777777777779</v>
      </c>
      <c r="N12" s="14">
        <f>IF('Données projet'!$A$36&gt;35,N11+M12-V11,IF(A12&lt;'Données projet'!$A$36,$K$205^A12,IF(A12='Données projet'!$A$36,'Données projet'!$B$36,N11+M12-V11)))</f>
        <v>19.104973174542792</v>
      </c>
      <c r="O12" s="14">
        <f>N12*VLOOKUP('Données projet'!$B$9,Paramètres!$A$1:$I$89,3,0)*VLOOKUP('Données projet'!$B$9,Paramètres!$A$1:$I$89,5,0)</f>
        <v>10.699549176670946</v>
      </c>
      <c r="P12" s="14">
        <f t="shared" si="33"/>
        <v>3.7419622530912648</v>
      </c>
      <c r="Q12" s="22">
        <f t="shared" si="2"/>
        <v>25.152299073502515</v>
      </c>
      <c r="R12" s="62">
        <f t="shared" si="0"/>
        <v>318.4856324068358</v>
      </c>
      <c r="S12" s="62">
        <f ca="1">AVERAGE(OFFSET($R$3,0,0,'Données projet'!$E$9+1,1))-AVERAGE(OFFSET($H$3,0,0,'Données projet'!$E$9+1,1))</f>
        <v>74.209918391015606</v>
      </c>
      <c r="T12" s="62">
        <f t="shared" si="34"/>
        <v>422.59746235438649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20.277777777777779</v>
      </c>
      <c r="AI12" s="14">
        <f>IF('Données projet'!$A$62&gt;35,AI11+AH12-AQ11,IF(A12&lt;'Données projet'!$A$62,$AF$205^A12,IF(A12='Données projet'!$A$62,'Données projet'!$B$62,AI11+AH12-AQ11)))</f>
        <v>19.104973174542792</v>
      </c>
      <c r="AJ12" s="14">
        <f>AI12*VLOOKUP('Données projet'!$B$10,Paramètres!$A$1:$I$89,3,0)*VLOOKUP('Données projet'!$B$10,Paramètres!$A$1:$I$89,5,0)</f>
        <v>9.5968101250363365</v>
      </c>
      <c r="AK12" s="14">
        <f t="shared" si="35"/>
        <v>3.3990644215169121</v>
      </c>
      <c r="AL12" s="22">
        <f t="shared" si="4"/>
        <v>22.634481501913573</v>
      </c>
      <c r="AM12" s="62">
        <f t="shared" si="5"/>
        <v>315.96781483524688</v>
      </c>
      <c r="AN12" s="62">
        <f ca="1">AVERAGE(OFFSET($AM$3,0,0,'Données projet'!$E$10+1,1))-AVERAGE(OFFSET($H$3,0,0,'Données projet'!$E$10+1,1))</f>
        <v>65.6337514911271</v>
      </c>
      <c r="AO12" s="62">
        <f t="shared" si="36"/>
        <v>377.81060908047425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17.611111111111111</v>
      </c>
      <c r="BD12" s="13">
        <f>IF('Données projet'!$A$88&gt;35,BD11+BC12-BL11,IF(A12&lt;'Données projet'!$A$88,$BA$205^A12,IF(A12='Données projet'!$A$88,'Données projet'!$B$88,BD11+BC12-BL11)))</f>
        <v>17.804493814764857</v>
      </c>
      <c r="BE12" s="14">
        <f>BD12*VLOOKUP('Données projet'!$B$11,Paramètres!$A$1:$I$89,3,0)*VLOOKUP('Données projet'!$B$11,Paramètres!$A$1:$I$89,5,0)</f>
        <v>10.22120380918021</v>
      </c>
      <c r="BF12" s="14">
        <f t="shared" si="37"/>
        <v>3.5937517589955945</v>
      </c>
      <c r="BG12" s="22">
        <f t="shared" si="7"/>
        <v>24.061047614572857</v>
      </c>
      <c r="BH12" s="62">
        <f t="shared" si="8"/>
        <v>317.39438094790614</v>
      </c>
      <c r="BI12" s="62">
        <f ca="1">AVERAGE(OFFSET($BH$3,0,0,'Données projet'!$E$11+1,1))-AVERAGE(OFFSET($H$3,0,0,'Données projet'!$E$11+1,1))</f>
        <v>66.622529958850123</v>
      </c>
      <c r="BJ12" s="62">
        <f t="shared" si="38"/>
        <v>374.90853633180166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20.277777777777779</v>
      </c>
      <c r="BY12" s="13">
        <f>IF('Données projet'!$A$114&gt;35,BY11+BX12-CG11,IF(A12&lt;'Données projet'!$A$114,$BV$205^A12,IF(A12='Données projet'!$A$114,'Données projet'!$B$114,BY11+BX12-CG11)))</f>
        <v>19.104973174542792</v>
      </c>
      <c r="BZ12" s="14">
        <f>BY12*VLOOKUP('Données projet'!$B$12,Paramètres!$A$1:$I$89,3,0)*VLOOKUP('Données projet'!$B$12,Paramètres!$A$1:$I$89,5,0)</f>
        <v>9.1199499945997466</v>
      </c>
      <c r="CA12" s="14">
        <f t="shared" si="39"/>
        <v>3.2493867104437353</v>
      </c>
      <c r="CB12" s="22">
        <f t="shared" si="10"/>
        <v>21.543261427950728</v>
      </c>
      <c r="CC12" s="62">
        <f t="shared" si="11"/>
        <v>314.87659476128403</v>
      </c>
      <c r="CD12" s="62">
        <f ca="1">AVERAGE(OFFSET($CC$3,0,0,'Données projet'!$E$12+1,1))-AVERAGE(OFFSET($H$3,0,0,'Données projet'!$E$12+1,1))</f>
        <v>61.91827157428213</v>
      </c>
      <c r="CE12" s="62">
        <f t="shared" si="40"/>
        <v>358.41033295847001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20.277777777777779</v>
      </c>
      <c r="CT12" s="13">
        <f>IF('Données projet'!$A$140&gt;35,CT11+CS12-DB11,IF(A12&lt;'Données projet'!$A$140,$CQ$205^A12,IF(A12='Données projet'!$A$140,'Données projet'!$B$140,CT11+CS12-DB11)))</f>
        <v>19.104973174542792</v>
      </c>
      <c r="CU12" s="18">
        <f>CT12*VLOOKUP('Données projet'!$B$13,Paramètres!$A$1:$I$89,3,0)*VLOOKUP('Données projet'!$B$13,Paramètres!$A$1:$I$89,5,0)</f>
        <v>9.7160251576454826</v>
      </c>
      <c r="CV12" s="14">
        <f t="shared" si="41"/>
        <v>3.4363470536096012</v>
      </c>
      <c r="CW12" s="22">
        <f t="shared" si="13"/>
        <v>22.907048267935934</v>
      </c>
      <c r="CX12" s="62">
        <f t="shared" si="14"/>
        <v>316.24038160126923</v>
      </c>
      <c r="CY12" s="62">
        <f ca="1">AVERAGE(OFFSET($CX$3,0,0,'Données projet'!$E$13+1,1))-AVERAGE(OFFSET($H$3,0,0,'Données projet'!$E$13+1,1))</f>
        <v>66.561949299871912</v>
      </c>
      <c r="CZ12" s="62">
        <f t="shared" si="42"/>
        <v>382.65744918271389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19.444444444444443</v>
      </c>
      <c r="DO12" s="13">
        <f>IF('Données projet'!$A$166&gt;35,DO11+DN12-DW11,IF(A12&lt;'Données projet'!$A$166,$DL$205^A12,IF(A12='Données projet'!$A$166,'Données projet'!$B$166,DO11+DN12-DW11)))</f>
        <v>18.708286933869697</v>
      </c>
      <c r="DP12" s="18">
        <f>DO12*VLOOKUP('Données projet'!$B$14,Paramètres!$A$1:$I$89,3,0)*VLOOKUP('Données projet'!$B$14,Paramètres!$A$1:$I$89,5,0)</f>
        <v>9.0765124888362223</v>
      </c>
      <c r="DQ12" s="14">
        <f t="shared" si="43"/>
        <v>3.2357078438556535</v>
      </c>
      <c r="DR12" s="22">
        <f t="shared" si="16"/>
        <v>21.443783746105016</v>
      </c>
      <c r="DS12" s="62">
        <f t="shared" si="17"/>
        <v>314.77711707943831</v>
      </c>
      <c r="DT12" s="62">
        <f ca="1">AVERAGE(OFFSET($DS$3,0,0,'Données projet'!$E$14+1,1))-AVERAGE(OFFSET($H$3,0,0,'Données projet'!$E$14+1,1))</f>
        <v>60.532656778089574</v>
      </c>
      <c r="DU12" s="62">
        <f t="shared" si="44"/>
        <v>348.96823267563025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5.1168000000000005</v>
      </c>
      <c r="D13" s="12">
        <f t="shared" si="32"/>
        <v>1.9499482615706021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54.550337457737982</v>
      </c>
      <c r="H13" s="70">
        <f t="shared" si="1"/>
        <v>305.64125322223543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20.277777777777779</v>
      </c>
      <c r="N13" s="14">
        <f>IF('Données projet'!$A$36&gt;35,N12+M13-V12,IF(A13&lt;'Données projet'!$A$36,$K$205^A13,IF(A13='Données projet'!$A$36,'Données projet'!$B$36,N12+M13-V12)))</f>
        <v>26.515268900615776</v>
      </c>
      <c r="O13" s="14">
        <f>N13*VLOOKUP('Données projet'!$B$9,Paramètres!$A$1:$I$89,3,0)*VLOOKUP('Données projet'!$B$9,Paramètres!$A$1:$I$89,5,0)</f>
        <v>14.849611195100861</v>
      </c>
      <c r="P13" s="14">
        <f t="shared" si="33"/>
        <v>4.9989582767875262</v>
      </c>
      <c r="Q13" s="22">
        <f t="shared" si="2"/>
        <v>34.56959183020561</v>
      </c>
      <c r="R13" s="62">
        <f t="shared" si="0"/>
        <v>327.90292516353895</v>
      </c>
      <c r="S13" s="62">
        <f ca="1">AVERAGE(OFFSET($R$3,0,0,'Données projet'!$E$9+1,1))-AVERAGE(OFFSET($H$3,0,0,'Données projet'!$E$9+1,1))</f>
        <v>74.209918391015606</v>
      </c>
      <c r="T13" s="62">
        <f t="shared" si="34"/>
        <v>422.59746235438649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20.277777777777779</v>
      </c>
      <c r="AI13" s="14">
        <f>IF('Données projet'!$A$62&gt;35,AI12+AH13-AQ12,IF(A13&lt;'Données projet'!$A$62,$AF$205^A13,IF(A13='Données projet'!$A$62,'Données projet'!$B$62,AI12+AH13-AQ12)))</f>
        <v>26.515268900615776</v>
      </c>
      <c r="AJ13" s="14">
        <f>AI13*VLOOKUP('Données projet'!$B$10,Paramètres!$A$1:$I$89,3,0)*VLOOKUP('Données projet'!$B$10,Paramètres!$A$1:$I$89,5,0)</f>
        <v>13.319149874157317</v>
      </c>
      <c r="AK13" s="14">
        <f t="shared" si="35"/>
        <v>4.5408745663425449</v>
      </c>
      <c r="AL13" s="22">
        <f t="shared" si="4"/>
        <v>31.10620923387059</v>
      </c>
      <c r="AM13" s="62">
        <f t="shared" si="5"/>
        <v>324.43954256720389</v>
      </c>
      <c r="AN13" s="62">
        <f ca="1">AVERAGE(OFFSET($AM$3,0,0,'Données projet'!$E$10+1,1))-AVERAGE(OFFSET($H$3,0,0,'Données projet'!$E$10+1,1))</f>
        <v>65.6337514911271</v>
      </c>
      <c r="AO13" s="62">
        <f t="shared" si="36"/>
        <v>377.81060908047425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17.611111111111111</v>
      </c>
      <c r="BD13" s="13">
        <f>IF('Données projet'!$A$88&gt;35,BD12+BC13-BL12,IF(A13&lt;'Données projet'!$A$88,$BA$205^A13,IF(A13='Données projet'!$A$88,'Données projet'!$B$88,BD12+BC13-BL12)))</f>
        <v>24.517566837049966</v>
      </c>
      <c r="BE13" s="14">
        <f>BD13*VLOOKUP('Données projet'!$B$11,Paramètres!$A$1:$I$89,3,0)*VLOOKUP('Données projet'!$B$11,Paramètres!$A$1:$I$89,5,0)</f>
        <v>14.075044769813644</v>
      </c>
      <c r="BF13" s="14">
        <f t="shared" si="37"/>
        <v>4.7678468283619013</v>
      </c>
      <c r="BG13" s="22">
        <f t="shared" si="7"/>
        <v>32.818036200155738</v>
      </c>
      <c r="BH13" s="62">
        <f t="shared" si="8"/>
        <v>326.15136953348906</v>
      </c>
      <c r="BI13" s="62">
        <f ca="1">AVERAGE(OFFSET($BH$3,0,0,'Données projet'!$E$11+1,1))-AVERAGE(OFFSET($H$3,0,0,'Données projet'!$E$11+1,1))</f>
        <v>66.622529958850123</v>
      </c>
      <c r="BJ13" s="62">
        <f t="shared" si="38"/>
        <v>374.90853633180166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20.277777777777779</v>
      </c>
      <c r="BY13" s="13">
        <f>IF('Données projet'!$A$114&gt;35,BY12+BX13-CG12,IF(A13&lt;'Données projet'!$A$114,$BV$205^A13,IF(A13='Données projet'!$A$114,'Données projet'!$B$114,BY12+BX13-CG12)))</f>
        <v>26.515268900615776</v>
      </c>
      <c r="BZ13" s="14">
        <f>BY13*VLOOKUP('Données projet'!$B$12,Paramètres!$A$1:$I$89,3,0)*VLOOKUP('Données projet'!$B$12,Paramètres!$A$1:$I$89,5,0)</f>
        <v>12.657328762397945</v>
      </c>
      <c r="CA13" s="14">
        <f t="shared" si="39"/>
        <v>4.3409172760193346</v>
      </c>
      <c r="CB13" s="22">
        <f t="shared" si="10"/>
        <v>29.605278516910094</v>
      </c>
      <c r="CC13" s="62">
        <f t="shared" si="11"/>
        <v>322.93861185024343</v>
      </c>
      <c r="CD13" s="62">
        <f ca="1">AVERAGE(OFFSET($CC$3,0,0,'Données projet'!$E$12+1,1))-AVERAGE(OFFSET($H$3,0,0,'Données projet'!$E$12+1,1))</f>
        <v>61.91827157428213</v>
      </c>
      <c r="CE13" s="62">
        <f t="shared" si="40"/>
        <v>358.41033295847001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20.277777777777779</v>
      </c>
      <c r="CT13" s="13">
        <f>IF('Données projet'!$A$140&gt;35,CT12+CS13-DB12,IF(A13&lt;'Données projet'!$A$140,$CQ$205^A13,IF(A13='Données projet'!$A$140,'Données projet'!$B$140,CT12+CS13-DB12)))</f>
        <v>26.515268900615776</v>
      </c>
      <c r="CU13" s="18">
        <f>CT13*VLOOKUP('Données projet'!$B$13,Paramètres!$A$1:$I$89,3,0)*VLOOKUP('Données projet'!$B$13,Paramètres!$A$1:$I$89,5,0)</f>
        <v>13.48460515209716</v>
      </c>
      <c r="CV13" s="14">
        <f t="shared" si="41"/>
        <v>4.5906811409882993</v>
      </c>
      <c r="CW13" s="22">
        <f t="shared" si="13"/>
        <v>31.481123627123836</v>
      </c>
      <c r="CX13" s="62">
        <f t="shared" si="14"/>
        <v>324.81445696045716</v>
      </c>
      <c r="CY13" s="62">
        <f ca="1">AVERAGE(OFFSET($CX$3,0,0,'Données projet'!$E$13+1,1))-AVERAGE(OFFSET($H$3,0,0,'Données projet'!$E$13+1,1))</f>
        <v>66.561949299871912</v>
      </c>
      <c r="CZ13" s="62">
        <f t="shared" si="42"/>
        <v>382.65744918271389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19.444444444444443</v>
      </c>
      <c r="DO13" s="13">
        <f>IF('Données projet'!$A$166&gt;35,DO12+DN13-DW12,IF(A13&lt;'Données projet'!$A$166,$DL$205^A13,IF(A13='Données projet'!$A$166,'Données projet'!$B$166,DO12+DN13-DW12)))</f>
        <v>25.904256738693864</v>
      </c>
      <c r="DP13" s="18">
        <f>DO13*VLOOKUP('Données projet'!$B$14,Paramètres!$A$1:$I$89,3,0)*VLOOKUP('Données projet'!$B$14,Paramètres!$A$1:$I$89,5,0)</f>
        <v>12.567709199344716</v>
      </c>
      <c r="DQ13" s="14">
        <f t="shared" si="43"/>
        <v>4.3137480429351589</v>
      </c>
      <c r="DR13" s="22">
        <f t="shared" si="16"/>
        <v>29.401871363637451</v>
      </c>
      <c r="DS13" s="62">
        <f t="shared" si="17"/>
        <v>322.73520469697075</v>
      </c>
      <c r="DT13" s="62">
        <f ca="1">AVERAGE(OFFSET($DS$3,0,0,'Données projet'!$E$14+1,1))-AVERAGE(OFFSET($H$3,0,0,'Données projet'!$E$14+1,1))</f>
        <v>60.532656778089574</v>
      </c>
      <c r="DU13" s="62">
        <f t="shared" si="44"/>
        <v>348.96823267563025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5.6284800000000006</v>
      </c>
      <c r="D14" s="12">
        <f t="shared" si="32"/>
        <v>2.1212783761607334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59.822696237030222</v>
      </c>
      <c r="H14" s="70">
        <f t="shared" si="1"/>
        <v>306.83082917181326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20.277777777777779</v>
      </c>
      <c r="N14" s="14">
        <f>IF('Données projet'!$A$36&gt;35,N13+M14-V13,IF(A14&lt;'Données projet'!$A$36,$K$205^A14,IF(A14='Données projet'!$A$36,'Données projet'!$B$36,N13+M14-V13)))</f>
        <v>36.799815338593767</v>
      </c>
      <c r="O14" s="14">
        <f>N14*VLOOKUP('Données projet'!$B$9,Paramètres!$A$1:$I$89,3,0)*VLOOKUP('Données projet'!$B$9,Paramètres!$A$1:$I$89,5,0)</f>
        <v>20.609368582226054</v>
      </c>
      <c r="P14" s="14">
        <f t="shared" si="33"/>
        <v>6.6782030824651981</v>
      </c>
      <c r="Q14" s="22">
        <f t="shared" si="2"/>
        <v>47.52585398267059</v>
      </c>
      <c r="R14" s="62">
        <f t="shared" si="0"/>
        <v>340.8591873160039</v>
      </c>
      <c r="S14" s="62">
        <f ca="1">AVERAGE(OFFSET($R$3,0,0,'Données projet'!$E$9+1,1))-AVERAGE(OFFSET($H$3,0,0,'Données projet'!$E$9+1,1))</f>
        <v>74.209918391015606</v>
      </c>
      <c r="T14" s="62">
        <f t="shared" si="34"/>
        <v>422.59746235438649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20.277777777777779</v>
      </c>
      <c r="AI14" s="14">
        <f>IF('Données projet'!$A$62&gt;35,AI13+AH14-AQ13,IF(A14&lt;'Données projet'!$A$62,$AF$205^A14,IF(A14='Données projet'!$A$62,'Données projet'!$B$62,AI13+AH14-AQ13)))</f>
        <v>36.799815338593767</v>
      </c>
      <c r="AJ14" s="14">
        <f>AI14*VLOOKUP('Données projet'!$B$10,Paramètres!$A$1:$I$89,3,0)*VLOOKUP('Données projet'!$B$10,Paramètres!$A$1:$I$89,5,0)</f>
        <v>18.485283240882424</v>
      </c>
      <c r="AK14" s="14">
        <f t="shared" si="35"/>
        <v>6.0662403738893085</v>
      </c>
      <c r="AL14" s="22">
        <f t="shared" si="4"/>
        <v>42.760570295727433</v>
      </c>
      <c r="AM14" s="62">
        <f t="shared" si="5"/>
        <v>336.09390362906072</v>
      </c>
      <c r="AN14" s="62">
        <f ca="1">AVERAGE(OFFSET($AM$3,0,0,'Données projet'!$E$10+1,1))-AVERAGE(OFFSET($H$3,0,0,'Données projet'!$E$10+1,1))</f>
        <v>65.6337514911271</v>
      </c>
      <c r="AO14" s="62">
        <f t="shared" si="36"/>
        <v>377.81060908047425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17.611111111111111</v>
      </c>
      <c r="BD14" s="13">
        <f>IF('Données projet'!$A$88&gt;35,BD13+BC14-BL13,IF(A14&lt;'Données projet'!$A$88,$BA$205^A14,IF(A14='Données projet'!$A$88,'Données projet'!$B$88,BD13+BC14-BL13)))</f>
        <v>33.761762050810155</v>
      </c>
      <c r="BE14" s="14">
        <f>BD14*VLOOKUP('Données projet'!$B$11,Paramètres!$A$1:$I$89,3,0)*VLOOKUP('Données projet'!$B$11,Paramètres!$A$1:$I$89,5,0)</f>
        <v>19.381952358129094</v>
      </c>
      <c r="BF14" s="14">
        <f t="shared" si="37"/>
        <v>6.3255241049465347</v>
      </c>
      <c r="BG14" s="22">
        <f t="shared" si="7"/>
        <v>44.773854839856718</v>
      </c>
      <c r="BH14" s="62">
        <f t="shared" si="8"/>
        <v>338.10718817319002</v>
      </c>
      <c r="BI14" s="62">
        <f ca="1">AVERAGE(OFFSET($BH$3,0,0,'Données projet'!$E$11+1,1))-AVERAGE(OFFSET($H$3,0,0,'Données projet'!$E$11+1,1))</f>
        <v>66.622529958850123</v>
      </c>
      <c r="BJ14" s="62">
        <f t="shared" si="38"/>
        <v>374.90853633180166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20.277777777777779</v>
      </c>
      <c r="BY14" s="13">
        <f>IF('Données projet'!$A$114&gt;35,BY13+BX14-CG13,IF(A14&lt;'Données projet'!$A$114,$BV$205^A14,IF(A14='Données projet'!$A$114,'Données projet'!$B$114,BY13+BX14-CG13)))</f>
        <v>36.799815338593767</v>
      </c>
      <c r="BZ14" s="14">
        <f>BY14*VLOOKUP('Données projet'!$B$12,Paramètres!$A$1:$I$89,3,0)*VLOOKUP('Données projet'!$B$12,Paramètres!$A$1:$I$89,5,0)</f>
        <v>17.566759850031122</v>
      </c>
      <c r="CA14" s="14">
        <f t="shared" si="39"/>
        <v>5.7991136409460617</v>
      </c>
      <c r="CB14" s="22">
        <f t="shared" si="10"/>
        <v>40.695562996785263</v>
      </c>
      <c r="CC14" s="62">
        <f t="shared" si="11"/>
        <v>334.02889633011858</v>
      </c>
      <c r="CD14" s="62">
        <f ca="1">AVERAGE(OFFSET($CC$3,0,0,'Données projet'!$E$12+1,1))-AVERAGE(OFFSET($H$3,0,0,'Données projet'!$E$12+1,1))</f>
        <v>61.91827157428213</v>
      </c>
      <c r="CE14" s="62">
        <f t="shared" si="40"/>
        <v>358.41033295847001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20.277777777777779</v>
      </c>
      <c r="CT14" s="13">
        <f>IF('Données projet'!$A$140&gt;35,CT13+CS14-DB13,IF(A14&lt;'Données projet'!$A$140,$CQ$205^A14,IF(A14='Données projet'!$A$140,'Données projet'!$B$140,CT13+CS14-DB13)))</f>
        <v>36.799815338593767</v>
      </c>
      <c r="CU14" s="18">
        <f>CT14*VLOOKUP('Données projet'!$B$13,Paramètres!$A$1:$I$89,3,0)*VLOOKUP('Données projet'!$B$13,Paramètres!$A$1:$I$89,5,0)</f>
        <v>18.714914088595247</v>
      </c>
      <c r="CV14" s="14">
        <f t="shared" si="41"/>
        <v>6.1327779206959692</v>
      </c>
      <c r="CW14" s="22">
        <f t="shared" si="13"/>
        <v>43.2763969161822</v>
      </c>
      <c r="CX14" s="62">
        <f t="shared" si="14"/>
        <v>336.60973024951551</v>
      </c>
      <c r="CY14" s="62">
        <f ca="1">AVERAGE(OFFSET($CX$3,0,0,'Données projet'!$E$13+1,1))-AVERAGE(OFFSET($H$3,0,0,'Données projet'!$E$13+1,1))</f>
        <v>66.561949299871912</v>
      </c>
      <c r="CZ14" s="62">
        <f t="shared" si="42"/>
        <v>382.65744918271389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19.444444444444443</v>
      </c>
      <c r="DO14" s="13">
        <f>IF('Données projet'!$A$166&gt;35,DO13+DN14-DW13,IF(A14&lt;'Données projet'!$A$166,$DL$205^A14,IF(A14='Données projet'!$A$166,'Données projet'!$B$166,DO13+DN14-DW13)))</f>
        <v>35.868089876755377</v>
      </c>
      <c r="DP14" s="18">
        <f>DO14*VLOOKUP('Données projet'!$B$14,Paramètres!$A$1:$I$89,3,0)*VLOOKUP('Données projet'!$B$14,Paramètres!$A$1:$I$89,5,0)</f>
        <v>17.401762484606639</v>
      </c>
      <c r="DQ14" s="14">
        <f t="shared" si="43"/>
        <v>5.7509587008180558</v>
      </c>
      <c r="DR14" s="22">
        <f t="shared" si="16"/>
        <v>40.324322731281342</v>
      </c>
      <c r="DS14" s="62">
        <f t="shared" si="17"/>
        <v>333.65765606461468</v>
      </c>
      <c r="DT14" s="62">
        <f ca="1">AVERAGE(OFFSET($DS$3,0,0,'Données projet'!$E$14+1,1))-AVERAGE(OFFSET($H$3,0,0,'Données projet'!$E$14+1,1))</f>
        <v>60.532656778089574</v>
      </c>
      <c r="DU14" s="62">
        <f t="shared" si="44"/>
        <v>348.96823267563025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6.1401600000000007</v>
      </c>
      <c r="D15" s="12">
        <f t="shared" si="32"/>
        <v>2.2908024414015595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65.081113582748884</v>
      </c>
      <c r="H15" s="70">
        <f t="shared" si="1"/>
        <v>308.01725958544102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20.277777777777779</v>
      </c>
      <c r="N15" s="14">
        <f>IF('Données projet'!$A$36&gt;35,N14+M15-V14,IF(A15&lt;'Données projet'!$A$36,$K$205^A15,IF(A15='Données projet'!$A$36,'Données projet'!$B$36,N14+M15-V14)))</f>
        <v>51.073455601393171</v>
      </c>
      <c r="O15" s="14">
        <f>N15*VLOOKUP('Données projet'!$B$9,Paramètres!$A$1:$I$89,3,0)*VLOOKUP('Données projet'!$B$9,Paramètres!$A$1:$I$89,5,0)</f>
        <v>28.603178075004234</v>
      </c>
      <c r="P15" s="14">
        <f t="shared" si="33"/>
        <v>8.9215380367823141</v>
      </c>
      <c r="Q15" s="22">
        <f t="shared" si="2"/>
        <v>65.355547228028229</v>
      </c>
      <c r="R15" s="62">
        <f t="shared" si="0"/>
        <v>358.68888056136154</v>
      </c>
      <c r="S15" s="62">
        <f ca="1">AVERAGE(OFFSET($R$3,0,0,'Données projet'!$E$9+1,1))-AVERAGE(OFFSET($H$3,0,0,'Données projet'!$E$9+1,1))</f>
        <v>74.209918391015606</v>
      </c>
      <c r="T15" s="62">
        <f t="shared" si="34"/>
        <v>422.59746235438649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20.277777777777779</v>
      </c>
      <c r="AI15" s="14">
        <f>IF('Données projet'!$A$62&gt;35,AI14+AH15-AQ14,IF(A15&lt;'Données projet'!$A$62,$AF$205^A15,IF(A15='Données projet'!$A$62,'Données projet'!$B$62,AI14+AH15-AQ14)))</f>
        <v>51.073455601393171</v>
      </c>
      <c r="AJ15" s="14">
        <f>AI15*VLOOKUP('Données projet'!$B$10,Paramètres!$A$1:$I$89,3,0)*VLOOKUP('Données projet'!$B$10,Paramètres!$A$1:$I$89,5,0)</f>
        <v>25.655218217691818</v>
      </c>
      <c r="AK15" s="14">
        <f t="shared" si="35"/>
        <v>8.1040054588965944</v>
      </c>
      <c r="AL15" s="22">
        <f t="shared" si="4"/>
        <v>58.797314570058148</v>
      </c>
      <c r="AM15" s="62">
        <f t="shared" si="5"/>
        <v>352.13064790339149</v>
      </c>
      <c r="AN15" s="62">
        <f ca="1">AVERAGE(OFFSET($AM$3,0,0,'Données projet'!$E$10+1,1))-AVERAGE(OFFSET($H$3,0,0,'Données projet'!$E$10+1,1))</f>
        <v>65.6337514911271</v>
      </c>
      <c r="AO15" s="62">
        <f t="shared" si="36"/>
        <v>377.81060908047425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17.611111111111111</v>
      </c>
      <c r="BD15" s="13">
        <f>IF('Données projet'!$A$88&gt;35,BD14+BC15-BL14,IF(A15&lt;'Données projet'!$A$88,$BA$205^A15,IF(A15='Données projet'!$A$88,'Données projet'!$B$88,BD14+BC15-BL14)))</f>
        <v>46.491423245679464</v>
      </c>
      <c r="BE15" s="14">
        <f>BD15*VLOOKUP('Données projet'!$B$11,Paramètres!$A$1:$I$89,3,0)*VLOOKUP('Données projet'!$B$11,Paramètres!$A$1:$I$89,5,0)</f>
        <v>26.689796256879667</v>
      </c>
      <c r="BF15" s="14">
        <f t="shared" si="37"/>
        <v>8.3921016430820909</v>
      </c>
      <c r="BG15" s="22">
        <f t="shared" si="7"/>
        <v>61.100972175766721</v>
      </c>
      <c r="BH15" s="62">
        <f t="shared" si="8"/>
        <v>354.43430550910006</v>
      </c>
      <c r="BI15" s="62">
        <f ca="1">AVERAGE(OFFSET($BH$3,0,0,'Données projet'!$E$11+1,1))-AVERAGE(OFFSET($H$3,0,0,'Données projet'!$E$11+1,1))</f>
        <v>66.622529958850123</v>
      </c>
      <c r="BJ15" s="62">
        <f t="shared" si="38"/>
        <v>374.90853633180166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20.277777777777779</v>
      </c>
      <c r="BY15" s="13">
        <f>IF('Données projet'!$A$114&gt;35,BY14+BX15-CG14,IF(A15&lt;'Données projet'!$A$114,$BV$205^A15,IF(A15='Données projet'!$A$114,'Données projet'!$B$114,BY14+BX15-CG14)))</f>
        <v>51.073455601393171</v>
      </c>
      <c r="BZ15" s="14">
        <f>BY15*VLOOKUP('Données projet'!$B$12,Paramètres!$A$1:$I$89,3,0)*VLOOKUP('Données projet'!$B$12,Paramètres!$A$1:$I$89,5,0)</f>
        <v>24.380424765881045</v>
      </c>
      <c r="CA15" s="14">
        <f t="shared" si="39"/>
        <v>7.7471457948273743</v>
      </c>
      <c r="CB15" s="22">
        <f t="shared" si="10"/>
        <v>55.955518726567163</v>
      </c>
      <c r="CC15" s="62">
        <f t="shared" si="11"/>
        <v>349.28885205990048</v>
      </c>
      <c r="CD15" s="62">
        <f ca="1">AVERAGE(OFFSET($CC$3,0,0,'Données projet'!$E$12+1,1))-AVERAGE(OFFSET($H$3,0,0,'Données projet'!$E$12+1,1))</f>
        <v>61.91827157428213</v>
      </c>
      <c r="CE15" s="62">
        <f t="shared" si="40"/>
        <v>358.41033295847001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20.277777777777779</v>
      </c>
      <c r="CT15" s="13">
        <f>IF('Données projet'!$A$140&gt;35,CT14+CS15-DB14,IF(A15&lt;'Données projet'!$A$140,$CQ$205^A15,IF(A15='Données projet'!$A$140,'Données projet'!$B$140,CT14+CS15-DB14)))</f>
        <v>51.073455601393171</v>
      </c>
      <c r="CU15" s="18">
        <f>CT15*VLOOKUP('Données projet'!$B$13,Paramètres!$A$1:$I$89,3,0)*VLOOKUP('Données projet'!$B$13,Paramètres!$A$1:$I$89,5,0)</f>
        <v>25.973916580644509</v>
      </c>
      <c r="CV15" s="14">
        <f t="shared" si="41"/>
        <v>8.192894228432289</v>
      </c>
      <c r="CW15" s="22">
        <f t="shared" si="13"/>
        <v>59.507195492475432</v>
      </c>
      <c r="CX15" s="62">
        <f t="shared" si="14"/>
        <v>352.84052882580875</v>
      </c>
      <c r="CY15" s="62">
        <f ca="1">AVERAGE(OFFSET($CX$3,0,0,'Données projet'!$E$13+1,1))-AVERAGE(OFFSET($H$3,0,0,'Données projet'!$E$13+1,1))</f>
        <v>66.561949299871912</v>
      </c>
      <c r="CZ15" s="62">
        <f t="shared" si="42"/>
        <v>382.65744918271389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19.444444444444443</v>
      </c>
      <c r="DO15" s="13">
        <f>IF('Données projet'!$A$166&gt;35,DO14+DN15-DW14,IF(A15&lt;'Données projet'!$A$166,$DL$205^A15,IF(A15='Données projet'!$A$166,'Données projet'!$B$166,DO14+DN15-DW14)))</f>
        <v>49.664419418963398</v>
      </c>
      <c r="DP15" s="18">
        <f>DO15*VLOOKUP('Données projet'!$B$14,Paramètres!$A$1:$I$89,3,0)*VLOOKUP('Données projet'!$B$14,Paramètres!$A$1:$I$89,5,0)</f>
        <v>24.095189725304284</v>
      </c>
      <c r="DQ15" s="14">
        <f t="shared" si="43"/>
        <v>7.6670045745210054</v>
      </c>
      <c r="DR15" s="22">
        <f t="shared" si="16"/>
        <v>55.319155072195713</v>
      </c>
      <c r="DS15" s="62">
        <f t="shared" si="17"/>
        <v>348.65248840552903</v>
      </c>
      <c r="DT15" s="62">
        <f ca="1">AVERAGE(OFFSET($DS$3,0,0,'Données projet'!$E$14+1,1))-AVERAGE(OFFSET($H$3,0,0,'Données projet'!$E$14+1,1))</f>
        <v>60.532656778089574</v>
      </c>
      <c r="DU15" s="62">
        <f t="shared" si="44"/>
        <v>348.96823267563025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6.6518400000000009</v>
      </c>
      <c r="D16" s="12">
        <f t="shared" si="32"/>
        <v>2.4586880723865119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70.326883365790636</v>
      </c>
      <c r="H16" s="70">
        <f t="shared" si="1"/>
        <v>309.2008363927398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20.277777777777779</v>
      </c>
      <c r="N16" s="14">
        <f>IF('Données projet'!$A$36&gt;35,N15+M16-V15,IF(A16&lt;'Données projet'!$A$36,$K$205^A16,IF(A16='Données projet'!$A$36,'Données projet'!$B$36,N15+M16-V15)))</f>
        <v>70.883449905027646</v>
      </c>
      <c r="O16" s="14">
        <f>N16*VLOOKUP('Données projet'!$B$9,Paramètres!$A$1:$I$89,3,0)*VLOOKUP('Données projet'!$B$9,Paramètres!$A$1:$I$89,5,0)</f>
        <v>39.697567284811683</v>
      </c>
      <c r="P16" s="14">
        <f t="shared" si="33"/>
        <v>11.918451709074457</v>
      </c>
      <c r="Q16" s="22">
        <f t="shared" si="2"/>
        <v>89.897899747685031</v>
      </c>
      <c r="R16" s="62">
        <f t="shared" si="0"/>
        <v>383.23123308101833</v>
      </c>
      <c r="S16" s="62">
        <f ca="1">AVERAGE(OFFSET($R$3,0,0,'Données projet'!$E$9+1,1))-AVERAGE(OFFSET($H$3,0,0,'Données projet'!$E$9+1,1))</f>
        <v>74.209918391015606</v>
      </c>
      <c r="T16" s="62">
        <f t="shared" si="34"/>
        <v>422.59746235438649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20.277777777777779</v>
      </c>
      <c r="AI16" s="14">
        <f>IF('Données projet'!$A$62&gt;35,AI15+AH16-AQ15,IF(A16&lt;'Données projet'!$A$62,$AF$205^A16,IF(A16='Données projet'!$A$62,'Données projet'!$B$62,AI15+AH16-AQ15)))</f>
        <v>70.883449905027646</v>
      </c>
      <c r="AJ16" s="14">
        <f>AI16*VLOOKUP('Données projet'!$B$10,Paramètres!$A$1:$I$89,3,0)*VLOOKUP('Données projet'!$B$10,Paramètres!$A$1:$I$89,5,0)</f>
        <v>35.606174556293489</v>
      </c>
      <c r="AK16" s="14">
        <f t="shared" si="35"/>
        <v>10.826294447629845</v>
      </c>
      <c r="AL16" s="22">
        <f t="shared" si="4"/>
        <v>80.869883515166464</v>
      </c>
      <c r="AM16" s="62">
        <f t="shared" si="5"/>
        <v>374.20321684849978</v>
      </c>
      <c r="AN16" s="62">
        <f ca="1">AVERAGE(OFFSET($AM$3,0,0,'Données projet'!$E$10+1,1))-AVERAGE(OFFSET($H$3,0,0,'Données projet'!$E$10+1,1))</f>
        <v>65.6337514911271</v>
      </c>
      <c r="AO16" s="62">
        <f t="shared" si="36"/>
        <v>377.81060908047425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17.611111111111111</v>
      </c>
      <c r="BD16" s="13">
        <f>IF('Données projet'!$A$88&gt;35,BD15+BC16-BL15,IF(A16&lt;'Données projet'!$A$88,$BA$205^A16,IF(A16='Données projet'!$A$88,'Données projet'!$B$88,BD15+BC16-BL15)))</f>
        <v>64.020723567567416</v>
      </c>
      <c r="BE16" s="14">
        <f>BD16*VLOOKUP('Données projet'!$B$11,Paramètres!$A$1:$I$89,3,0)*VLOOKUP('Données projet'!$B$11,Paramètres!$A$1:$I$89,5,0)</f>
        <v>36.753016985669099</v>
      </c>
      <c r="BF16" s="14">
        <f t="shared" si="37"/>
        <v>11.133839476281061</v>
      </c>
      <c r="BG16" s="22">
        <f t="shared" si="7"/>
        <v>83.402941671229854</v>
      </c>
      <c r="BH16" s="62">
        <f t="shared" si="8"/>
        <v>376.73627500456314</v>
      </c>
      <c r="BI16" s="62">
        <f ca="1">AVERAGE(OFFSET($BH$3,0,0,'Données projet'!$E$11+1,1))-AVERAGE(OFFSET($H$3,0,0,'Données projet'!$E$11+1,1))</f>
        <v>66.622529958850123</v>
      </c>
      <c r="BJ16" s="62">
        <f t="shared" si="38"/>
        <v>374.90853633180166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20.277777777777779</v>
      </c>
      <c r="BY16" s="13">
        <f>IF('Données projet'!$A$114&gt;35,BY15+BX16-CG15,IF(A16&lt;'Données projet'!$A$114,$BV$205^A16,IF(A16='Données projet'!$A$114,'Données projet'!$B$114,BY15+BX16-CG15)))</f>
        <v>70.883449905027646</v>
      </c>
      <c r="BZ16" s="14">
        <f>BY16*VLOOKUP('Données projet'!$B$12,Paramètres!$A$1:$I$89,3,0)*VLOOKUP('Données projet'!$B$12,Paramètres!$A$1:$I$89,5,0)</f>
        <v>33.836923646663998</v>
      </c>
      <c r="CA16" s="14">
        <f t="shared" si="39"/>
        <v>10.349558860605489</v>
      </c>
      <c r="CB16" s="22">
        <f t="shared" si="10"/>
        <v>76.958123700161025</v>
      </c>
      <c r="CC16" s="62">
        <f t="shared" si="11"/>
        <v>370.29145703349434</v>
      </c>
      <c r="CD16" s="62">
        <f ca="1">AVERAGE(OFFSET($CC$3,0,0,'Données projet'!$E$12+1,1))-AVERAGE(OFFSET($H$3,0,0,'Données projet'!$E$12+1,1))</f>
        <v>61.91827157428213</v>
      </c>
      <c r="CE16" s="62">
        <f t="shared" si="40"/>
        <v>358.41033295847001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20.277777777777779</v>
      </c>
      <c r="CT16" s="13">
        <f>IF('Données projet'!$A$140&gt;35,CT15+CS16-DB15,IF(A16&lt;'Données projet'!$A$140,$CQ$205^A16,IF(A16='Données projet'!$A$140,'Données projet'!$B$140,CT15+CS16-DB15)))</f>
        <v>70.883449905027646</v>
      </c>
      <c r="CU16" s="18">
        <f>CT16*VLOOKUP('Données projet'!$B$13,Paramètres!$A$1:$I$89,3,0)*VLOOKUP('Données projet'!$B$13,Paramètres!$A$1:$I$89,5,0)</f>
        <v>36.048487283700858</v>
      </c>
      <c r="CV16" s="14">
        <f t="shared" si="41"/>
        <v>10.94504263912131</v>
      </c>
      <c r="CW16" s="22">
        <f t="shared" si="13"/>
        <v>81.847064615581942</v>
      </c>
      <c r="CX16" s="62">
        <f t="shared" si="14"/>
        <v>375.18039794891524</v>
      </c>
      <c r="CY16" s="62">
        <f ca="1">AVERAGE(OFFSET($CX$3,0,0,'Données projet'!$E$13+1,1))-AVERAGE(OFFSET($H$3,0,0,'Données projet'!$E$13+1,1))</f>
        <v>66.561949299871912</v>
      </c>
      <c r="CZ16" s="62">
        <f t="shared" si="42"/>
        <v>382.65744918271389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19.444444444444443</v>
      </c>
      <c r="DO16" s="13">
        <f>IF('Données projet'!$A$166&gt;35,DO15+DN16-DW15,IF(A16&lt;'Données projet'!$A$166,$DL$205^A16,IF(A16='Données projet'!$A$166,'Données projet'!$B$166,DO15+DN16-DW15)))</f>
        <v>68.767379715449565</v>
      </c>
      <c r="DP16" s="18">
        <f>DO16*VLOOKUP('Données projet'!$B$14,Paramètres!$A$1:$I$89,3,0)*VLOOKUP('Données projet'!$B$14,Paramètres!$A$1:$I$89,5,0)</f>
        <v>33.363181942747509</v>
      </c>
      <c r="DQ16" s="14">
        <f t="shared" si="43"/>
        <v>10.221419106585547</v>
      </c>
      <c r="DR16" s="22">
        <f t="shared" si="16"/>
        <v>75.909846827588396</v>
      </c>
      <c r="DS16" s="62">
        <f t="shared" si="17"/>
        <v>369.24318016092172</v>
      </c>
      <c r="DT16" s="62">
        <f ca="1">AVERAGE(OFFSET($DS$3,0,0,'Données projet'!$E$14+1,1))-AVERAGE(OFFSET($H$3,0,0,'Données projet'!$E$14+1,1))</f>
        <v>60.532656778089574</v>
      </c>
      <c r="DU16" s="62">
        <f t="shared" si="44"/>
        <v>348.96823267563025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7.163520000000001</v>
      </c>
      <c r="D17" s="12">
        <f t="shared" si="32"/>
        <v>2.6250756324075932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75.561089092269142</v>
      </c>
      <c r="H17" s="70">
        <f t="shared" si="1"/>
        <v>310.38180405977653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20.277777777777779</v>
      </c>
      <c r="N17" s="14">
        <f>IF('Données projet'!$A$36&gt;35,N16+M17-V16,IF(A17&lt;'Données projet'!$A$36,$K$205^A17,IF(A17='Données projet'!$A$36,'Données projet'!$B$36,N16+M17-V16)))</f>
        <v>98.377198317113852</v>
      </c>
      <c r="O17" s="14">
        <f>N17*VLOOKUP('Données projet'!$B$9,Paramètres!$A$1:$I$89,3,0)*VLOOKUP('Données projet'!$B$9,Paramètres!$A$1:$I$89,5,0)</f>
        <v>55.095166145516444</v>
      </c>
      <c r="P17" s="14">
        <f t="shared" si="33"/>
        <v>15.922085469555661</v>
      </c>
      <c r="Q17" s="22">
        <f t="shared" si="2"/>
        <v>123.68837989625058</v>
      </c>
      <c r="R17" s="62">
        <f t="shared" si="0"/>
        <v>417.0217132295839</v>
      </c>
      <c r="S17" s="62">
        <f ca="1">AVERAGE(OFFSET($R$3,0,0,'Données projet'!$E$9+1,1))-AVERAGE(OFFSET($H$3,0,0,'Données projet'!$E$9+1,1))</f>
        <v>74.209918391015606</v>
      </c>
      <c r="T17" s="62">
        <f t="shared" si="34"/>
        <v>422.59746235438649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20.277777777777779</v>
      </c>
      <c r="AI17" s="14">
        <f>IF('Données projet'!$A$62&gt;35,AI16+AH17-AQ16,IF(A17&lt;'Données projet'!$A$62,$AF$205^A17,IF(A17='Données projet'!$A$62,'Données projet'!$B$62,AI16+AH17-AQ16)))</f>
        <v>98.377198317113852</v>
      </c>
      <c r="AJ17" s="14">
        <f>AI17*VLOOKUP('Données projet'!$B$10,Paramètres!$A$1:$I$89,3,0)*VLOOKUP('Données projet'!$B$10,Paramètres!$A$1:$I$89,5,0)</f>
        <v>49.416834258652635</v>
      </c>
      <c r="AK17" s="14">
        <f t="shared" si="35"/>
        <v>14.463051889742857</v>
      </c>
      <c r="AL17" s="22">
        <f t="shared" si="4"/>
        <v>111.25746837512214</v>
      </c>
      <c r="AM17" s="62">
        <f t="shared" si="5"/>
        <v>404.59080170845544</v>
      </c>
      <c r="AN17" s="62">
        <f ca="1">AVERAGE(OFFSET($AM$3,0,0,'Données projet'!$E$10+1,1))-AVERAGE(OFFSET($H$3,0,0,'Données projet'!$E$10+1,1))</f>
        <v>65.6337514911271</v>
      </c>
      <c r="AO17" s="62">
        <f t="shared" si="36"/>
        <v>377.81060908047425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17.611111111111111</v>
      </c>
      <c r="BD17" s="13">
        <f>IF('Données projet'!$A$88&gt;35,BD16+BC17-BL16,IF(A17&lt;'Données projet'!$A$88,$BA$205^A17,IF(A17='Données projet'!$A$88,'Données projet'!$B$88,BD16+BC17-BL16)))</f>
        <v>88.159336926640066</v>
      </c>
      <c r="BE17" s="14">
        <f>BD17*VLOOKUP('Données projet'!$B$11,Paramètres!$A$1:$I$89,3,0)*VLOOKUP('Données projet'!$B$11,Paramètres!$A$1:$I$89,5,0)</f>
        <v>50.610512142845529</v>
      </c>
      <c r="BF17" s="14">
        <f t="shared" si="37"/>
        <v>14.771315548326459</v>
      </c>
      <c r="BG17" s="22">
        <f t="shared" si="7"/>
        <v>113.87334989545788</v>
      </c>
      <c r="BH17" s="62">
        <f t="shared" si="8"/>
        <v>407.20668322879118</v>
      </c>
      <c r="BI17" s="62">
        <f ca="1">AVERAGE(OFFSET($BH$3,0,0,'Données projet'!$E$11+1,1))-AVERAGE(OFFSET($H$3,0,0,'Données projet'!$E$11+1,1))</f>
        <v>66.622529958850123</v>
      </c>
      <c r="BJ17" s="62">
        <f t="shared" si="38"/>
        <v>374.90853633180166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20.277777777777779</v>
      </c>
      <c r="BY17" s="13">
        <f>IF('Données projet'!$A$114&gt;35,BY16+BX17-CG16,IF(A17&lt;'Données projet'!$A$114,$BV$205^A17,IF(A17='Données projet'!$A$114,'Données projet'!$B$114,BY16+BX17-CG16)))</f>
        <v>98.377198317113852</v>
      </c>
      <c r="BZ17" s="14">
        <f>BY17*VLOOKUP('Données projet'!$B$12,Paramètres!$A$1:$I$89,3,0)*VLOOKUP('Données projet'!$B$12,Paramètres!$A$1:$I$89,5,0)</f>
        <v>46.961339388657464</v>
      </c>
      <c r="CA17" s="14">
        <f t="shared" si="39"/>
        <v>13.826171785827906</v>
      </c>
      <c r="CB17" s="22">
        <f t="shared" si="10"/>
        <v>105.87158196222867</v>
      </c>
      <c r="CC17" s="62">
        <f t="shared" si="11"/>
        <v>399.20491529556199</v>
      </c>
      <c r="CD17" s="62">
        <f ca="1">AVERAGE(OFFSET($CC$3,0,0,'Données projet'!$E$12+1,1))-AVERAGE(OFFSET($H$3,0,0,'Données projet'!$E$12+1,1))</f>
        <v>61.91827157428213</v>
      </c>
      <c r="CE17" s="62">
        <f t="shared" si="40"/>
        <v>358.41033295847001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20.277777777777779</v>
      </c>
      <c r="CT17" s="13">
        <f>IF('Données projet'!$A$140&gt;35,CT16+CS17-DB16,IF(A17&lt;'Données projet'!$A$140,$CQ$205^A17,IF(A17='Données projet'!$A$140,'Données projet'!$B$140,CT16+CS17-DB16)))</f>
        <v>98.377198317113852</v>
      </c>
      <c r="CU17" s="18">
        <f>CT17*VLOOKUP('Données projet'!$B$13,Paramètres!$A$1:$I$89,3,0)*VLOOKUP('Données projet'!$B$13,Paramètres!$A$1:$I$89,5,0)</f>
        <v>50.030707976151426</v>
      </c>
      <c r="CV17" s="14">
        <f t="shared" si="41"/>
        <v>14.621689848802824</v>
      </c>
      <c r="CW17" s="22">
        <f t="shared" si="13"/>
        <v>112.60292621179531</v>
      </c>
      <c r="CX17" s="62">
        <f t="shared" si="14"/>
        <v>405.93625954512862</v>
      </c>
      <c r="CY17" s="62">
        <f ca="1">AVERAGE(OFFSET($CX$3,0,0,'Données projet'!$E$13+1,1))-AVERAGE(OFFSET($H$3,0,0,'Données projet'!$E$13+1,1))</f>
        <v>66.561949299871912</v>
      </c>
      <c r="CZ17" s="62">
        <f t="shared" si="42"/>
        <v>382.65744918271389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19.444444444444443</v>
      </c>
      <c r="DO17" s="13">
        <f>IF('Données projet'!$A$166&gt;35,DO16+DN17-DW16,IF(A17&lt;'Données projet'!$A$166,$DL$205^A17,IF(A17='Données projet'!$A$166,'Données projet'!$B$166,DO16+DN17-DW16)))</f>
        <v>95.218117281024007</v>
      </c>
      <c r="DP17" s="18">
        <f>DO17*VLOOKUP('Données projet'!$B$14,Paramètres!$A$1:$I$89,3,0)*VLOOKUP('Données projet'!$B$14,Paramètres!$A$1:$I$89,5,0)</f>
        <v>46.196021780061606</v>
      </c>
      <c r="DQ17" s="14">
        <f t="shared" si="43"/>
        <v>13.626887467847796</v>
      </c>
      <c r="DR17" s="22">
        <f t="shared" si="16"/>
        <v>104.19156694010887</v>
      </c>
      <c r="DS17" s="62">
        <f t="shared" si="17"/>
        <v>397.5249002734422</v>
      </c>
      <c r="DT17" s="62">
        <f ca="1">AVERAGE(OFFSET($DS$3,0,0,'Données projet'!$E$14+1,1))-AVERAGE(OFFSET($H$3,0,0,'Données projet'!$E$14+1,1))</f>
        <v>60.532656778089574</v>
      </c>
      <c r="DU17" s="62">
        <f t="shared" si="44"/>
        <v>348.96823267563025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7.6752000000000011</v>
      </c>
      <c r="D18" s="12">
        <f t="shared" si="32"/>
        <v>2.7900842966227914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80.784650710772425</v>
      </c>
      <c r="H18" s="70">
        <f t="shared" si="1"/>
        <v>311.56037014995132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20.277777777777779</v>
      </c>
      <c r="N18" s="14">
        <f>IF('Données projet'!$A$36&gt;35,N17+M18-V17,IF(A18&lt;'Données projet'!$A$36,$K$205^A18,IF(A18='Données projet'!$A$36,'Données projet'!$B$36,N17+M18-V17)))</f>
        <v>136.53501856486668</v>
      </c>
      <c r="O18" s="14">
        <f>N18*VLOOKUP('Données projet'!$B$9,Paramètres!$A$1:$I$89,3,0)*VLOOKUP('Données projet'!$B$9,Paramètres!$A$1:$I$89,5,0)</f>
        <v>76.465071797067935</v>
      </c>
      <c r="P18" s="14">
        <f t="shared" si="33"/>
        <v>21.270615671229859</v>
      </c>
      <c r="Q18" s="22">
        <f t="shared" si="2"/>
        <v>170.22298900728532</v>
      </c>
      <c r="R18" s="62">
        <f t="shared" si="0"/>
        <v>463.55632234061864</v>
      </c>
      <c r="S18" s="62">
        <f ca="1">AVERAGE(OFFSET($R$3,0,0,'Données projet'!$E$9+1,1))-AVERAGE(OFFSET($H$3,0,0,'Données projet'!$E$9+1,1))</f>
        <v>74.209918391015606</v>
      </c>
      <c r="T18" s="62">
        <f t="shared" si="34"/>
        <v>422.59746235438649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20.277777777777779</v>
      </c>
      <c r="AI18" s="14">
        <f>IF('Données projet'!$A$62&gt;35,AI17+AH18-AQ17,IF(A18&lt;'Données projet'!$A$62,$AF$205^A18,IF(A18='Données projet'!$A$62,'Données projet'!$B$62,AI17+AH18-AQ17)))</f>
        <v>136.53501856486668</v>
      </c>
      <c r="AJ18" s="14">
        <f>AI18*VLOOKUP('Données projet'!$B$10,Paramètres!$A$1:$I$89,3,0)*VLOOKUP('Données projet'!$B$10,Paramètres!$A$1:$I$89,5,0)</f>
        <v>68.584270525503825</v>
      </c>
      <c r="AK18" s="14">
        <f t="shared" si="35"/>
        <v>19.321465066118655</v>
      </c>
      <c r="AL18" s="22">
        <f t="shared" si="4"/>
        <v>153.10248948874249</v>
      </c>
      <c r="AM18" s="62">
        <f t="shared" si="5"/>
        <v>446.43582282207581</v>
      </c>
      <c r="AN18" s="62">
        <f ca="1">AVERAGE(OFFSET($AM$3,0,0,'Données projet'!$E$10+1,1))-AVERAGE(OFFSET($H$3,0,0,'Données projet'!$E$10+1,1))</f>
        <v>65.6337514911271</v>
      </c>
      <c r="AO18" s="62">
        <f t="shared" si="36"/>
        <v>377.81060908047425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17.611111111111111</v>
      </c>
      <c r="BD18" s="13">
        <f>IF('Données projet'!$A$88&gt;35,BD17+BC18-BL17,IF(A18&lt;'Données projet'!$A$88,$BA$205^A18,IF(A18='Données projet'!$A$88,'Données projet'!$B$88,BD17+BC18-BL17)))</f>
        <v>121.39926346102925</v>
      </c>
      <c r="BE18" s="14">
        <f>BD18*VLOOKUP('Données projet'!$B$11,Paramètres!$A$1:$I$89,3,0)*VLOOKUP('Données projet'!$B$11,Paramètres!$A$1:$I$89,5,0)</f>
        <v>69.692889167707676</v>
      </c>
      <c r="BF18" s="14">
        <f t="shared" si="37"/>
        <v>19.597171621977768</v>
      </c>
      <c r="BG18" s="22">
        <f t="shared" si="7"/>
        <v>155.51352254203547</v>
      </c>
      <c r="BH18" s="62">
        <f t="shared" si="8"/>
        <v>448.84685587536876</v>
      </c>
      <c r="BI18" s="62">
        <f ca="1">AVERAGE(OFFSET($BH$3,0,0,'Données projet'!$E$11+1,1))-AVERAGE(OFFSET($H$3,0,0,'Données projet'!$E$11+1,1))</f>
        <v>66.622529958850123</v>
      </c>
      <c r="BJ18" s="62">
        <f t="shared" si="38"/>
        <v>374.90853633180166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20.277777777777779</v>
      </c>
      <c r="BY18" s="13">
        <f>IF('Données projet'!$A$114&gt;35,BY17+BX18-CG17,IF(A18&lt;'Données projet'!$A$114,$BV$205^A18,IF(A18='Données projet'!$A$114,'Données projet'!$B$114,BY17+BX18-CG17)))</f>
        <v>136.53501856486668</v>
      </c>
      <c r="BZ18" s="14">
        <f>BY18*VLOOKUP('Données projet'!$B$12,Paramètres!$A$1:$I$89,3,0)*VLOOKUP('Données projet'!$B$12,Paramètres!$A$1:$I$89,5,0)</f>
        <v>65.176356462124758</v>
      </c>
      <c r="CA18" s="14">
        <f t="shared" si="39"/>
        <v>18.470644867663466</v>
      </c>
      <c r="CB18" s="22">
        <f t="shared" si="10"/>
        <v>145.68519398271448</v>
      </c>
      <c r="CC18" s="62">
        <f t="shared" si="11"/>
        <v>439.01852731604777</v>
      </c>
      <c r="CD18" s="62">
        <f ca="1">AVERAGE(OFFSET($CC$3,0,0,'Données projet'!$E$12+1,1))-AVERAGE(OFFSET($H$3,0,0,'Données projet'!$E$12+1,1))</f>
        <v>61.91827157428213</v>
      </c>
      <c r="CE18" s="62">
        <f t="shared" si="40"/>
        <v>358.41033295847001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20.277777777777779</v>
      </c>
      <c r="CT18" s="13">
        <f>IF('Données projet'!$A$140&gt;35,CT17+CS18-DB17,IF(A18&lt;'Données projet'!$A$140,$CQ$205^A18,IF(A18='Données projet'!$A$140,'Données projet'!$B$140,CT17+CS18-DB17)))</f>
        <v>136.53501856486668</v>
      </c>
      <c r="CU18" s="18">
        <f>CT18*VLOOKUP('Données projet'!$B$13,Paramètres!$A$1:$I$89,3,0)*VLOOKUP('Données projet'!$B$13,Paramètres!$A$1:$I$89,5,0)</f>
        <v>69.436249041348603</v>
      </c>
      <c r="CV18" s="14">
        <f t="shared" si="41"/>
        <v>19.533392521506627</v>
      </c>
      <c r="CW18" s="22">
        <f t="shared" si="13"/>
        <v>154.95545905530619</v>
      </c>
      <c r="CX18" s="62">
        <f t="shared" si="14"/>
        <v>448.28879238863954</v>
      </c>
      <c r="CY18" s="62">
        <f ca="1">AVERAGE(OFFSET($CX$3,0,0,'Données projet'!$E$13+1,1))-AVERAGE(OFFSET($H$3,0,0,'Données projet'!$E$13+1,1))</f>
        <v>66.561949299871912</v>
      </c>
      <c r="CZ18" s="62">
        <f t="shared" si="42"/>
        <v>382.65744918271389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19.444444444444443</v>
      </c>
      <c r="DO18" s="13">
        <f>IF('Données projet'!$A$166&gt;35,DO17+DN18-DW17,IF(A18&lt;'Données projet'!$A$166,$DL$205^A18,IF(A18='Données projet'!$A$166,'Données projet'!$B$166,DO17+DN18-DW17)))</f>
        <v>131.84288678816608</v>
      </c>
      <c r="DP18" s="18">
        <f>DO18*VLOOKUP('Données projet'!$B$14,Paramètres!$A$1:$I$89,3,0)*VLOOKUP('Données projet'!$B$14,Paramètres!$A$1:$I$89,5,0)</f>
        <v>63.964894954146651</v>
      </c>
      <c r="DQ18" s="14">
        <f t="shared" si="43"/>
        <v>18.166955109173433</v>
      </c>
      <c r="DR18" s="22">
        <f t="shared" si="16"/>
        <v>143.04630552694914</v>
      </c>
      <c r="DS18" s="62">
        <f t="shared" si="17"/>
        <v>436.37963886028245</v>
      </c>
      <c r="DT18" s="62">
        <f ca="1">AVERAGE(OFFSET($DS$3,0,0,'Données projet'!$E$14+1,1))-AVERAGE(OFFSET($H$3,0,0,'Données projet'!$E$14+1,1))</f>
        <v>60.532656778089574</v>
      </c>
      <c r="DU18" s="62">
        <f t="shared" si="44"/>
        <v>348.96823267563025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8.1868800000000004</v>
      </c>
      <c r="D19" s="12">
        <f t="shared" si="32"/>
        <v>2.9538164511971763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85.998358570644868</v>
      </c>
      <c r="H19" s="70">
        <f t="shared" si="1"/>
        <v>312.73671298583508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20.277777777777779</v>
      </c>
      <c r="N19" s="14">
        <f>IF('Données projet'!$A$36&gt;35,N18+M19-V18,IF(A19&lt;'Données projet'!$A$36,$K$205^A19,IF(A19='Données projet'!$A$36,'Données projet'!$B$36,N18+M19-V18)))</f>
        <v>189.49321197801919</v>
      </c>
      <c r="O19" s="14">
        <f>N19*VLOOKUP('Données projet'!$B$9,Paramètres!$A$1:$I$89,3,0)*VLOOKUP('Données projet'!$B$9,Paramètres!$A$1:$I$89,5,0)</f>
        <v>106.12377843616986</v>
      </c>
      <c r="P19" s="14">
        <f t="shared" si="33"/>
        <v>28.415818511857033</v>
      </c>
      <c r="Q19" s="22">
        <f t="shared" si="2"/>
        <v>234.3231313511468</v>
      </c>
      <c r="R19" s="62">
        <f t="shared" si="0"/>
        <v>527.65646468448017</v>
      </c>
      <c r="S19" s="62">
        <f ca="1">AVERAGE(OFFSET($R$3,0,0,'Données projet'!$E$9+1,1))-AVERAGE(OFFSET($H$3,0,0,'Données projet'!$E$9+1,1))</f>
        <v>74.209918391015606</v>
      </c>
      <c r="T19" s="62">
        <f t="shared" si="34"/>
        <v>422.59746235438649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20.277777777777779</v>
      </c>
      <c r="AI19" s="14">
        <f>IF('Données projet'!$A$62&gt;35,AI18+AH19-AQ18,IF(A19&lt;'Données projet'!$A$62,$AF$205^A19,IF(A19='Données projet'!$A$62,'Données projet'!$B$62,AI18+AH19-AQ18)))</f>
        <v>189.49321197801919</v>
      </c>
      <c r="AJ19" s="14">
        <f>AI19*VLOOKUP('Données projet'!$B$10,Paramètres!$A$1:$I$89,3,0)*VLOOKUP('Données projet'!$B$10,Paramètres!$A$1:$I$89,5,0)</f>
        <v>95.186230240798608</v>
      </c>
      <c r="AK19" s="14">
        <f t="shared" si="35"/>
        <v>25.811911285888414</v>
      </c>
      <c r="AL19" s="22">
        <f t="shared" si="4"/>
        <v>210.73842982564656</v>
      </c>
      <c r="AM19" s="62">
        <f t="shared" si="5"/>
        <v>504.07176315897988</v>
      </c>
      <c r="AN19" s="62">
        <f ca="1">AVERAGE(OFFSET($AM$3,0,0,'Données projet'!$E$10+1,1))-AVERAGE(OFFSET($H$3,0,0,'Données projet'!$E$10+1,1))</f>
        <v>65.6337514911271</v>
      </c>
      <c r="AO19" s="62">
        <f t="shared" si="36"/>
        <v>377.81060908047425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17.611111111111111</v>
      </c>
      <c r="BD19" s="13">
        <f>IF('Données projet'!$A$88&gt;35,BD18+BC19-BL18,IF(A19&lt;'Données projet'!$A$88,$BA$205^A19,IF(A19='Données projet'!$A$88,'Données projet'!$B$88,BD18+BC19-BL18)))</f>
        <v>167.17209637300388</v>
      </c>
      <c r="BE19" s="14">
        <f>BD19*VLOOKUP('Données projet'!$B$11,Paramètres!$A$1:$I$89,3,0)*VLOOKUP('Données projet'!$B$11,Paramètres!$A$1:$I$89,5,0)</f>
        <v>95.97015708581408</v>
      </c>
      <c r="BF19" s="14">
        <f t="shared" si="37"/>
        <v>25.999656856884528</v>
      </c>
      <c r="BG19" s="22">
        <f t="shared" si="7"/>
        <v>212.43075928353338</v>
      </c>
      <c r="BH19" s="62">
        <f t="shared" si="8"/>
        <v>505.76409261686672</v>
      </c>
      <c r="BI19" s="62">
        <f ca="1">AVERAGE(OFFSET($BH$3,0,0,'Données projet'!$E$11+1,1))-AVERAGE(OFFSET($H$3,0,0,'Données projet'!$E$11+1,1))</f>
        <v>66.622529958850123</v>
      </c>
      <c r="BJ19" s="62">
        <f t="shared" si="38"/>
        <v>374.90853633180166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20.277777777777779</v>
      </c>
      <c r="BY19" s="13">
        <f>IF('Données projet'!$A$114&gt;35,BY18+BX19-CG18,IF(A19&lt;'Données projet'!$A$114,$BV$205^A19,IF(A19='Données projet'!$A$114,'Données projet'!$B$114,BY18+BX19-CG18)))</f>
        <v>189.49321197801919</v>
      </c>
      <c r="BZ19" s="14">
        <f>BY19*VLOOKUP('Données projet'!$B$12,Paramètres!$A$1:$I$89,3,0)*VLOOKUP('Données projet'!$B$12,Paramètres!$A$1:$I$89,5,0)</f>
        <v>90.456479669827246</v>
      </c>
      <c r="CA19" s="14">
        <f t="shared" si="39"/>
        <v>24.675284461389627</v>
      </c>
      <c r="CB19" s="22">
        <f t="shared" si="10"/>
        <v>200.52115586186937</v>
      </c>
      <c r="CC19" s="62">
        <f t="shared" si="11"/>
        <v>493.85448919520269</v>
      </c>
      <c r="CD19" s="62">
        <f ca="1">AVERAGE(OFFSET($CC$3,0,0,'Données projet'!$E$12+1,1))-AVERAGE(OFFSET($H$3,0,0,'Données projet'!$E$12+1,1))</f>
        <v>61.91827157428213</v>
      </c>
      <c r="CE19" s="62">
        <f t="shared" si="40"/>
        <v>358.41033295847001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20.277777777777779</v>
      </c>
      <c r="CT19" s="13">
        <f>IF('Données projet'!$A$140&gt;35,CT18+CS19-DB18,IF(A19&lt;'Données projet'!$A$140,$CQ$205^A19,IF(A19='Données projet'!$A$140,'Données projet'!$B$140,CT18+CS19-DB18)))</f>
        <v>189.49321197801919</v>
      </c>
      <c r="CU19" s="18">
        <f>CT19*VLOOKUP('Données projet'!$B$13,Paramètres!$A$1:$I$89,3,0)*VLOOKUP('Données projet'!$B$13,Paramètres!$A$1:$I$89,5,0)</f>
        <v>96.368667883541448</v>
      </c>
      <c r="CV19" s="14">
        <f t="shared" si="41"/>
        <v>26.095029189152957</v>
      </c>
      <c r="CW19" s="22">
        <f t="shared" si="13"/>
        <v>213.29093906827609</v>
      </c>
      <c r="CX19" s="62">
        <f t="shared" si="14"/>
        <v>506.6242724016094</v>
      </c>
      <c r="CY19" s="62">
        <f ca="1">AVERAGE(OFFSET($CX$3,0,0,'Données projet'!$E$13+1,1))-AVERAGE(OFFSET($H$3,0,0,'Données projet'!$E$13+1,1))</f>
        <v>66.561949299871912</v>
      </c>
      <c r="CZ19" s="62">
        <f t="shared" si="42"/>
        <v>382.65744918271389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19.444444444444443</v>
      </c>
      <c r="DO19" s="13">
        <f>IF('Données projet'!$A$166&gt;35,DO18+DN19-DW18,IF(A19&lt;'Données projet'!$A$166,$DL$205^A19,IF(A19='Données projet'!$A$166,'Données projet'!$B$166,DO18+DN19-DW18)))</f>
        <v>182.55503566968065</v>
      </c>
      <c r="DP19" s="18">
        <f>DO19*VLOOKUP('Données projet'!$B$14,Paramètres!$A$1:$I$89,3,0)*VLOOKUP('Données projet'!$B$14,Paramètres!$A$1:$I$89,5,0)</f>
        <v>88.568401105502261</v>
      </c>
      <c r="DQ19" s="14">
        <f t="shared" si="43"/>
        <v>24.219636268182125</v>
      </c>
      <c r="DR19" s="22">
        <f t="shared" si="16"/>
        <v>196.43916509250028</v>
      </c>
      <c r="DS19" s="62">
        <f t="shared" si="17"/>
        <v>489.77249842583359</v>
      </c>
      <c r="DT19" s="62">
        <f ca="1">AVERAGE(OFFSET($DS$3,0,0,'Données projet'!$E$14+1,1))-AVERAGE(OFFSET($H$3,0,0,'Données projet'!$E$14+1,1))</f>
        <v>60.532656778089574</v>
      </c>
      <c r="DU19" s="62">
        <f t="shared" si="44"/>
        <v>348.96823267563025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8.6985600000000005</v>
      </c>
      <c r="D20" s="12">
        <f t="shared" si="32"/>
        <v>3.1163609606645983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91.202898643726726</v>
      </c>
      <c r="H20" s="70">
        <f t="shared" si="1"/>
        <v>313.91098733982415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20.277777777777779</v>
      </c>
      <c r="N20" s="14">
        <f>IF('Données projet'!$A$36&gt;35,N19+M20-V19,IF(A20&lt;'Données projet'!$A$36,$K$205^A20,IF(A20='Données projet'!$A$36,'Données projet'!$B$36,N19+M20-V19)))</f>
        <v>262.99243786081934</v>
      </c>
      <c r="O20" s="14">
        <f>N20*VLOOKUP('Données projet'!$B$9,Paramètres!$A$1:$I$89,3,0)*VLOOKUP('Données projet'!$B$9,Paramètres!$A$1:$I$89,5,0)</f>
        <v>147.28628489957327</v>
      </c>
      <c r="P20" s="14">
        <f t="shared" si="33"/>
        <v>37.961230374302048</v>
      </c>
      <c r="Q20" s="22">
        <f t="shared" si="2"/>
        <v>322.63942243533285</v>
      </c>
      <c r="R20" s="62">
        <f t="shared" si="0"/>
        <v>615.97275576866616</v>
      </c>
      <c r="S20" s="62">
        <f ca="1">AVERAGE(OFFSET($R$3,0,0,'Données projet'!$E$9+1,1))-AVERAGE(OFFSET($H$3,0,0,'Données projet'!$E$9+1,1))</f>
        <v>74.209918391015606</v>
      </c>
      <c r="T20" s="62">
        <f t="shared" si="34"/>
        <v>422.59746235438649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20.277777777777779</v>
      </c>
      <c r="AI20" s="14">
        <f>IF('Données projet'!$A$62&gt;35,AI19+AH20-AQ19,IF(A20&lt;'Données projet'!$A$62,$AF$205^A20,IF(A20='Données projet'!$A$62,'Données projet'!$B$62,AI19+AH20-AQ19)))</f>
        <v>262.99243786081934</v>
      </c>
      <c r="AJ20" s="14">
        <f>AI20*VLOOKUP('Données projet'!$B$10,Paramètres!$A$1:$I$89,3,0)*VLOOKUP('Données projet'!$B$10,Paramètres!$A$1:$I$89,5,0)</f>
        <v>132.10636138624679</v>
      </c>
      <c r="AK20" s="14">
        <f t="shared" si="35"/>
        <v>34.482621372169746</v>
      </c>
      <c r="AL20" s="22">
        <f t="shared" si="4"/>
        <v>290.1424783042421</v>
      </c>
      <c r="AM20" s="62">
        <f t="shared" si="5"/>
        <v>583.47581163757536</v>
      </c>
      <c r="AN20" s="62">
        <f ca="1">AVERAGE(OFFSET($AM$3,0,0,'Données projet'!$E$10+1,1))-AVERAGE(OFFSET($H$3,0,0,'Données projet'!$E$10+1,1))</f>
        <v>65.6337514911271</v>
      </c>
      <c r="AO20" s="62">
        <f t="shared" si="36"/>
        <v>377.81060908047425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17.611111111111111</v>
      </c>
      <c r="BD20" s="13">
        <f>IF('Données projet'!$A$88&gt;35,BD19+BC20-BL19,IF(A20&lt;'Données projet'!$A$88,$BA$205^A20,IF(A20='Données projet'!$A$88,'Données projet'!$B$88,BD19+BC20-BL19)))</f>
        <v>230.20328961646538</v>
      </c>
      <c r="BE20" s="14">
        <f>BD20*VLOOKUP('Données projet'!$B$11,Paramètres!$A$1:$I$89,3,0)*VLOOKUP('Données projet'!$B$11,Paramètres!$A$1:$I$89,5,0)</f>
        <v>132.15510450302045</v>
      </c>
      <c r="BF20" s="14">
        <f t="shared" si="37"/>
        <v>34.493863181646255</v>
      </c>
      <c r="BG20" s="22">
        <f t="shared" si="7"/>
        <v>290.2469520507945</v>
      </c>
      <c r="BH20" s="62">
        <f t="shared" si="8"/>
        <v>583.58028538412782</v>
      </c>
      <c r="BI20" s="62">
        <f ca="1">AVERAGE(OFFSET($BH$3,0,0,'Données projet'!$E$11+1,1))-AVERAGE(OFFSET($H$3,0,0,'Données projet'!$E$11+1,1))</f>
        <v>66.622529958850123</v>
      </c>
      <c r="BJ20" s="62">
        <f t="shared" si="38"/>
        <v>374.90853633180166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20.277777777777779</v>
      </c>
      <c r="BY20" s="13">
        <f>IF('Données projet'!$A$114&gt;35,BY19+BX20-CG19,IF(A20&lt;'Données projet'!$A$114,$BV$205^A20,IF(A20='Données projet'!$A$114,'Données projet'!$B$114,BY19+BX20-CG19)))</f>
        <v>262.99243786081934</v>
      </c>
      <c r="BZ20" s="14">
        <f>BY20*VLOOKUP('Données projet'!$B$12,Paramètres!$A$1:$I$89,3,0)*VLOOKUP('Données projet'!$B$12,Paramètres!$A$1:$I$89,5,0)</f>
        <v>125.54207013724073</v>
      </c>
      <c r="CA20" s="14">
        <f t="shared" si="39"/>
        <v>32.964180060461381</v>
      </c>
      <c r="CB20" s="22">
        <f t="shared" si="10"/>
        <v>276.06505242766451</v>
      </c>
      <c r="CC20" s="62">
        <f t="shared" si="11"/>
        <v>569.39838576099783</v>
      </c>
      <c r="CD20" s="62">
        <f ca="1">AVERAGE(OFFSET($CC$3,0,0,'Données projet'!$E$12+1,1))-AVERAGE(OFFSET($H$3,0,0,'Données projet'!$E$12+1,1))</f>
        <v>61.91827157428213</v>
      </c>
      <c r="CE20" s="62">
        <f t="shared" si="40"/>
        <v>358.41033295847001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20.277777777777779</v>
      </c>
      <c r="CT20" s="13">
        <f>IF('Données projet'!$A$140&gt;35,CT19+CS20-DB19,IF(A20&lt;'Données projet'!$A$140,$CQ$205^A20,IF(A20='Données projet'!$A$140,'Données projet'!$B$140,CT19+CS20-DB19)))</f>
        <v>262.99243786081934</v>
      </c>
      <c r="CU20" s="18">
        <f>CT20*VLOOKUP('Données projet'!$B$13,Paramètres!$A$1:$I$89,3,0)*VLOOKUP('Données projet'!$B$13,Paramètres!$A$1:$I$89,5,0)</f>
        <v>133.7474341984983</v>
      </c>
      <c r="CV20" s="14">
        <f t="shared" si="41"/>
        <v>34.860843943672663</v>
      </c>
      <c r="CW20" s="22">
        <f t="shared" si="13"/>
        <v>293.65941776428105</v>
      </c>
      <c r="CX20" s="62">
        <f t="shared" si="14"/>
        <v>586.99275109761436</v>
      </c>
      <c r="CY20" s="62">
        <f ca="1">AVERAGE(OFFSET($CX$3,0,0,'Données projet'!$E$13+1,1))-AVERAGE(OFFSET($H$3,0,0,'Données projet'!$E$13+1,1))</f>
        <v>66.561949299871912</v>
      </c>
      <c r="CZ20" s="62">
        <f t="shared" si="42"/>
        <v>382.65744918271389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19.444444444444443</v>
      </c>
      <c r="DO20" s="13">
        <f>IF('Données projet'!$A$166&gt;35,DO19+DN20-DW19,IF(A20&lt;'Données projet'!$A$166,$DL$205^A20,IF(A20='Données projet'!$A$166,'Données projet'!$B$166,DO19+DN20-DW19)))</f>
        <v>252.77314431004763</v>
      </c>
      <c r="DP20" s="18">
        <f>DO20*VLOOKUP('Données projet'!$B$14,Paramètres!$A$1:$I$89,3,0)*VLOOKUP('Données projet'!$B$14,Paramètres!$A$1:$I$89,5,0)</f>
        <v>122.63541869346271</v>
      </c>
      <c r="DQ20" s="14">
        <f t="shared" si="43"/>
        <v>32.288888117901656</v>
      </c>
      <c r="DR20" s="22">
        <f t="shared" si="16"/>
        <v>269.82650102979295</v>
      </c>
      <c r="DS20" s="62">
        <f t="shared" si="17"/>
        <v>563.15983436312627</v>
      </c>
      <c r="DT20" s="62">
        <f ca="1">AVERAGE(OFFSET($DS$3,0,0,'Données projet'!$E$14+1,1))-AVERAGE(OFFSET($H$3,0,0,'Données projet'!$E$14+1,1))</f>
        <v>60.532656778089574</v>
      </c>
      <c r="DU20" s="62">
        <f t="shared" si="44"/>
        <v>348.96823267563025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9.2102400000000006</v>
      </c>
      <c r="D21" s="12">
        <f t="shared" si="32"/>
        <v>3.2777956443170075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96.398871640341824</v>
      </c>
      <c r="H21" s="70">
        <f t="shared" si="1"/>
        <v>315.08332874718542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365</v>
      </c>
      <c r="L21" s="13">
        <f>VLOOKUP(A21,'Données projet'!$A$35:$I$55,9,0)</f>
        <v>20.277777777777779</v>
      </c>
      <c r="M21" s="13">
        <f t="array" ref="M21">INDEX(L:L,MIN(IF(ISNUMBER(L21:L217),ROW(L21:L217),"")))</f>
        <v>20.277777777777779</v>
      </c>
      <c r="N21" s="14">
        <f>IF('Données projet'!$A$36&gt;35,N20+M21-V20,IF(A21&lt;'Données projet'!$A$36,$K$205^A21,IF(A21='Données projet'!$A$36,'Données projet'!$B$36,N20+M21-V20)))</f>
        <v>365</v>
      </c>
      <c r="O21" s="14">
        <f>N21*VLOOKUP('Données projet'!$B$9,Paramètres!$A$1:$I$89,3,0)*VLOOKUP('Données projet'!$B$9,Paramètres!$A$1:$I$89,5,0)</f>
        <v>204.41460000000001</v>
      </c>
      <c r="P21" s="14">
        <f t="shared" si="33"/>
        <v>50.713126948271011</v>
      </c>
      <c r="Q21" s="22">
        <f t="shared" si="2"/>
        <v>444.34745776823866</v>
      </c>
      <c r="R21" s="62">
        <f t="shared" si="0"/>
        <v>737.68079110157191</v>
      </c>
      <c r="S21" s="62">
        <f ca="1">AVERAGE(OFFSET($R$3,0,0,'Données projet'!$E$9+1,1))-AVERAGE(OFFSET($H$3,0,0,'Données projet'!$E$9+1,1))</f>
        <v>74.209918391015606</v>
      </c>
      <c r="T21" s="62">
        <f t="shared" si="34"/>
        <v>422.59746235438649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365</v>
      </c>
      <c r="W21" s="17">
        <f>IF(ISNA(VLOOKUP(A21,'Données projet'!$A$35:$I$55,5,0)),0%,VLOOKUP(A21,'Données projet'!$A$35:$I$55,5,0)*VLOOKUP('Données projet'!$B$9,Paramètres!$A$1:$I$89,7,0))</f>
        <v>0.46199999999999997</v>
      </c>
      <c r="X21" s="17">
        <f>IF(ISNA(VLOOKUP(A21,'Données projet'!$A$35:$I$55,6,0)),0%,VLOOKUP(A21,'Données projet'!$A$35:$I$55,6,0)*VLOOKUP('Données projet'!$B$9,Paramètres!$A$1:$I$89,7,0))</f>
        <v>0.126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104.40011987516318</v>
      </c>
      <c r="AA21" s="23">
        <f>EXP(-LN(2)/25)*AA20+(1-EXP(-LN(2)/25))/(LN(2)/25)*Calculateur!V21*Calculateur!X21*VLOOKUP('Données projet'!$B$9,Paramètres!$A$1:$I$89,3,0)*0.475*44/12</f>
        <v>28.360651860995546</v>
      </c>
      <c r="AB21" s="23">
        <f>EXP(-LN(2)/2)*AB20+(1-EXP(-LN(2)/2))/(LN(2)/2)*V21*Y21*VLOOKUP('Données projet'!$B$9,Paramètres!$A$1:$I$89,3,0)*0.475*44/12</f>
        <v>0</v>
      </c>
      <c r="AC21" s="24">
        <f t="shared" si="3"/>
        <v>132.76077173615874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>
        <f>VLOOKUP(A21,'Données projet'!$A$61:$I$81,2,0)</f>
        <v>365</v>
      </c>
      <c r="AG21" s="13">
        <f>VLOOKUP(A21,'Données projet'!$A$61:$I$81,9,0)</f>
        <v>20.277777777777779</v>
      </c>
      <c r="AH21" s="13">
        <f t="array" ref="AH21">INDEX(AG:AG,MIN(IF(ISNUMBER(AG21:AG217),ROW(AG21:AG217),"")))</f>
        <v>20.277777777777779</v>
      </c>
      <c r="AI21" s="14">
        <f>IF('Données projet'!$A$62&gt;35,AI20+AH21-AQ20,IF(A21&lt;'Données projet'!$A$62,$AF$205^A21,IF(A21='Données projet'!$A$62,'Données projet'!$B$62,AI20+AH21-AQ20)))</f>
        <v>365</v>
      </c>
      <c r="AJ21" s="14">
        <f>AI21*VLOOKUP('Données projet'!$B$10,Paramètres!$A$1:$I$89,3,0)*VLOOKUP('Données projet'!$B$10,Paramètres!$A$1:$I$89,5,0)</f>
        <v>183.3468</v>
      </c>
      <c r="AK21" s="14">
        <f t="shared" si="35"/>
        <v>46.06598726946973</v>
      </c>
      <c r="AL21" s="22">
        <f t="shared" si="4"/>
        <v>399.56060449432636</v>
      </c>
      <c r="AM21" s="62">
        <f t="shared" si="5"/>
        <v>692.89393782765967</v>
      </c>
      <c r="AN21" s="62">
        <f ca="1">AVERAGE(OFFSET($AM$3,0,0,'Données projet'!$E$10+1,1))-AVERAGE(OFFSET($H$3,0,0,'Données projet'!$E$10+1,1))</f>
        <v>65.6337514911271</v>
      </c>
      <c r="AO21" s="62">
        <f t="shared" si="36"/>
        <v>377.81060908047425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365</v>
      </c>
      <c r="AR21" s="17">
        <f>IF(ISNA(VLOOKUP(A21,'Données projet'!$A$61:$I$81,5,0)),0%,VLOOKUP(A21,'Données projet'!$A$61:$I$81,5,0)*VLOOKUP('Données projet'!$B$10,Paramètres!$A$1:$I$89,7,0))</f>
        <v>0.46199999999999997</v>
      </c>
      <c r="AS21" s="17">
        <f>IF(ISNA(VLOOKUP(A21,'Données projet'!$A$61:$I$81,6,0)),0%,VLOOKUP(A21,'Données projet'!$A$61:$I$81,6,0)*VLOOKUP('Données projet'!$B$10,Paramètres!$A$1:$I$89,7,0))</f>
        <v>0.126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93.640218940954185</v>
      </c>
      <c r="AV21" s="23">
        <f>EXP(-LN(2)/25)*AV20+(1-EXP(-LN(2)/25))/(LN(2)/25)*Calculateur!AQ21*Calculateur!AS21*VLOOKUP('Données projet'!$B$10,Paramètres!$A$1:$I$89,3,0)*0.475*44/12</f>
        <v>25.437687741617179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119.07790668257137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>
        <f>VLOOKUP(A21,'Données projet'!$A$87:$I$107,2,0)</f>
        <v>317</v>
      </c>
      <c r="BB21" s="13">
        <f>VLOOKUP(A21,'Données projet'!$A$87:$I$107,9,0)</f>
        <v>17.611111111111111</v>
      </c>
      <c r="BC21" s="13">
        <f t="array" ref="BC21">INDEX(BB:BB,MIN(IF(ISNUMBER(BB21:BB217),ROW(BB21:BB217),"")))</f>
        <v>17.611111111111111</v>
      </c>
      <c r="BD21" s="13">
        <f>IF('Données projet'!$A$88&gt;35,BD20+BC21-BL20,IF(A21&lt;'Données projet'!$A$88,$BA$205^A21,IF(A21='Données projet'!$A$88,'Données projet'!$B$88,BD20+BC21-BL20)))</f>
        <v>317</v>
      </c>
      <c r="BE21" s="14">
        <f>BD21*VLOOKUP('Données projet'!$B$11,Paramètres!$A$1:$I$89,3,0)*VLOOKUP('Données projet'!$B$11,Paramètres!$A$1:$I$89,5,0)</f>
        <v>181.98336</v>
      </c>
      <c r="BF21" s="14">
        <f t="shared" si="37"/>
        <v>45.76316540420315</v>
      </c>
      <c r="BG21" s="22">
        <f t="shared" si="7"/>
        <v>396.65853174565382</v>
      </c>
      <c r="BH21" s="62">
        <f t="shared" si="8"/>
        <v>689.99186507898708</v>
      </c>
      <c r="BI21" s="62">
        <f ca="1">AVERAGE(OFFSET($BH$3,0,0,'Données projet'!$E$11+1,1))-AVERAGE(OFFSET($H$3,0,0,'Données projet'!$E$11+1,1))</f>
        <v>66.622529958850123</v>
      </c>
      <c r="BJ21" s="62">
        <f t="shared" si="38"/>
        <v>374.90853633180166</v>
      </c>
      <c r="BK21" s="16">
        <f>IF(ISNA(VLOOKUP(A21,'Données projet'!$A$87:$I$107,3,0)),0,VLOOKUP(A21,'Données projet'!$A$87:$I$107,3,0))</f>
        <v>1</v>
      </c>
      <c r="BL21" s="16">
        <f>IF(ISNA(VLOOKUP(A21,'Données projet'!$A$87:$I$107,4,0)),0,VLOOKUP(A21,'Données projet'!$A$87:$I$107,4,0))</f>
        <v>317</v>
      </c>
      <c r="BM21" s="17">
        <f>IF(ISNA(VLOOKUP(A21,'Données projet'!$A$87:$I$107,5,0)),0%,VLOOKUP(A21,'Données projet'!$A$87:$I$107,5,0)*VLOOKUP('Données projet'!$B$11,Paramètres!$A$1:$I$89,7,0))</f>
        <v>0.46199999999999997</v>
      </c>
      <c r="BN21" s="17">
        <f>IF(ISNA(VLOOKUP(A21,'Données projet'!$A$87:$I$107,6,0)),0%,VLOOKUP(A21,'Données projet'!$A$87:$I$107,6,0)*VLOOKUP('Données projet'!$B$11,Paramètres!$A$1:$I$89,7,0))</f>
        <v>0.126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92.943872890121227</v>
      </c>
      <c r="BQ21" s="23">
        <f>EXP(-LN(2)/25)*BQ20+(1-EXP(-LN(2)/25))/(LN(2)/25)*Calculateur!BL21*Calculateur!BN21*VLOOKUP('Données projet'!$B$11,Paramètres!$A$1:$I$89,3,0)*0.475*44/12</f>
        <v>25.248522940407497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118.19239583052872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>
        <f>VLOOKUP(A21,'Données projet'!$A$113:$I$133,2,0)</f>
        <v>365</v>
      </c>
      <c r="BW21" s="13">
        <f>VLOOKUP(A21,'Données projet'!$A$113:$I$133,9,0)</f>
        <v>20.277777777777779</v>
      </c>
      <c r="BX21" s="13">
        <f t="array" ref="BX21">INDEX(BW:BW,MIN(IF(ISNUMBER(BW21:BW217),ROW(BW21:BW217),"")))</f>
        <v>20.277777777777779</v>
      </c>
      <c r="BY21" s="13">
        <f>IF('Données projet'!$A$114&gt;35,BY20+BX21-CG20,IF(A21&lt;'Données projet'!$A$114,$BV$205^A21,IF(A21='Données projet'!$A$114,'Données projet'!$B$114,BY20+BX21-CG20)))</f>
        <v>365</v>
      </c>
      <c r="BZ21" s="14">
        <f>BY21*VLOOKUP('Données projet'!$B$12,Paramètres!$A$1:$I$89,3,0)*VLOOKUP('Données projet'!$B$12,Paramètres!$A$1:$I$89,5,0)</f>
        <v>174.2364</v>
      </c>
      <c r="CA21" s="14">
        <f t="shared" si="39"/>
        <v>44.03747274965864</v>
      </c>
      <c r="CB21" s="22">
        <f t="shared" si="10"/>
        <v>380.16032837232211</v>
      </c>
      <c r="CC21" s="62">
        <f t="shared" si="11"/>
        <v>673.49366170565543</v>
      </c>
      <c r="CD21" s="62">
        <f ca="1">AVERAGE(OFFSET($CC$3,0,0,'Données projet'!$E$12+1,1))-AVERAGE(OFFSET($H$3,0,0,'Données projet'!$E$12+1,1))</f>
        <v>61.91827157428213</v>
      </c>
      <c r="CE21" s="62">
        <f t="shared" si="40"/>
        <v>358.41033295847001</v>
      </c>
      <c r="CF21" s="16">
        <f>IF(ISNA(VLOOKUP(A21,'Données projet'!$A$113:$I$133,3,0)),0,VLOOKUP(A21,'Données projet'!$A$113:$I$133,3,0))</f>
        <v>1</v>
      </c>
      <c r="CG21" s="16">
        <f>IF(ISNA(VLOOKUP(A21,'Données projet'!$A$113:$I$133,4,0)),0,VLOOKUP(A21,'Données projet'!$A$113:$I$133,4,0))</f>
        <v>365</v>
      </c>
      <c r="CH21" s="17">
        <f>IF(ISNA(VLOOKUP(A21,'Données projet'!$A$113:$I$133,5,0)),0%,VLOOKUP(A21,'Données projet'!$A$113:$I$133,5,0)*VLOOKUP('Données projet'!$B$12,Paramètres!$A$1:$I$89,7,0))</f>
        <v>0.46199999999999997</v>
      </c>
      <c r="CI21" s="17">
        <f>IF(ISNA(VLOOKUP(A21,'Données projet'!$A$113:$I$133,6,0)),0%,VLOOKUP(A21,'Données projet'!$A$113:$I$133,6,0)*VLOOKUP('Données projet'!$B$12,Paramètres!$A$1:$I$89,7,0))</f>
        <v>0.126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88.987288807242166</v>
      </c>
      <c r="CL21" s="23">
        <f>EXP(-LN(2)/25)*CL20+(1-EXP(-LN(2)/25))/(LN(2)/25)*Calculateur!CG21*Calculateur!CI21*VLOOKUP('Données projet'!$B$12,Paramètres!$A$1:$I$89,3,0)*0.475*44/12</f>
        <v>24.173703257561659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113.16099206480382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>
        <f>VLOOKUP(A21,'Données projet'!$A$139:$I$159,2,0)</f>
        <v>365</v>
      </c>
      <c r="CR21" s="13">
        <f>VLOOKUP(A21,'Données projet'!$A$139:$I$159,9,0)</f>
        <v>20.277777777777779</v>
      </c>
      <c r="CS21" s="13">
        <f t="array" ref="CS21">INDEX(CR:CR,MIN(IF(ISNUMBER(CR21:CR217),ROW(CR21:CR217),"")))</f>
        <v>20.277777777777779</v>
      </c>
      <c r="CT21" s="13">
        <f>IF('Données projet'!$A$140&gt;35,CT20+CS21-DB20,IF(A21&lt;'Données projet'!$A$140,$CQ$205^A21,IF(A21='Données projet'!$A$140,'Données projet'!$B$140,CT20+CS21-DB20)))</f>
        <v>365</v>
      </c>
      <c r="CU21" s="18">
        <f>CT21*VLOOKUP('Données projet'!$B$13,Paramètres!$A$1:$I$89,3,0)*VLOOKUP('Données projet'!$B$13,Paramètres!$A$1:$I$89,5,0)</f>
        <v>185.62440000000001</v>
      </c>
      <c r="CV21" s="14">
        <f t="shared" si="41"/>
        <v>46.571261969320169</v>
      </c>
      <c r="CW21" s="22">
        <f t="shared" si="13"/>
        <v>404.40744459656599</v>
      </c>
      <c r="CX21" s="62">
        <f t="shared" si="14"/>
        <v>697.74077792989931</v>
      </c>
      <c r="CY21" s="62">
        <f ca="1">AVERAGE(OFFSET($CX$3,0,0,'Données projet'!$E$13+1,1))-AVERAGE(OFFSET($H$3,0,0,'Données projet'!$E$13+1,1))</f>
        <v>66.561949299871912</v>
      </c>
      <c r="CZ21" s="62">
        <f t="shared" si="42"/>
        <v>382.65744918271389</v>
      </c>
      <c r="DA21" s="16">
        <f>IF(ISNA(VLOOKUP(A21,'Données projet'!$A$139:$I$159,3,0)),0,VLOOKUP(A21,'Données projet'!$A$139:$I$159,3,0))</f>
        <v>1</v>
      </c>
      <c r="DB21" s="16">
        <f>IF(ISNA(VLOOKUP(A21,'Données projet'!$A$139:$I$159,4,0)),0,VLOOKUP(A21,'Données projet'!$A$139:$I$159,4,0))</f>
        <v>365</v>
      </c>
      <c r="DC21" s="17">
        <f>IF(ISNA(VLOOKUP(A21,'Données projet'!$A$139:$I$159,5,0)),0%,VLOOKUP(A21,'Données projet'!$A$139:$I$159,5,0)*VLOOKUP('Données projet'!$B$13,Paramètres!$A$1:$I$89,7,0))</f>
        <v>0.46199999999999997</v>
      </c>
      <c r="DD21" s="17">
        <f>IF(ISNA(VLOOKUP(A21,'Données projet'!$A$139:$I$159,6,0)),0%,VLOOKUP(A21,'Données projet'!$A$139:$I$159,6,0)*VLOOKUP('Données projet'!$B$13,Paramètres!$A$1:$I$89,7,0))</f>
        <v>0.126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94.803451474382186</v>
      </c>
      <c r="DG21" s="23">
        <f>EXP(-LN(2)/25)*DG20+(1-EXP(-LN(2)/25))/(LN(2)/25)*Calculateur!DB21*Calculateur!DD21*VLOOKUP('Données projet'!$B$13,Paramètres!$A$1:$I$89,3,0)*0.475*44/12</f>
        <v>25.753683862631053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120.55713533701324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>
        <f>VLOOKUP(A21,'Données projet'!$A$165:$I$185,2,0)</f>
        <v>350</v>
      </c>
      <c r="DM21" s="13">
        <f>VLOOKUP(A21,'Données projet'!$A$165:$I$185,9,0)</f>
        <v>19.444444444444443</v>
      </c>
      <c r="DN21" s="13">
        <f t="array" ref="DN21">INDEX(DM:DM,MIN(IF(ISNUMBER(DM21:DM217),ROW(DM21:DM217),"")))</f>
        <v>19.444444444444443</v>
      </c>
      <c r="DO21" s="13">
        <f>IF('Données projet'!$A$166&gt;35,DO20+DN21-DW20,IF(A21&lt;'Données projet'!$A$166,$DL$205^A21,IF(A21='Données projet'!$A$166,'Données projet'!$B$166,DO20+DN21-DW20)))</f>
        <v>350</v>
      </c>
      <c r="DP21" s="18">
        <f>DO21*VLOOKUP('Données projet'!$B$14,Paramètres!$A$1:$I$89,3,0)*VLOOKUP('Données projet'!$B$14,Paramètres!$A$1:$I$89,5,0)</f>
        <v>169.80599999999998</v>
      </c>
      <c r="DQ21" s="14">
        <f t="shared" si="43"/>
        <v>43.046571151855936</v>
      </c>
      <c r="DR21" s="22">
        <f t="shared" si="16"/>
        <v>370.71822808948235</v>
      </c>
      <c r="DS21" s="62">
        <f t="shared" si="17"/>
        <v>664.05156142281567</v>
      </c>
      <c r="DT21" s="62">
        <f ca="1">AVERAGE(OFFSET($DS$3,0,0,'Données projet'!$E$14+1,1))-AVERAGE(OFFSET($H$3,0,0,'Données projet'!$E$14+1,1))</f>
        <v>60.532656778089574</v>
      </c>
      <c r="DU21" s="62">
        <f t="shared" si="44"/>
        <v>348.96823267563025</v>
      </c>
      <c r="DV21" s="16">
        <f>IF(ISNA(VLOOKUP(A21,'Données projet'!$A$165:$I$185,3,0)),0,VLOOKUP(A21,'Données projet'!$A$165:$I$185,3,0))</f>
        <v>1</v>
      </c>
      <c r="DW21" s="16">
        <f>IF(ISNA(VLOOKUP(A21,'Données projet'!$A$165:$I$185,4,0)),0,VLOOKUP(A21,'Données projet'!$A$165:$I$185,4,0))</f>
        <v>350</v>
      </c>
      <c r="DX21" s="17">
        <f>IF(ISNA(VLOOKUP(A21,'Données projet'!$A$165:$I$185,5,0)),0%,VLOOKUP(A21,'Données projet'!$A$165:$I$185,5,0)*VLOOKUP('Données projet'!$B$14,Paramètres!$A$1:$I$89,7,0))</f>
        <v>0.46199999999999997</v>
      </c>
      <c r="DY21" s="17">
        <f>IF(ISNA(VLOOKUP(A21,'Données projet'!$A$165:$I$185,6,0)),0%,VLOOKUP(A21,'Données projet'!$A$165:$I$185,6,0)*VLOOKUP('Données projet'!$B$14,Paramètres!$A$1:$I$89,7,0))</f>
        <v>0.126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86.724562509341126</v>
      </c>
      <c r="EB21" s="23">
        <f>EXP(-LN(2)/25)*EB20+(1-EXP(-LN(2)/25))/(LN(2)/25)*Calculateur!DW21*Calculateur!DY21*VLOOKUP('Données projet'!$B$14,Paramètres!$A$1:$I$89,3,0)*0.475*44/12</f>
        <v>23.559025871479875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110.283588380821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9.7219200000000008</v>
      </c>
      <c r="D22" s="12">
        <f t="shared" si="32"/>
        <v>3.4381891865081835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101.58680775550177</v>
      </c>
      <c r="H22" s="70">
        <f t="shared" si="1"/>
        <v>316.25385683316841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74.209918391015606</v>
      </c>
      <c r="T22" s="62">
        <f t="shared" si="34"/>
        <v>422.59746235438649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102.3528972021967</v>
      </c>
      <c r="AA22" s="23">
        <f>EXP(-LN(2)/25)*AA21+(1-EXP(-LN(2)/25))/(LN(2)/25)*Calculateur!V22*Calculateur!X22*VLOOKUP('Données projet'!$B$9,Paramètres!$A$1:$I$89,3,0)*0.475*44/12</f>
        <v>27.585128344434761</v>
      </c>
      <c r="AB22" s="23">
        <f>EXP(-LN(2)/2)*AB21+(1-EXP(-LN(2)/2))/(LN(2)/2)*V22*Y22*VLOOKUP('Données projet'!$B$9,Paramètres!$A$1:$I$89,3,0)*0.475*44/12</f>
        <v>0</v>
      </c>
      <c r="AC22" s="24">
        <f t="shared" si="3"/>
        <v>129.93802554663145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65.6337514911271</v>
      </c>
      <c r="AO22" s="62">
        <f t="shared" si="36"/>
        <v>377.81060908047425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91.803991362415999</v>
      </c>
      <c r="AV22" s="23">
        <f>EXP(-LN(2)/25)*AV21+(1-EXP(-LN(2)/25))/(LN(2)/25)*Calculateur!AQ22*Calculateur!AS22*VLOOKUP('Données projet'!$B$10,Paramètres!$A$1:$I$89,3,0)*0.475*44/12</f>
        <v>24.742092832612798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116.5460841950288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>
        <f>BD22*VLOOKUP('Données projet'!$B$11,Paramètres!$A$1:$I$89,3,0)*VLOOKUP('Données projet'!$B$11,Paramètres!$A$1:$I$89,5,0)</f>
        <v>0</v>
      </c>
      <c r="BF22" s="14" t="e">
        <f t="shared" si="37"/>
        <v>#NUM!</v>
      </c>
      <c r="BG22" s="22" t="e">
        <f t="shared" si="7"/>
        <v>#NUM!</v>
      </c>
      <c r="BH22" s="62" t="e">
        <f t="shared" si="8"/>
        <v>#NUM!</v>
      </c>
      <c r="BI22" s="62">
        <f ca="1">AVERAGE(OFFSET($BH$3,0,0,'Données projet'!$E$11+1,1))-AVERAGE(OFFSET($H$3,0,0,'Données projet'!$E$11+1,1))</f>
        <v>66.622529958850123</v>
      </c>
      <c r="BJ22" s="62">
        <f t="shared" si="38"/>
        <v>374.90853633180166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91.121300232910727</v>
      </c>
      <c r="BQ22" s="23">
        <f>EXP(-LN(2)/25)*BQ21+(1-EXP(-LN(2)/25))/(LN(2)/25)*Calculateur!BL22*Calculateur!BN22*VLOOKUP('Données projet'!$B$11,Paramètres!$A$1:$I$89,3,0)*0.475*44/12</f>
        <v>24.558100752839938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115.67940098575066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>
        <f>BY22*VLOOKUP('Données projet'!$B$12,Paramètres!$A$1:$I$89,3,0)*VLOOKUP('Données projet'!$B$12,Paramètres!$A$1:$I$89,5,0)</f>
        <v>0</v>
      </c>
      <c r="CA22" s="14" t="e">
        <f t="shared" si="39"/>
        <v>#NUM!</v>
      </c>
      <c r="CB22" s="22" t="e">
        <f t="shared" si="10"/>
        <v>#NUM!</v>
      </c>
      <c r="CC22" s="62" t="e">
        <f t="shared" si="11"/>
        <v>#NUM!</v>
      </c>
      <c r="CD22" s="62">
        <f ca="1">AVERAGE(OFFSET($CC$3,0,0,'Données projet'!$E$12+1,1))-AVERAGE(OFFSET($H$3,0,0,'Données projet'!$E$12+1,1))</f>
        <v>61.91827157428213</v>
      </c>
      <c r="CE22" s="62">
        <f t="shared" si="40"/>
        <v>358.41033295847001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87.242302350618928</v>
      </c>
      <c r="CL22" s="23">
        <f>EXP(-LN(2)/25)*CL21+(1-EXP(-LN(2)/25))/(LN(2)/25)*Calculateur!CG22*Calculateur!CI22*VLOOKUP('Données projet'!$B$12,Paramètres!$A$1:$I$89,3,0)*0.475*44/12</f>
        <v>23.512672070743832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110.75497442136276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>
        <f>CT22*VLOOKUP('Données projet'!$B$13,Paramètres!$A$1:$I$89,3,0)*VLOOKUP('Données projet'!$B$13,Paramètres!$A$1:$I$89,5,0)</f>
        <v>0</v>
      </c>
      <c r="CV22" s="14" t="e">
        <f t="shared" si="41"/>
        <v>#NUM!</v>
      </c>
      <c r="CW22" s="22" t="e">
        <f t="shared" si="13"/>
        <v>#NUM!</v>
      </c>
      <c r="CX22" s="62" t="e">
        <f t="shared" si="14"/>
        <v>#NUM!</v>
      </c>
      <c r="CY22" s="62">
        <f ca="1">AVERAGE(OFFSET($CX$3,0,0,'Données projet'!$E$13+1,1))-AVERAGE(OFFSET($H$3,0,0,'Données projet'!$E$13+1,1))</f>
        <v>66.561949299871912</v>
      </c>
      <c r="CZ22" s="62">
        <f t="shared" si="42"/>
        <v>382.65744918271389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92.944413615365264</v>
      </c>
      <c r="DG22" s="23">
        <f>EXP(-LN(2)/25)*DG21+(1-EXP(-LN(2)/25))/(LN(2)/25)*Calculateur!DB22*Calculateur!DD22*VLOOKUP('Données projet'!$B$13,Paramètres!$A$1:$I$89,3,0)*0.475*44/12</f>
        <v>25.049448023080032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117.9938616384453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>
        <f>DO22*VLOOKUP('Données projet'!$B$14,Paramètres!$A$1:$I$89,3,0)*VLOOKUP('Données projet'!$B$14,Paramètres!$A$1:$I$89,5,0)</f>
        <v>0</v>
      </c>
      <c r="DQ22" s="14" t="e">
        <f t="shared" si="43"/>
        <v>#NUM!</v>
      </c>
      <c r="DR22" s="22" t="e">
        <f t="shared" si="16"/>
        <v>#NUM!</v>
      </c>
      <c r="DS22" s="62" t="e">
        <f t="shared" si="17"/>
        <v>#NUM!</v>
      </c>
      <c r="DT22" s="62">
        <f ca="1">AVERAGE(OFFSET($DS$3,0,0,'Données projet'!$E$14+1,1))-AVERAGE(OFFSET($H$3,0,0,'Données projet'!$E$14+1,1))</f>
        <v>60.532656778089574</v>
      </c>
      <c r="DU22" s="62">
        <f t="shared" si="44"/>
        <v>348.96823267563025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85.023946735292952</v>
      </c>
      <c r="EB22" s="23">
        <f>EXP(-LN(2)/25)*EB21+(1-EXP(-LN(2)/25))/(LN(2)/25)*Calculateur!DW22*Calculateur!DY22*VLOOKUP('Données projet'!$B$14,Paramètres!$A$1:$I$89,3,0)*0.475*44/12</f>
        <v>22.914803070108931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107.93874980540188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10.233600000000001</v>
      </c>
      <c r="D23" s="12">
        <f t="shared" si="32"/>
        <v>3.5976026333152715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106.7671782220828</v>
      </c>
      <c r="H23" s="70">
        <f t="shared" si="1"/>
        <v>317.42267791969073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74.209918391015606</v>
      </c>
      <c r="T23" s="62">
        <f t="shared" si="34"/>
        <v>422.59746235438649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100.34581931716455</v>
      </c>
      <c r="AA23" s="23">
        <f>EXP(-LN(2)/25)*AA22+(1-EXP(-LN(2)/25))/(LN(2)/25)*Calculateur!V23*Calculateur!X23*VLOOKUP('Données projet'!$B$9,Paramètres!$A$1:$I$89,3,0)*0.475*44/12</f>
        <v>26.830811559217338</v>
      </c>
      <c r="AB23" s="23">
        <f>EXP(-LN(2)/2)*AB22+(1-EXP(-LN(2)/2))/(LN(2)/2)*V23*Y23*VLOOKUP('Données projet'!$B$9,Paramètres!$A$1:$I$89,3,0)*0.475*44/12</f>
        <v>0</v>
      </c>
      <c r="AC23" s="24">
        <f t="shared" si="3"/>
        <v>127.17663087638189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65.6337514911271</v>
      </c>
      <c r="AO23" s="62">
        <f t="shared" si="36"/>
        <v>377.81060908047425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90.003771086704717</v>
      </c>
      <c r="AV23" s="23">
        <f>EXP(-LN(2)/25)*AV22+(1-EXP(-LN(2)/25))/(LN(2)/25)*Calculateur!AQ23*Calculateur!AS23*VLOOKUP('Données projet'!$B$10,Paramètres!$A$1:$I$89,3,0)*0.475*44/12</f>
        <v>24.065519002974888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114.06929008967961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>
        <f>BD23*VLOOKUP('Données projet'!$B$11,Paramètres!$A$1:$I$89,3,0)*VLOOKUP('Données projet'!$B$11,Paramètres!$A$1:$I$89,5,0)</f>
        <v>0</v>
      </c>
      <c r="BF23" s="14" t="e">
        <f t="shared" si="37"/>
        <v>#NUM!</v>
      </c>
      <c r="BG23" s="22" t="e">
        <f t="shared" si="7"/>
        <v>#NUM!</v>
      </c>
      <c r="BH23" s="62" t="e">
        <f t="shared" si="8"/>
        <v>#NUM!</v>
      </c>
      <c r="BI23" s="62">
        <f ca="1">AVERAGE(OFFSET($BH$3,0,0,'Données projet'!$E$11+1,1))-AVERAGE(OFFSET($H$3,0,0,'Données projet'!$E$11+1,1))</f>
        <v>66.622529958850123</v>
      </c>
      <c r="BJ23" s="62">
        <f t="shared" si="38"/>
        <v>374.90853633180166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89.334467113848575</v>
      </c>
      <c r="BQ23" s="23">
        <f>EXP(-LN(2)/25)*BQ22+(1-EXP(-LN(2)/25))/(LN(2)/25)*Calculateur!BL23*Calculateur!BN23*VLOOKUP('Données projet'!$B$11,Paramètres!$A$1:$I$89,3,0)*0.475*44/12</f>
        <v>23.886558196299138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113.22102531014771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>
        <f>BY23*VLOOKUP('Données projet'!$B$12,Paramètres!$A$1:$I$89,3,0)*VLOOKUP('Données projet'!$B$12,Paramètres!$A$1:$I$89,5,0)</f>
        <v>0</v>
      </c>
      <c r="CA23" s="14" t="e">
        <f t="shared" si="39"/>
        <v>#NUM!</v>
      </c>
      <c r="CB23" s="22" t="e">
        <f t="shared" si="10"/>
        <v>#NUM!</v>
      </c>
      <c r="CC23" s="62" t="e">
        <f t="shared" si="11"/>
        <v>#NUM!</v>
      </c>
      <c r="CD23" s="62">
        <f ca="1">AVERAGE(OFFSET($CC$3,0,0,'Données projet'!$E$12+1,1))-AVERAGE(OFFSET($H$3,0,0,'Données projet'!$E$12+1,1))</f>
        <v>61.91827157428213</v>
      </c>
      <c r="CE23" s="62">
        <f t="shared" si="40"/>
        <v>358.41033295847001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85.531534014073415</v>
      </c>
      <c r="CL23" s="23">
        <f>EXP(-LN(2)/25)*CL22+(1-EXP(-LN(2)/25))/(LN(2)/25)*Calculateur!CG23*Calculateur!CI23*VLOOKUP('Données projet'!$B$12,Paramètres!$A$1:$I$89,3,0)*0.475*44/12</f>
        <v>22.869716816491657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108.40125083056508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>
        <f>CT23*VLOOKUP('Données projet'!$B$13,Paramètres!$A$1:$I$89,3,0)*VLOOKUP('Données projet'!$B$13,Paramètres!$A$1:$I$89,5,0)</f>
        <v>0</v>
      </c>
      <c r="CV23" s="14" t="e">
        <f t="shared" si="41"/>
        <v>#NUM!</v>
      </c>
      <c r="CW23" s="22" t="e">
        <f t="shared" si="13"/>
        <v>#NUM!</v>
      </c>
      <c r="CX23" s="62" t="e">
        <f t="shared" si="14"/>
        <v>#NUM!</v>
      </c>
      <c r="CY23" s="62">
        <f ca="1">AVERAGE(OFFSET($CX$3,0,0,'Données projet'!$E$13+1,1))-AVERAGE(OFFSET($H$3,0,0,'Données projet'!$E$13+1,1))</f>
        <v>66.561949299871912</v>
      </c>
      <c r="CZ23" s="62">
        <f t="shared" si="42"/>
        <v>382.65744918271389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91.121830354862539</v>
      </c>
      <c r="DG23" s="23">
        <f>EXP(-LN(2)/25)*DG22+(1-EXP(-LN(2)/25))/(LN(2)/25)*Calculateur!DB23*Calculateur!DD23*VLOOKUP('Données projet'!$B$13,Paramètres!$A$1:$I$89,3,0)*0.475*44/12</f>
        <v>24.36446954959569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115.48629990445824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>
        <f>DO23*VLOOKUP('Données projet'!$B$14,Paramètres!$A$1:$I$89,3,0)*VLOOKUP('Données projet'!$B$14,Paramètres!$A$1:$I$89,5,0)</f>
        <v>0</v>
      </c>
      <c r="DQ23" s="14" t="e">
        <f t="shared" si="43"/>
        <v>#NUM!</v>
      </c>
      <c r="DR23" s="22" t="e">
        <f t="shared" si="16"/>
        <v>#NUM!</v>
      </c>
      <c r="DS23" s="62" t="e">
        <f t="shared" si="17"/>
        <v>#NUM!</v>
      </c>
      <c r="DT23" s="62">
        <f ca="1">AVERAGE(OFFSET($DS$3,0,0,'Données projet'!$E$14+1,1))-AVERAGE(OFFSET($H$3,0,0,'Données projet'!$E$14+1,1))</f>
        <v>60.532656778089574</v>
      </c>
      <c r="DU23" s="62">
        <f t="shared" si="44"/>
        <v>348.96823267563025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83.356678999300669</v>
      </c>
      <c r="EB23" s="23">
        <f>EXP(-LN(2)/25)*EB22+(1-EXP(-LN(2)/25))/(LN(2)/25)*Calculateur!DW23*Calculateur!DY23*VLOOKUP('Données projet'!$B$14,Paramètres!$A$1:$I$89,3,0)*0.475*44/12</f>
        <v>22.288196575119681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105.64487557442035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10.745280000000001</v>
      </c>
      <c r="D24" s="12">
        <f t="shared" si="32"/>
        <v>3.7560905813614998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111.94040448770282</v>
      </c>
      <c r="H24" s="70">
        <f t="shared" si="1"/>
        <v>318.58988709587129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74.209918391015606</v>
      </c>
      <c r="T24" s="62">
        <f t="shared" si="34"/>
        <v>422.59746235438649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98.378099005261262</v>
      </c>
      <c r="AA24" s="23">
        <f>EXP(-LN(2)/25)*AA23+(1-EXP(-LN(2)/25))/(LN(2)/25)*Calculateur!V24*Calculateur!X24*VLOOKUP('Données projet'!$B$9,Paramètres!$A$1:$I$89,3,0)*0.475*44/12</f>
        <v>26.097121606159483</v>
      </c>
      <c r="AB24" s="23">
        <f>EXP(-LN(2)/2)*AB23+(1-EXP(-LN(2)/2))/(LN(2)/2)*V24*Y24*VLOOKUP('Données projet'!$B$9,Paramètres!$A$1:$I$89,3,0)*0.475*44/12</f>
        <v>0</v>
      </c>
      <c r="AC24" s="24">
        <f t="shared" si="3"/>
        <v>124.47522061142075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65.6337514911271</v>
      </c>
      <c r="AO24" s="62">
        <f t="shared" si="36"/>
        <v>377.81060908047425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88.238852032574187</v>
      </c>
      <c r="AV24" s="23">
        <f>EXP(-LN(2)/25)*AV23+(1-EXP(-LN(2)/25))/(LN(2)/25)*Calculateur!AQ24*Calculateur!AS24*VLOOKUP('Données projet'!$B$10,Paramètres!$A$1:$I$89,3,0)*0.475*44/12</f>
        <v>23.407446120287897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111.64629815286209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>
        <f>BD24*VLOOKUP('Données projet'!$B$11,Paramètres!$A$1:$I$89,3,0)*VLOOKUP('Données projet'!$B$11,Paramètres!$A$1:$I$89,5,0)</f>
        <v>0</v>
      </c>
      <c r="BF24" s="14" t="e">
        <f t="shared" si="37"/>
        <v>#NUM!</v>
      </c>
      <c r="BG24" s="22" t="e">
        <f t="shared" si="7"/>
        <v>#NUM!</v>
      </c>
      <c r="BH24" s="62" t="e">
        <f t="shared" si="8"/>
        <v>#NUM!</v>
      </c>
      <c r="BI24" s="62">
        <f ca="1">AVERAGE(OFFSET($BH$3,0,0,'Données projet'!$E$11+1,1))-AVERAGE(OFFSET($H$3,0,0,'Données projet'!$E$11+1,1))</f>
        <v>66.622529958850123</v>
      </c>
      <c r="BJ24" s="62">
        <f t="shared" si="38"/>
        <v>374.90853633180166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87.582672702390639</v>
      </c>
      <c r="BQ24" s="23">
        <f>EXP(-LN(2)/25)*BQ23+(1-EXP(-LN(2)/25))/(LN(2)/25)*Calculateur!BL24*Calculateur!BN24*VLOOKUP('Données projet'!$B$11,Paramètres!$A$1:$I$89,3,0)*0.475*44/12</f>
        <v>23.233379006281837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110.81605170867248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>
        <f>BY24*VLOOKUP('Données projet'!$B$12,Paramètres!$A$1:$I$89,3,0)*VLOOKUP('Données projet'!$B$12,Paramètres!$A$1:$I$89,5,0)</f>
        <v>0</v>
      </c>
      <c r="CA24" s="14" t="e">
        <f t="shared" si="39"/>
        <v>#NUM!</v>
      </c>
      <c r="CB24" s="22" t="e">
        <f t="shared" si="10"/>
        <v>#NUM!</v>
      </c>
      <c r="CC24" s="62" t="e">
        <f t="shared" si="11"/>
        <v>#NUM!</v>
      </c>
      <c r="CD24" s="62">
        <f ca="1">AVERAGE(OFFSET($CC$3,0,0,'Données projet'!$E$12+1,1))-AVERAGE(OFFSET($H$3,0,0,'Données projet'!$E$12+1,1))</f>
        <v>61.91827157428213</v>
      </c>
      <c r="CE24" s="62">
        <f t="shared" si="40"/>
        <v>358.41033295847001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83.854312801141916</v>
      </c>
      <c r="CL24" s="23">
        <f>EXP(-LN(2)/25)*CL23+(1-EXP(-LN(2)/25))/(LN(2)/25)*Calculateur!CG24*Calculateur!CI24*VLOOKUP('Données projet'!$B$12,Paramètres!$A$1:$I$89,3,0)*0.475*44/12</f>
        <v>22.244343207478554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106.09865600862047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>
        <f>CT24*VLOOKUP('Données projet'!$B$13,Paramètres!$A$1:$I$89,3,0)*VLOOKUP('Données projet'!$B$13,Paramètres!$A$1:$I$89,5,0)</f>
        <v>0</v>
      </c>
      <c r="CV24" s="14" t="e">
        <f t="shared" si="41"/>
        <v>#NUM!</v>
      </c>
      <c r="CW24" s="22" t="e">
        <f t="shared" si="13"/>
        <v>#NUM!</v>
      </c>
      <c r="CX24" s="62" t="e">
        <f t="shared" si="14"/>
        <v>#NUM!</v>
      </c>
      <c r="CY24" s="62">
        <f ca="1">AVERAGE(OFFSET($CX$3,0,0,'Données projet'!$E$13+1,1))-AVERAGE(OFFSET($H$3,0,0,'Données projet'!$E$13+1,1))</f>
        <v>66.561949299871912</v>
      </c>
      <c r="CZ24" s="62">
        <f t="shared" si="42"/>
        <v>382.65744918271389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89.334986840432251</v>
      </c>
      <c r="DG24" s="23">
        <f>EXP(-LN(2)/25)*DG23+(1-EXP(-LN(2)/25))/(LN(2)/25)*Calculateur!DB24*Calculateur!DD24*VLOOKUP('Données projet'!$B$13,Paramètres!$A$1:$I$89,3,0)*0.475*44/12</f>
        <v>23.698221848490228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113.03320868892249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>
        <f>DO24*VLOOKUP('Données projet'!$B$14,Paramètres!$A$1:$I$89,3,0)*VLOOKUP('Données projet'!$B$14,Paramètres!$A$1:$I$89,5,0)</f>
        <v>0</v>
      </c>
      <c r="DQ24" s="14" t="e">
        <f t="shared" si="43"/>
        <v>#NUM!</v>
      </c>
      <c r="DR24" s="22" t="e">
        <f t="shared" si="16"/>
        <v>#NUM!</v>
      </c>
      <c r="DS24" s="62" t="e">
        <f t="shared" si="17"/>
        <v>#NUM!</v>
      </c>
      <c r="DT24" s="62">
        <f ca="1">AVERAGE(OFFSET($DS$3,0,0,'Données projet'!$E$14+1,1))-AVERAGE(OFFSET($H$3,0,0,'Données projet'!$E$14+1,1))</f>
        <v>60.532656778089574</v>
      </c>
      <c r="DU24" s="62">
        <f t="shared" si="44"/>
        <v>348.96823267563025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81.722105366678292</v>
      </c>
      <c r="EB24" s="23">
        <f>EXP(-LN(2)/25)*EB23+(1-EXP(-LN(2)/25))/(LN(2)/25)*Calculateur!DW24*Calculateur!DY24*VLOOKUP('Données projet'!$B$14,Paramètres!$A$1:$I$89,3,0)*0.475*44/12</f>
        <v>21.678724667687717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103.40083003436601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11.256960000000001</v>
      </c>
      <c r="D25" s="12">
        <f t="shared" si="32"/>
        <v>3.9137021337805784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117.10686559409571</v>
      </c>
      <c r="H25" s="70">
        <f t="shared" si="1"/>
        <v>319.75556988300116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74.209918391015606</v>
      </c>
      <c r="T25" s="62">
        <f t="shared" si="34"/>
        <v>422.59746235438649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96.448964488483512</v>
      </c>
      <c r="AA25" s="23">
        <f>EXP(-LN(2)/25)*AA24+(1-EXP(-LN(2)/25))/(LN(2)/25)*Calculateur!V25*Calculateur!X25*VLOOKUP('Données projet'!$B$9,Paramètres!$A$1:$I$89,3,0)*0.475*44/12</f>
        <v>25.383494443451074</v>
      </c>
      <c r="AB25" s="23">
        <f>EXP(-LN(2)/2)*AB24+(1-EXP(-LN(2)/2))/(LN(2)/2)*V25*Y25*VLOOKUP('Données projet'!$B$9,Paramètres!$A$1:$I$89,3,0)*0.475*44/12</f>
        <v>0</v>
      </c>
      <c r="AC25" s="24">
        <f t="shared" si="3"/>
        <v>121.83245893193458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65.6337514911271</v>
      </c>
      <c r="AO25" s="62">
        <f t="shared" si="36"/>
        <v>377.81060908047425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86.508541964600823</v>
      </c>
      <c r="AV25" s="23">
        <f>EXP(-LN(2)/25)*AV24+(1-EXP(-LN(2)/25))/(LN(2)/25)*Calculateur!AQ25*Calculateur!AS25*VLOOKUP('Données projet'!$B$10,Paramètres!$A$1:$I$89,3,0)*0.475*44/12</f>
        <v>22.767368275184531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109.27591023978536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66.622529958850123</v>
      </c>
      <c r="BJ25" s="62">
        <f t="shared" si="38"/>
        <v>374.90853633180166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85.865229910852307</v>
      </c>
      <c r="BQ25" s="23">
        <f>EXP(-LN(2)/25)*BQ24+(1-EXP(-LN(2)/25))/(LN(2)/25)*Calculateur!BL25*Calculateur!BN25*VLOOKUP('Données projet'!$B$11,Paramètres!$A$1:$I$89,3,0)*0.475*44/12</f>
        <v>22.598061035564758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108.46329094641706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>
        <f>BY25*VLOOKUP('Données projet'!$B$12,Paramètres!$A$1:$I$89,3,0)*VLOOKUP('Données projet'!$B$12,Paramètres!$A$1:$I$89,5,0)</f>
        <v>0</v>
      </c>
      <c r="CA25" s="14" t="e">
        <f t="shared" si="39"/>
        <v>#NUM!</v>
      </c>
      <c r="CB25" s="22" t="e">
        <f t="shared" si="10"/>
        <v>#NUM!</v>
      </c>
      <c r="CC25" s="62" t="e">
        <f t="shared" si="11"/>
        <v>#NUM!</v>
      </c>
      <c r="CD25" s="62">
        <f ca="1">AVERAGE(OFFSET($CC$3,0,0,'Données projet'!$E$12+1,1))-AVERAGE(OFFSET($H$3,0,0,'Données projet'!$E$12+1,1))</f>
        <v>61.91827157428213</v>
      </c>
      <c r="CE25" s="62">
        <f t="shared" si="40"/>
        <v>358.41033295847001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82.20998087319208</v>
      </c>
      <c r="CL25" s="23">
        <f>EXP(-LN(2)/25)*CL24+(1-EXP(-LN(2)/25))/(LN(2)/25)*Calculateur!CG25*Calculateur!CI25*VLOOKUP('Données projet'!$B$12,Paramètres!$A$1:$I$89,3,0)*0.475*44/12</f>
        <v>21.636070472690882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103.84605134588296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>
        <f>CT25*VLOOKUP('Données projet'!$B$13,Paramètres!$A$1:$I$89,3,0)*VLOOKUP('Données projet'!$B$13,Paramètres!$A$1:$I$89,5,0)</f>
        <v>0</v>
      </c>
      <c r="CV25" s="14" t="e">
        <f t="shared" si="41"/>
        <v>#NUM!</v>
      </c>
      <c r="CW25" s="22" t="e">
        <f t="shared" si="13"/>
        <v>#NUM!</v>
      </c>
      <c r="CX25" s="62" t="e">
        <f t="shared" si="14"/>
        <v>#NUM!</v>
      </c>
      <c r="CY25" s="62">
        <f ca="1">AVERAGE(OFFSET($CX$3,0,0,'Données projet'!$E$13+1,1))-AVERAGE(OFFSET($H$3,0,0,'Données projet'!$E$13+1,1))</f>
        <v>66.561949299871912</v>
      </c>
      <c r="CZ25" s="62">
        <f t="shared" si="42"/>
        <v>382.65744918271389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87.583182237453002</v>
      </c>
      <c r="DG25" s="23">
        <f>EXP(-LN(2)/25)*DG24+(1-EXP(-LN(2)/25))/(LN(2)/25)*Calculateur!DB25*Calculateur!DD25*VLOOKUP('Données projet'!$B$13,Paramètres!$A$1:$I$89,3,0)*0.475*44/12</f>
        <v>23.050192725807939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110.63337496326093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>
        <f>DO25*VLOOKUP('Données projet'!$B$14,Paramètres!$A$1:$I$89,3,0)*VLOOKUP('Données projet'!$B$14,Paramètres!$A$1:$I$89,5,0)</f>
        <v>0</v>
      </c>
      <c r="DQ25" s="14" t="e">
        <f t="shared" si="43"/>
        <v>#NUM!</v>
      </c>
      <c r="DR25" s="22" t="e">
        <f t="shared" si="16"/>
        <v>#NUM!</v>
      </c>
      <c r="DS25" s="62" t="e">
        <f t="shared" si="17"/>
        <v>#NUM!</v>
      </c>
      <c r="DT25" s="62">
        <f ca="1">AVERAGE(OFFSET($DS$3,0,0,'Données projet'!$E$14+1,1))-AVERAGE(OFFSET($H$3,0,0,'Données projet'!$E$14+1,1))</f>
        <v>60.532656778089574</v>
      </c>
      <c r="DU25" s="62">
        <f t="shared" si="44"/>
        <v>348.96823267563025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80.11958472600017</v>
      </c>
      <c r="EB25" s="23">
        <f>EXP(-LN(2)/25)*EB24+(1-EXP(-LN(2)/25))/(LN(2)/25)*Calculateur!DW25*Calculateur!DY25*VLOOKUP('Données projet'!$B$14,Paramètres!$A$1:$I$89,3,0)*0.475*44/12</f>
        <v>21.085918801615215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101.20550352761538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11.768640000000001</v>
      </c>
      <c r="D26" s="12">
        <f t="shared" si="32"/>
        <v>4.070481677456149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122.26690417685451</v>
      </c>
      <c r="H26" s="70">
        <f t="shared" si="1"/>
        <v>320.91980358823611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74.209918391015606</v>
      </c>
      <c r="T26" s="62">
        <f t="shared" si="34"/>
        <v>422.59746235438649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94.557659122923894</v>
      </c>
      <c r="AA26" s="23">
        <f>EXP(-LN(2)/25)*AA25+(1-EXP(-LN(2)/25))/(LN(2)/25)*Calculateur!V26*Calculateur!X26*VLOOKUP('Données projet'!$B$9,Paramètres!$A$1:$I$89,3,0)*0.475*44/12</f>
        <v>24.689381453034947</v>
      </c>
      <c r="AB26" s="23">
        <f>EXP(-LN(2)/2)*AB25+(1-EXP(-LN(2)/2))/(LN(2)/2)*V26*Y26*VLOOKUP('Données projet'!$B$9,Paramètres!$A$1:$I$89,3,0)*0.475*44/12</f>
        <v>0</v>
      </c>
      <c r="AC26" s="24">
        <f t="shared" si="3"/>
        <v>119.24704057595883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65.6337514911271</v>
      </c>
      <c r="AO26" s="62">
        <f t="shared" si="36"/>
        <v>377.81060908047425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84.812162221675493</v>
      </c>
      <c r="AV26" s="23">
        <f>EXP(-LN(2)/25)*AV25+(1-EXP(-LN(2)/25))/(LN(2)/25)*Calculateur!AQ26*Calculateur!AS26*VLOOKUP('Données projet'!$B$10,Paramètres!$A$1:$I$89,3,0)*0.475*44/12</f>
        <v>22.144793392415746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106.95695561409124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66.622529958850123</v>
      </c>
      <c r="BJ26" s="62">
        <f t="shared" si="38"/>
        <v>374.90853633180166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84.18146512491937</v>
      </c>
      <c r="BQ26" s="23">
        <f>EXP(-LN(2)/25)*BQ25+(1-EXP(-LN(2)/25))/(LN(2)/25)*Calculateur!BL26*Calculateur!BN26*VLOOKUP('Données projet'!$B$11,Paramètres!$A$1:$I$89,3,0)*0.475*44/12</f>
        <v>21.980115868166859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106.16158099308623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>
        <f>BY26*VLOOKUP('Données projet'!$B$12,Paramètres!$A$1:$I$89,3,0)*VLOOKUP('Données projet'!$B$12,Paramètres!$A$1:$I$89,5,0)</f>
        <v>0</v>
      </c>
      <c r="CA26" s="14" t="e">
        <f t="shared" si="39"/>
        <v>#NUM!</v>
      </c>
      <c r="CB26" s="22" t="e">
        <f t="shared" si="10"/>
        <v>#NUM!</v>
      </c>
      <c r="CC26" s="62" t="e">
        <f t="shared" si="11"/>
        <v>#NUM!</v>
      </c>
      <c r="CD26" s="62">
        <f ca="1">AVERAGE(OFFSET($CC$3,0,0,'Données projet'!$E$12+1,1))-AVERAGE(OFFSET($H$3,0,0,'Données projet'!$E$12+1,1))</f>
        <v>61.91827157428213</v>
      </c>
      <c r="CE26" s="62">
        <f t="shared" si="40"/>
        <v>358.41033295847001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80.597893291405896</v>
      </c>
      <c r="CL26" s="23">
        <f>EXP(-LN(2)/25)*CL25+(1-EXP(-LN(2)/25))/(LN(2)/25)*Calculateur!CG26*Calculateur!CI26*VLOOKUP('Données projet'!$B$12,Paramètres!$A$1:$I$89,3,0)*0.475*44/12</f>
        <v>21.044430987823652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101.64232427922954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>
        <f>CT26*VLOOKUP('Données projet'!$B$13,Paramètres!$A$1:$I$89,3,0)*VLOOKUP('Données projet'!$B$13,Paramètres!$A$1:$I$89,5,0)</f>
        <v>0</v>
      </c>
      <c r="CV26" s="14" t="e">
        <f t="shared" si="41"/>
        <v>#NUM!</v>
      </c>
      <c r="CW26" s="22" t="e">
        <f t="shared" si="13"/>
        <v>#NUM!</v>
      </c>
      <c r="CX26" s="62" t="e">
        <f t="shared" si="14"/>
        <v>#NUM!</v>
      </c>
      <c r="CY26" s="62">
        <f ca="1">AVERAGE(OFFSET($CX$3,0,0,'Données projet'!$E$13+1,1))-AVERAGE(OFFSET($H$3,0,0,'Données projet'!$E$13+1,1))</f>
        <v>66.561949299871912</v>
      </c>
      <c r="CZ26" s="62">
        <f t="shared" si="42"/>
        <v>382.65744918271389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85.865729454242882</v>
      </c>
      <c r="DG26" s="23">
        <f>EXP(-LN(2)/25)*DG25+(1-EXP(-LN(2)/25))/(LN(2)/25)*Calculateur!DB26*Calculateur!DD26*VLOOKUP('Données projet'!$B$13,Paramètres!$A$1:$I$89,3,0)*0.475*44/12</f>
        <v>22.419883993563769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108.28561344780665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>
        <f>DO26*VLOOKUP('Données projet'!$B$14,Paramètres!$A$1:$I$89,3,0)*VLOOKUP('Données projet'!$B$14,Paramètres!$A$1:$I$89,5,0)</f>
        <v>0</v>
      </c>
      <c r="DQ26" s="14" t="e">
        <f t="shared" si="43"/>
        <v>#NUM!</v>
      </c>
      <c r="DR26" s="22" t="e">
        <f t="shared" si="16"/>
        <v>#NUM!</v>
      </c>
      <c r="DS26" s="62" t="e">
        <f t="shared" si="17"/>
        <v>#NUM!</v>
      </c>
      <c r="DT26" s="62">
        <f ca="1">AVERAGE(OFFSET($DS$3,0,0,'Données projet'!$E$14+1,1))-AVERAGE(OFFSET($H$3,0,0,'Données projet'!$E$14+1,1))</f>
        <v>60.532656778089574</v>
      </c>
      <c r="DU26" s="62">
        <f t="shared" si="44"/>
        <v>348.96823267563025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78.548488537644658</v>
      </c>
      <c r="EB26" s="23">
        <f>EXP(-LN(2)/25)*EB25+(1-EXP(-LN(2)/25))/(LN(2)/25)*Calculateur!DW26*Calculateur!DY26*VLOOKUP('Données projet'!$B$14,Paramètres!$A$1:$I$89,3,0)*0.475*44/12</f>
        <v>20.509323243124769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99.057811780769427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12.280320000000001</v>
      </c>
      <c r="D27" s="12">
        <f t="shared" si="32"/>
        <v>4.2264695212749892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127.42083139229817</v>
      </c>
      <c r="H27" s="70">
        <f t="shared" si="1"/>
        <v>322.08265841622057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74.209918391015606</v>
      </c>
      <c r="T27" s="62">
        <f t="shared" si="34"/>
        <v>422.59746235438649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92.703441102000539</v>
      </c>
      <c r="AA27" s="23">
        <f>EXP(-LN(2)/25)*AA26+(1-EXP(-LN(2)/25))/(LN(2)/25)*Calculateur!V27*Calculateur!X27*VLOOKUP('Données projet'!$B$9,Paramètres!$A$1:$I$89,3,0)*0.475*44/12</f>
        <v>24.014249018843564</v>
      </c>
      <c r="AB27" s="23">
        <f>EXP(-LN(2)/2)*AB26+(1-EXP(-LN(2)/2))/(LN(2)/2)*V27*Y27*VLOOKUP('Données projet'!$B$9,Paramètres!$A$1:$I$89,3,0)*0.475*44/12</f>
        <v>0</v>
      </c>
      <c r="AC27" s="24">
        <f t="shared" si="3"/>
        <v>116.71769012084411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65.6337514911271</v>
      </c>
      <c r="AO27" s="62">
        <f t="shared" si="36"/>
        <v>377.81060908047425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83.149047450819452</v>
      </c>
      <c r="AV27" s="23">
        <f>EXP(-LN(2)/25)*AV26+(1-EXP(-LN(2)/25))/(LN(2)/25)*Calculateur!AQ27*Calculateur!AS27*VLOOKUP('Données projet'!$B$10,Paramètres!$A$1:$I$89,3,0)*0.475*44/12</f>
        <v>21.539242852556065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104.68829030337551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66.622529958850123</v>
      </c>
      <c r="BJ27" s="62">
        <f t="shared" si="38"/>
        <v>374.90853633180166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82.530717939443463</v>
      </c>
      <c r="BQ27" s="23">
        <f>EXP(-LN(2)/25)*BQ26+(1-EXP(-LN(2)/25))/(LN(2)/25)*Calculateur!BL27*Calculateur!BN27*VLOOKUP('Données projet'!$B$11,Paramètres!$A$1:$I$89,3,0)*0.475*44/12</f>
        <v>21.37906844386778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103.90978638331124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>
        <f>BY27*VLOOKUP('Données projet'!$B$12,Paramètres!$A$1:$I$89,3,0)*VLOOKUP('Données projet'!$B$12,Paramètres!$A$1:$I$89,5,0)</f>
        <v>0</v>
      </c>
      <c r="CA27" s="14" t="e">
        <f t="shared" si="39"/>
        <v>#NUM!</v>
      </c>
      <c r="CB27" s="22" t="e">
        <f t="shared" si="10"/>
        <v>#NUM!</v>
      </c>
      <c r="CC27" s="62" t="e">
        <f t="shared" si="11"/>
        <v>#NUM!</v>
      </c>
      <c r="CD27" s="62">
        <f ca="1">AVERAGE(OFFSET($CC$3,0,0,'Données projet'!$E$12+1,1))-AVERAGE(OFFSET($H$3,0,0,'Données projet'!$E$12+1,1))</f>
        <v>61.91827157428213</v>
      </c>
      <c r="CE27" s="62">
        <f t="shared" si="40"/>
        <v>358.41033295847001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79.017417763822195</v>
      </c>
      <c r="CL27" s="23">
        <f>EXP(-LN(2)/25)*CL26+(1-EXP(-LN(2)/25))/(LN(2)/25)*Calculateur!CG27*Calculateur!CI27*VLOOKUP('Données projet'!$B$12,Paramètres!$A$1:$I$89,3,0)*0.475*44/12</f>
        <v>20.468969915783088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99.486387679605286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>
        <f>CT27*VLOOKUP('Données projet'!$B$13,Paramètres!$A$1:$I$89,3,0)*VLOOKUP('Données projet'!$B$13,Paramètres!$A$1:$I$89,5,0)</f>
        <v>0</v>
      </c>
      <c r="CV27" s="14" t="e">
        <f t="shared" si="41"/>
        <v>#NUM!</v>
      </c>
      <c r="CW27" s="22" t="e">
        <f t="shared" si="13"/>
        <v>#NUM!</v>
      </c>
      <c r="CX27" s="62" t="e">
        <f t="shared" si="14"/>
        <v>#NUM!</v>
      </c>
      <c r="CY27" s="62">
        <f ca="1">AVERAGE(OFFSET($CX$3,0,0,'Données projet'!$E$13+1,1))-AVERAGE(OFFSET($H$3,0,0,'Données projet'!$E$13+1,1))</f>
        <v>66.561949299871912</v>
      </c>
      <c r="CZ27" s="62">
        <f t="shared" si="42"/>
        <v>382.65744918271389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84.181954872568753</v>
      </c>
      <c r="DG27" s="23">
        <f>EXP(-LN(2)/25)*DG26+(1-EXP(-LN(2)/25))/(LN(2)/25)*Calculateur!DB27*Calculateur!DD27*VLOOKUP('Données projet'!$B$13,Paramètres!$A$1:$I$89,3,0)*0.475*44/12</f>
        <v>21.80681108674931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105.98876595931806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>
        <f>DO27*VLOOKUP('Données projet'!$B$14,Paramètres!$A$1:$I$89,3,0)*VLOOKUP('Données projet'!$B$14,Paramètres!$A$1:$I$89,5,0)</f>
        <v>0</v>
      </c>
      <c r="DQ27" s="14" t="e">
        <f t="shared" si="43"/>
        <v>#NUM!</v>
      </c>
      <c r="DR27" s="22" t="e">
        <f t="shared" si="16"/>
        <v>#NUM!</v>
      </c>
      <c r="DS27" s="62" t="e">
        <f t="shared" si="17"/>
        <v>#NUM!</v>
      </c>
      <c r="DT27" s="62">
        <f ca="1">AVERAGE(OFFSET($DS$3,0,0,'Données projet'!$E$14+1,1))-AVERAGE(OFFSET($H$3,0,0,'Données projet'!$E$14+1,1))</f>
        <v>60.532656778089574</v>
      </c>
      <c r="DU27" s="62">
        <f t="shared" si="44"/>
        <v>348.96823267563025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77.008200587268746</v>
      </c>
      <c r="EB27" s="23">
        <f>EXP(-LN(2)/25)*EB26+(1-EXP(-LN(2)/25))/(LN(2)/25)*Calculateur!DW27*Calculateur!DY27*VLOOKUP('Données projet'!$B$14,Paramètres!$A$1:$I$89,3,0)*0.475*44/12</f>
        <v>19.948494720503088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96.956695307771838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12.792000000000002</v>
      </c>
      <c r="D28" s="12">
        <f t="shared" si="32"/>
        <v>4.3817024250072478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132.56893100005598</v>
      </c>
      <c r="H28" s="70">
        <f t="shared" si="1"/>
        <v>323.24419839022096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74.209918391015606</v>
      </c>
      <c r="T28" s="62">
        <f t="shared" si="34"/>
        <v>422.59746235438649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90.885583165506176</v>
      </c>
      <c r="AA28" s="23">
        <f>EXP(-LN(2)/25)*AA27+(1-EXP(-LN(2)/25))/(LN(2)/25)*Calculateur!V28*Calculateur!X28*VLOOKUP('Données projet'!$B$9,Paramètres!$A$1:$I$89,3,0)*0.475*44/12</f>
        <v>23.357578116568817</v>
      </c>
      <c r="AB28" s="23">
        <f>EXP(-LN(2)/2)*AB27+(1-EXP(-LN(2)/2))/(LN(2)/2)*V28*Y28*VLOOKUP('Données projet'!$B$9,Paramètres!$A$1:$I$89,3,0)*0.475*44/12</f>
        <v>0</v>
      </c>
      <c r="AC28" s="24">
        <f t="shared" si="3"/>
        <v>114.24316128207499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65.6337514911271</v>
      </c>
      <c r="AO28" s="62">
        <f t="shared" si="36"/>
        <v>377.81060908047425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81.518545346220051</v>
      </c>
      <c r="AV28" s="23">
        <f>EXP(-LN(2)/25)*AV27+(1-EXP(-LN(2)/25))/(LN(2)/25)*Calculateur!AQ28*Calculateur!AS28*VLOOKUP('Données projet'!$B$10,Paramètres!$A$1:$I$89,3,0)*0.475*44/12</f>
        <v>20.950251124053366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102.46879647027342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66.622529958850123</v>
      </c>
      <c r="BJ28" s="62">
        <f t="shared" si="38"/>
        <v>374.90853633180166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80.912340899418382</v>
      </c>
      <c r="BQ28" s="23">
        <f>EXP(-LN(2)/25)*BQ27+(1-EXP(-LN(2)/25))/(LN(2)/25)*Calculateur!BL28*Calculateur!BN28*VLOOKUP('Données projet'!$B$11,Paramètres!$A$1:$I$89,3,0)*0.475*44/12</f>
        <v>20.794456692993869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101.70679759241224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>
        <f>BY28*VLOOKUP('Données projet'!$B$12,Paramètres!$A$1:$I$89,3,0)*VLOOKUP('Données projet'!$B$12,Paramètres!$A$1:$I$89,5,0)</f>
        <v>0</v>
      </c>
      <c r="CA28" s="14" t="e">
        <f t="shared" si="39"/>
        <v>#NUM!</v>
      </c>
      <c r="CB28" s="22" t="e">
        <f t="shared" si="10"/>
        <v>#NUM!</v>
      </c>
      <c r="CC28" s="62" t="e">
        <f t="shared" si="11"/>
        <v>#NUM!</v>
      </c>
      <c r="CD28" s="62">
        <f ca="1">AVERAGE(OFFSET($CC$3,0,0,'Données projet'!$E$12+1,1))-AVERAGE(OFFSET($H$3,0,0,'Données projet'!$E$12+1,1))</f>
        <v>61.91827157428213</v>
      </c>
      <c r="CE28" s="62">
        <f t="shared" si="40"/>
        <v>358.41033295847001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77.467934397339533</v>
      </c>
      <c r="CL28" s="23">
        <f>EXP(-LN(2)/25)*CL27+(1-EXP(-LN(2)/25))/(LN(2)/25)*Calculateur!CG28*Calculateur!CI28*VLOOKUP('Données projet'!$B$12,Paramètres!$A$1:$I$89,3,0)*0.475*44/12</f>
        <v>19.909244857019655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97.377179254359191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>
        <f>CT28*VLOOKUP('Données projet'!$B$13,Paramètres!$A$1:$I$89,3,0)*VLOOKUP('Données projet'!$B$13,Paramètres!$A$1:$I$89,5,0)</f>
        <v>0</v>
      </c>
      <c r="CV28" s="14" t="e">
        <f t="shared" si="41"/>
        <v>#NUM!</v>
      </c>
      <c r="CW28" s="22" t="e">
        <f t="shared" si="13"/>
        <v>#NUM!</v>
      </c>
      <c r="CX28" s="62" t="e">
        <f t="shared" si="14"/>
        <v>#NUM!</v>
      </c>
      <c r="CY28" s="62">
        <f ca="1">AVERAGE(OFFSET($CX$3,0,0,'Données projet'!$E$13+1,1))-AVERAGE(OFFSET($H$3,0,0,'Données projet'!$E$13+1,1))</f>
        <v>66.561949299871912</v>
      </c>
      <c r="CZ28" s="62">
        <f t="shared" si="42"/>
        <v>382.65744918271389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82.53119808344016</v>
      </c>
      <c r="DG28" s="23">
        <f>EXP(-LN(2)/25)*DG27+(1-EXP(-LN(2)/25))/(LN(2)/25)*Calculateur!DB28*Calculateur!DD28*VLOOKUP('Données projet'!$B$13,Paramètres!$A$1:$I$89,3,0)*0.475*44/12</f>
        <v>21.210502690811794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103.74170077425195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>
        <f>DO28*VLOOKUP('Données projet'!$B$14,Paramètres!$A$1:$I$89,3,0)*VLOOKUP('Données projet'!$B$14,Paramètres!$A$1:$I$89,5,0)</f>
        <v>0</v>
      </c>
      <c r="DQ28" s="14" t="e">
        <f t="shared" si="43"/>
        <v>#NUM!</v>
      </c>
      <c r="DR28" s="22" t="e">
        <f t="shared" si="16"/>
        <v>#NUM!</v>
      </c>
      <c r="DS28" s="62" t="e">
        <f t="shared" si="17"/>
        <v>#NUM!</v>
      </c>
      <c r="DT28" s="62">
        <f ca="1">AVERAGE(OFFSET($DS$3,0,0,'Données projet'!$E$14+1,1))-AVERAGE(OFFSET($H$3,0,0,'Données projet'!$E$14+1,1))</f>
        <v>60.532656778089574</v>
      </c>
      <c r="DU28" s="62">
        <f t="shared" si="44"/>
        <v>348.96823267563025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75.498116744116828</v>
      </c>
      <c r="EB28" s="23">
        <f>EXP(-LN(2)/25)*EB27+(1-EXP(-LN(2)/25))/(LN(2)/25)*Calculateur!DW28*Calculateur!DY28*VLOOKUP('Données projet'!$B$14,Paramètres!$A$1:$I$89,3,0)*0.475*44/12</f>
        <v>19.403002083325187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94.901118827442019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13.303680000000002</v>
      </c>
      <c r="D29" s="12">
        <f t="shared" si="32"/>
        <v>4.536214041183829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137.71146277405066</v>
      </c>
      <c r="H29" s="70">
        <f t="shared" si="1"/>
        <v>324.40448212172851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74.209918391015606</v>
      </c>
      <c r="T29" s="62">
        <f t="shared" si="34"/>
        <v>422.59746235438649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89.103372314362602</v>
      </c>
      <c r="AA29" s="23">
        <f>EXP(-LN(2)/25)*AA28+(1-EXP(-LN(2)/25))/(LN(2)/25)*Calculateur!V29*Calculateur!X29*VLOOKUP('Données projet'!$B$9,Paramètres!$A$1:$I$89,3,0)*0.475*44/12</f>
        <v>22.718863914649592</v>
      </c>
      <c r="AB29" s="23">
        <f>EXP(-LN(2)/2)*AB28+(1-EXP(-LN(2)/2))/(LN(2)/2)*V29*Y29*VLOOKUP('Données projet'!$B$9,Paramètres!$A$1:$I$89,3,0)*0.475*44/12</f>
        <v>0</v>
      </c>
      <c r="AC29" s="24">
        <f t="shared" si="3"/>
        <v>111.82223622901219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65.6337514911271</v>
      </c>
      <c r="AO29" s="62">
        <f t="shared" si="36"/>
        <v>377.81060908047425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79.920016393383762</v>
      </c>
      <c r="AV29" s="23">
        <f>EXP(-LN(2)/25)*AV28+(1-EXP(-LN(2)/25))/(LN(2)/25)*Calculateur!AQ29*Calculateur!AS29*VLOOKUP('Données projet'!$B$10,Paramètres!$A$1:$I$89,3,0)*0.475*44/12</f>
        <v>20.377365405340303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100.29738179872406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66.622529958850123</v>
      </c>
      <c r="BJ29" s="62">
        <f t="shared" si="38"/>
        <v>374.90853633180166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79.325699246035668</v>
      </c>
      <c r="BQ29" s="23">
        <f>EXP(-LN(2)/25)*BQ28+(1-EXP(-LN(2)/25))/(LN(2)/25)*Calculateur!BL29*Calculateur!BN29*VLOOKUP('Données projet'!$B$11,Paramètres!$A$1:$I$89,3,0)*0.475*44/12</f>
        <v>20.225831181191001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99.551530427226666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>
        <f>BY29*VLOOKUP('Données projet'!$B$12,Paramètres!$A$1:$I$89,3,0)*VLOOKUP('Données projet'!$B$12,Paramètres!$A$1:$I$89,5,0)</f>
        <v>0</v>
      </c>
      <c r="CA29" s="14" t="e">
        <f t="shared" si="39"/>
        <v>#NUM!</v>
      </c>
      <c r="CB29" s="22" t="e">
        <f t="shared" si="10"/>
        <v>#NUM!</v>
      </c>
      <c r="CC29" s="62" t="e">
        <f t="shared" si="11"/>
        <v>#NUM!</v>
      </c>
      <c r="CD29" s="62">
        <f ca="1">AVERAGE(OFFSET($CC$3,0,0,'Données projet'!$E$12+1,1))-AVERAGE(OFFSET($H$3,0,0,'Données projet'!$E$12+1,1))</f>
        <v>61.91827157428213</v>
      </c>
      <c r="CE29" s="62">
        <f t="shared" si="40"/>
        <v>358.41033295847001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75.948835454582067</v>
      </c>
      <c r="CL29" s="23">
        <f>EXP(-LN(2)/25)*CL28+(1-EXP(-LN(2)/25))/(LN(2)/25)*Calculateur!CG29*Calculateur!CI29*VLOOKUP('Données projet'!$B$12,Paramètres!$A$1:$I$89,3,0)*0.475*44/12</f>
        <v>19.364825509422769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95.313660964004839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>
        <f>CT29*VLOOKUP('Données projet'!$B$13,Paramètres!$A$1:$I$89,3,0)*VLOOKUP('Données projet'!$B$13,Paramètres!$A$1:$I$89,5,0)</f>
        <v>0</v>
      </c>
      <c r="CV29" s="14" t="e">
        <f t="shared" si="41"/>
        <v>#NUM!</v>
      </c>
      <c r="CW29" s="22" t="e">
        <f t="shared" si="13"/>
        <v>#NUM!</v>
      </c>
      <c r="CX29" s="62" t="e">
        <f t="shared" si="14"/>
        <v>#NUM!</v>
      </c>
      <c r="CY29" s="62">
        <f ca="1">AVERAGE(OFFSET($CX$3,0,0,'Données projet'!$E$13+1,1))-AVERAGE(OFFSET($H$3,0,0,'Données projet'!$E$13+1,1))</f>
        <v>66.561949299871912</v>
      </c>
      <c r="CZ29" s="62">
        <f t="shared" si="42"/>
        <v>382.65744918271389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80.912811628084157</v>
      </c>
      <c r="DG29" s="23">
        <f>EXP(-LN(2)/25)*DG28+(1-EXP(-LN(2)/25))/(LN(2)/25)*Calculateur!DB29*Calculateur!DD29*VLOOKUP('Données projet'!$B$13,Paramètres!$A$1:$I$89,3,0)*0.475*44/12</f>
        <v>20.630500379319685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101.54331200740384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>
        <f>DO29*VLOOKUP('Données projet'!$B$14,Paramètres!$A$1:$I$89,3,0)*VLOOKUP('Données projet'!$B$14,Paramètres!$A$1:$I$89,5,0)</f>
        <v>0</v>
      </c>
      <c r="DQ29" s="14" t="e">
        <f t="shared" si="43"/>
        <v>#NUM!</v>
      </c>
      <c r="DR29" s="22" t="e">
        <f t="shared" si="16"/>
        <v>#NUM!</v>
      </c>
      <c r="DS29" s="62" t="e">
        <f t="shared" si="17"/>
        <v>#NUM!</v>
      </c>
      <c r="DT29" s="62">
        <f ca="1">AVERAGE(OFFSET($DS$3,0,0,'Données projet'!$E$14+1,1))-AVERAGE(OFFSET($H$3,0,0,'Données projet'!$E$14+1,1))</f>
        <v>60.532656778089574</v>
      </c>
      <c r="DU29" s="62">
        <f t="shared" si="44"/>
        <v>348.96823267563025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74.017644724068916</v>
      </c>
      <c r="EB29" s="23">
        <f>EXP(-LN(2)/25)*EB28+(1-EXP(-LN(2)/25))/(LN(2)/25)*Calculateur!DW29*Calculateur!DY29*VLOOKUP('Données projet'!$B$14,Paramètres!$A$1:$I$89,3,0)*0.475*44/12</f>
        <v>18.872425970997128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92.890070695066044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13.815360000000002</v>
      </c>
      <c r="D30" s="12">
        <f t="shared" si="32"/>
        <v>4.6900352870805335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142.84866537395501</v>
      </c>
      <c r="H30" s="70">
        <f t="shared" si="1"/>
        <v>325.56356345833194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74.209918391015606</v>
      </c>
      <c r="T30" s="62">
        <f t="shared" si="34"/>
        <v>422.59746235438649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87.356109530968681</v>
      </c>
      <c r="AA30" s="23">
        <f>EXP(-LN(2)/25)*AA29+(1-EXP(-LN(2)/25))/(LN(2)/25)*Calculateur!V30*Calculateur!X30*VLOOKUP('Données projet'!$B$9,Paramètres!$A$1:$I$89,3,0)*0.475*44/12</f>
        <v>22.097615386170371</v>
      </c>
      <c r="AB30" s="23">
        <f>EXP(-LN(2)/2)*AB29+(1-EXP(-LN(2)/2))/(LN(2)/2)*V30*Y30*VLOOKUP('Données projet'!$B$9,Paramètres!$A$1:$I$89,3,0)*0.475*44/12</f>
        <v>0</v>
      </c>
      <c r="AC30" s="24">
        <f t="shared" si="3"/>
        <v>109.45372491713906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65.6337514911271</v>
      </c>
      <c r="AO30" s="62">
        <f t="shared" si="36"/>
        <v>377.81060908047425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78.352833618306192</v>
      </c>
      <c r="AV30" s="23">
        <f>EXP(-LN(2)/25)*AV29+(1-EXP(-LN(2)/25))/(LN(2)/25)*Calculateur!AQ30*Calculateur!AS30*VLOOKUP('Données projet'!$B$10,Paramètres!$A$1:$I$89,3,0)*0.475*44/12</f>
        <v>19.820145276732198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98.172978895038398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66.622529958850123</v>
      </c>
      <c r="BJ30" s="62">
        <f t="shared" si="38"/>
        <v>374.90853633180166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77.770170667719938</v>
      </c>
      <c r="BQ30" s="23">
        <f>EXP(-LN(2)/25)*BQ29+(1-EXP(-LN(2)/25))/(LN(2)/25)*Calculateur!BL30*Calculateur!BN30*VLOOKUP('Données projet'!$B$11,Paramètres!$A$1:$I$89,3,0)*0.475*44/12</f>
        <v>19.672754763911097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97.442925431631039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>
        <f>BY30*VLOOKUP('Données projet'!$B$12,Paramètres!$A$1:$I$89,3,0)*VLOOKUP('Données projet'!$B$12,Paramètres!$A$1:$I$89,5,0)</f>
        <v>0</v>
      </c>
      <c r="CA30" s="14" t="e">
        <f t="shared" si="39"/>
        <v>#NUM!</v>
      </c>
      <c r="CB30" s="22" t="e">
        <f t="shared" si="10"/>
        <v>#NUM!</v>
      </c>
      <c r="CC30" s="62" t="e">
        <f t="shared" si="11"/>
        <v>#NUM!</v>
      </c>
      <c r="CD30" s="62">
        <f ca="1">AVERAGE(OFFSET($CC$3,0,0,'Données projet'!$E$12+1,1))-AVERAGE(OFFSET($H$3,0,0,'Données projet'!$E$12+1,1))</f>
        <v>61.91827157428213</v>
      </c>
      <c r="CE30" s="62">
        <f t="shared" si="40"/>
        <v>358.41033295847001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74.459525115533197</v>
      </c>
      <c r="CL30" s="23">
        <f>EXP(-LN(2)/25)*CL29+(1-EXP(-LN(2)/25))/(LN(2)/25)*Calculateur!CG30*Calculateur!CI30*VLOOKUP('Données projet'!$B$12,Paramètres!$A$1:$I$89,3,0)*0.475*44/12</f>
        <v>18.83529333751569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93.29481845304889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>
        <f>CT30*VLOOKUP('Données projet'!$B$13,Paramètres!$A$1:$I$89,3,0)*VLOOKUP('Données projet'!$B$13,Paramètres!$A$1:$I$89,5,0)</f>
        <v>0</v>
      </c>
      <c r="CV30" s="14" t="e">
        <f t="shared" si="41"/>
        <v>#NUM!</v>
      </c>
      <c r="CW30" s="22" t="e">
        <f t="shared" si="13"/>
        <v>#NUM!</v>
      </c>
      <c r="CX30" s="62" t="e">
        <f t="shared" si="14"/>
        <v>#NUM!</v>
      </c>
      <c r="CY30" s="62">
        <f ca="1">AVERAGE(OFFSET($CX$3,0,0,'Données projet'!$E$13+1,1))-AVERAGE(OFFSET($H$3,0,0,'Données projet'!$E$13+1,1))</f>
        <v>66.561949299871912</v>
      </c>
      <c r="CZ30" s="62">
        <f t="shared" si="42"/>
        <v>382.65744918271389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79.326160743999424</v>
      </c>
      <c r="DG30" s="23">
        <f>EXP(-LN(2)/25)*DG29+(1-EXP(-LN(2)/25))/(LN(2)/25)*Calculateur!DB30*Calculateur!DD30*VLOOKUP('Données projet'!$B$13,Paramètres!$A$1:$I$89,3,0)*0.475*44/12</f>
        <v>20.066358261536326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99.392519005535746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>
        <f>DO30*VLOOKUP('Données projet'!$B$14,Paramètres!$A$1:$I$89,3,0)*VLOOKUP('Données projet'!$B$14,Paramètres!$A$1:$I$89,5,0)</f>
        <v>0</v>
      </c>
      <c r="DQ30" s="14" t="e">
        <f t="shared" si="43"/>
        <v>#NUM!</v>
      </c>
      <c r="DR30" s="22" t="e">
        <f t="shared" si="16"/>
        <v>#NUM!</v>
      </c>
      <c r="DS30" s="62" t="e">
        <f t="shared" si="17"/>
        <v>#NUM!</v>
      </c>
      <c r="DT30" s="62">
        <f ca="1">AVERAGE(OFFSET($DS$3,0,0,'Données projet'!$E$14+1,1))-AVERAGE(OFFSET($H$3,0,0,'Données projet'!$E$14+1,1))</f>
        <v>60.532656778089574</v>
      </c>
      <c r="DU30" s="62">
        <f t="shared" si="44"/>
        <v>348.96823267563025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72.566203857335381</v>
      </c>
      <c r="EB30" s="23">
        <f>EXP(-LN(2)/25)*EB29+(1-EXP(-LN(2)/25))/(LN(2)/25)*Calculateur!DW30*Calculateur!DY30*VLOOKUP('Données projet'!$B$14,Paramètres!$A$1:$I$89,3,0)*0.475*44/12</f>
        <v>18.356358490362464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90.922562347697848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14.327040000000002</v>
      </c>
      <c r="D31" s="12">
        <f t="shared" si="32"/>
        <v>4.843194660044249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147.98075877928895</v>
      </c>
      <c r="H31" s="70">
        <f t="shared" si="1"/>
        <v>326.72149203291036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74.209918391015606</v>
      </c>
      <c r="T31" s="62">
        <f t="shared" si="34"/>
        <v>422.59746235438649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85.643109505032044</v>
      </c>
      <c r="AA31" s="23">
        <f>EXP(-LN(2)/25)*AA30+(1-EXP(-LN(2)/25))/(LN(2)/25)*Calculateur!V31*Calculateur!X31*VLOOKUP('Données projet'!$B$9,Paramètres!$A$1:$I$89,3,0)*0.475*44/12</f>
        <v>21.493354931372455</v>
      </c>
      <c r="AB31" s="23">
        <f>EXP(-LN(2)/2)*AB30+(1-EXP(-LN(2)/2))/(LN(2)/2)*V31*Y31*VLOOKUP('Données projet'!$B$9,Paramètres!$A$1:$I$89,3,0)*0.475*44/12</f>
        <v>0</v>
      </c>
      <c r="AC31" s="24">
        <f t="shared" si="3"/>
        <v>107.13646443640449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65.6337514911271</v>
      </c>
      <c r="AO31" s="62">
        <f t="shared" si="36"/>
        <v>377.81060908047425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76.816382341560796</v>
      </c>
      <c r="AV31" s="23">
        <f>EXP(-LN(2)/25)*AV30+(1-EXP(-LN(2)/25))/(LN(2)/25)*Calculateur!AQ31*Calculateur!AS31*VLOOKUP('Données projet'!$B$10,Paramètres!$A$1:$I$89,3,0)*0.475*44/12</f>
        <v>19.278162361843815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96.094544703404608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66.622529958850123</v>
      </c>
      <c r="BJ31" s="62">
        <f t="shared" si="38"/>
        <v>374.90853633180166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76.245145056046226</v>
      </c>
      <c r="BQ31" s="23">
        <f>EXP(-LN(2)/25)*BQ30+(1-EXP(-LN(2)/25))/(LN(2)/25)*Calculateur!BL31*Calculateur!BN31*VLOOKUP('Données projet'!$B$11,Paramètres!$A$1:$I$89,3,0)*0.475*44/12</f>
        <v>19.134802250346738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95.379947306392964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>
        <f>BY31*VLOOKUP('Données projet'!$B$12,Paramètres!$A$1:$I$89,3,0)*VLOOKUP('Données projet'!$B$12,Paramètres!$A$1:$I$89,5,0)</f>
        <v>0</v>
      </c>
      <c r="CA31" s="14" t="e">
        <f t="shared" si="39"/>
        <v>#NUM!</v>
      </c>
      <c r="CB31" s="22" t="e">
        <f t="shared" si="10"/>
        <v>#NUM!</v>
      </c>
      <c r="CC31" s="62" t="e">
        <f t="shared" si="11"/>
        <v>#NUM!</v>
      </c>
      <c r="CD31" s="62">
        <f ca="1">AVERAGE(OFFSET($CC$3,0,0,'Données projet'!$E$12+1,1))-AVERAGE(OFFSET($H$3,0,0,'Données projet'!$E$12+1,1))</f>
        <v>61.91827157428213</v>
      </c>
      <c r="CE31" s="62">
        <f t="shared" si="40"/>
        <v>358.41033295847001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72.999419243843477</v>
      </c>
      <c r="CL31" s="23">
        <f>EXP(-LN(2)/25)*CL30+(1-EXP(-LN(2)/25))/(LN(2)/25)*Calculateur!CG31*Calculateur!CI31*VLOOKUP('Données projet'!$B$12,Paramètres!$A$1:$I$89,3,0)*0.475*44/12</f>
        <v>18.320241250696295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91.319660494539775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>
        <f>CT31*VLOOKUP('Données projet'!$B$13,Paramètres!$A$1:$I$89,3,0)*VLOOKUP('Données projet'!$B$13,Paramètres!$A$1:$I$89,5,0)</f>
        <v>0</v>
      </c>
      <c r="CV31" s="14" t="e">
        <f t="shared" si="41"/>
        <v>#NUM!</v>
      </c>
      <c r="CW31" s="22" t="e">
        <f t="shared" si="13"/>
        <v>#NUM!</v>
      </c>
      <c r="CX31" s="62" t="e">
        <f t="shared" si="14"/>
        <v>#NUM!</v>
      </c>
      <c r="CY31" s="62">
        <f ca="1">AVERAGE(OFFSET($CX$3,0,0,'Données projet'!$E$13+1,1))-AVERAGE(OFFSET($H$3,0,0,'Données projet'!$E$13+1,1))</f>
        <v>66.561949299871912</v>
      </c>
      <c r="CZ31" s="62">
        <f t="shared" si="42"/>
        <v>382.65744918271389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77.770623115990105</v>
      </c>
      <c r="DG31" s="23">
        <f>EXP(-LN(2)/25)*DG30+(1-EXP(-LN(2)/25))/(LN(2)/25)*Calculateur!DB31*Calculateur!DD31*VLOOKUP('Données projet'!$B$13,Paramètres!$A$1:$I$89,3,0)*0.475*44/12</f>
        <v>19.517642639630697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97.288265755620799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>
        <f>DO31*VLOOKUP('Données projet'!$B$14,Paramètres!$A$1:$I$89,3,0)*VLOOKUP('Données projet'!$B$14,Paramètres!$A$1:$I$89,5,0)</f>
        <v>0</v>
      </c>
      <c r="DQ31" s="14" t="e">
        <f t="shared" si="43"/>
        <v>#NUM!</v>
      </c>
      <c r="DR31" s="22" t="e">
        <f t="shared" si="16"/>
        <v>#NUM!</v>
      </c>
      <c r="DS31" s="62" t="e">
        <f t="shared" si="17"/>
        <v>#NUM!</v>
      </c>
      <c r="DT31" s="62">
        <f ca="1">AVERAGE(OFFSET($DS$3,0,0,'Données projet'!$E$14+1,1))-AVERAGE(OFFSET($H$3,0,0,'Données projet'!$E$14+1,1))</f>
        <v>60.532656778089574</v>
      </c>
      <c r="DU31" s="62">
        <f t="shared" si="44"/>
        <v>348.96823267563025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71.143224860706979</v>
      </c>
      <c r="EB31" s="23">
        <f>EXP(-LN(2)/25)*EB30+(1-EXP(-LN(2)/25))/(LN(2)/25)*Calculateur!DW31*Calculateur!DY31*VLOOKUP('Données projet'!$B$14,Paramètres!$A$1:$I$89,3,0)*0.475*44/12</f>
        <v>17.854402902124562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88.997627762831542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14.838720000000002</v>
      </c>
      <c r="D32" s="12">
        <f t="shared" si="32"/>
        <v>4.9957185065066634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153.10794636601636</v>
      </c>
      <c r="H32" s="70">
        <f t="shared" si="1"/>
        <v>327.87831373216574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74.209918391015606</v>
      </c>
      <c r="T32" s="62">
        <f t="shared" si="34"/>
        <v>422.59746235438649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83.963700364777168</v>
      </c>
      <c r="AA32" s="23">
        <f>EXP(-LN(2)/25)*AA31+(1-EXP(-LN(2)/25))/(LN(2)/25)*Calculateur!V32*Calculateur!X32*VLOOKUP('Données projet'!$B$9,Paramètres!$A$1:$I$89,3,0)*0.475*44/12</f>
        <v>20.905618010487665</v>
      </c>
      <c r="AB32" s="23">
        <f>EXP(-LN(2)/2)*AB31+(1-EXP(-LN(2)/2))/(LN(2)/2)*V32*Y32*VLOOKUP('Données projet'!$B$9,Paramètres!$A$1:$I$89,3,0)*0.475*44/12</f>
        <v>0</v>
      </c>
      <c r="AC32" s="24">
        <f t="shared" si="3"/>
        <v>104.86931837526484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65.6337514911271</v>
      </c>
      <c r="AO32" s="62">
        <f t="shared" si="36"/>
        <v>377.81060908047425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75.31005993720963</v>
      </c>
      <c r="AV32" s="23">
        <f>EXP(-LN(2)/25)*AV31+(1-EXP(-LN(2)/25))/(LN(2)/25)*Calculateur!AQ32*Calculateur!AS32*VLOOKUP('Données projet'!$B$10,Paramètres!$A$1:$I$89,3,0)*0.475*44/12</f>
        <v>18.7509999982647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94.061059935474333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66.622529958850123</v>
      </c>
      <c r="BJ32" s="62">
        <f t="shared" si="38"/>
        <v>374.90853633180166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74.75002426644366</v>
      </c>
      <c r="BQ32" s="23">
        <f>EXP(-LN(2)/25)*BQ31+(1-EXP(-LN(2)/25))/(LN(2)/25)*Calculateur!BL32*Calculateur!BN32*VLOOKUP('Données projet'!$B$11,Paramètres!$A$1:$I$89,3,0)*0.475*44/12</f>
        <v>18.611560076555488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93.361584342999151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>
        <f>BY32*VLOOKUP('Données projet'!$B$12,Paramètres!$A$1:$I$89,3,0)*VLOOKUP('Données projet'!$B$12,Paramètres!$A$1:$I$89,5,0)</f>
        <v>0</v>
      </c>
      <c r="CA32" s="14" t="e">
        <f t="shared" si="39"/>
        <v>#NUM!</v>
      </c>
      <c r="CB32" s="22" t="e">
        <f t="shared" si="10"/>
        <v>#NUM!</v>
      </c>
      <c r="CC32" s="62" t="e">
        <f t="shared" si="11"/>
        <v>#NUM!</v>
      </c>
      <c r="CD32" s="62">
        <f ca="1">AVERAGE(OFFSET($CC$3,0,0,'Données projet'!$E$12+1,1))-AVERAGE(OFFSET($H$3,0,0,'Données projet'!$E$12+1,1))</f>
        <v>61.91827157428213</v>
      </c>
      <c r="CE32" s="62">
        <f t="shared" si="40"/>
        <v>358.41033295847001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71.567945157720942</v>
      </c>
      <c r="CL32" s="23">
        <f>EXP(-LN(2)/25)*CL31+(1-EXP(-LN(2)/25))/(LN(2)/25)*Calculateur!CG32*Calculateur!CI32*VLOOKUP('Données projet'!$B$12,Paramètres!$A$1:$I$89,3,0)*0.475*44/12</f>
        <v>17.819273290276389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89.387218447997327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>
        <f>CT32*VLOOKUP('Données projet'!$B$13,Paramètres!$A$1:$I$89,3,0)*VLOOKUP('Données projet'!$B$13,Paramètres!$A$1:$I$89,5,0)</f>
        <v>0</v>
      </c>
      <c r="CV32" s="14" t="e">
        <f t="shared" si="41"/>
        <v>#NUM!</v>
      </c>
      <c r="CW32" s="22" t="e">
        <f t="shared" si="13"/>
        <v>#NUM!</v>
      </c>
      <c r="CX32" s="62" t="e">
        <f t="shared" si="14"/>
        <v>#NUM!</v>
      </c>
      <c r="CY32" s="62">
        <f ca="1">AVERAGE(OFFSET($CX$3,0,0,'Données projet'!$E$13+1,1))-AVERAGE(OFFSET($H$3,0,0,'Données projet'!$E$13+1,1))</f>
        <v>66.561949299871912</v>
      </c>
      <c r="CZ32" s="62">
        <f t="shared" si="42"/>
        <v>382.65744918271389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76.245588632081777</v>
      </c>
      <c r="DG32" s="23">
        <f>EXP(-LN(2)/25)*DG31+(1-EXP(-LN(2)/25))/(LN(2)/25)*Calculateur!DB32*Calculateur!DD32*VLOOKUP('Données projet'!$B$13,Paramètres!$A$1:$I$89,3,0)*0.475*44/12</f>
        <v>18.983931675261779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95.229520307343563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>
        <f>DO32*VLOOKUP('Données projet'!$B$14,Paramètres!$A$1:$I$89,3,0)*VLOOKUP('Données projet'!$B$14,Paramètres!$A$1:$I$89,5,0)</f>
        <v>0</v>
      </c>
      <c r="DQ32" s="14" t="e">
        <f t="shared" si="43"/>
        <v>#NUM!</v>
      </c>
      <c r="DR32" s="22" t="e">
        <f t="shared" si="16"/>
        <v>#NUM!</v>
      </c>
      <c r="DS32" s="62" t="e">
        <f t="shared" si="17"/>
        <v>#NUM!</v>
      </c>
      <c r="DT32" s="62">
        <f ca="1">AVERAGE(OFFSET($DS$3,0,0,'Données projet'!$E$14+1,1))-AVERAGE(OFFSET($H$3,0,0,'Données projet'!$E$14+1,1))</f>
        <v>60.532656778089574</v>
      </c>
      <c r="DU32" s="62">
        <f t="shared" si="44"/>
        <v>348.96823267563025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69.748149614270972</v>
      </c>
      <c r="EB32" s="23">
        <f>EXP(-LN(2)/25)*EB31+(1-EXP(-LN(2)/25))/(LN(2)/25)*Calculateur!DW32*Calculateur!DY32*VLOOKUP('Données projet'!$B$14,Paramètres!$A$1:$I$89,3,0)*0.475*44/12</f>
        <v>17.366173315843724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87.114322930114696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15.350400000000002</v>
      </c>
      <c r="D33" s="12">
        <f t="shared" si="32"/>
        <v>5.1476312528501964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158.23041668866819</v>
      </c>
      <c r="H33" s="70">
        <f t="shared" si="1"/>
        <v>329.03407109871409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74.209918391015606</v>
      </c>
      <c r="T33" s="62">
        <f t="shared" si="34"/>
        <v>422.59746235438649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82.317223413424273</v>
      </c>
      <c r="AA33" s="23">
        <f>EXP(-LN(2)/25)*AA32+(1-EXP(-LN(2)/25))/(LN(2)/25)*Calculateur!V33*Calculateur!X33*VLOOKUP('Données projet'!$B$9,Paramètres!$A$1:$I$89,3,0)*0.475*44/12</f>
        <v>20.333952786612208</v>
      </c>
      <c r="AB33" s="23">
        <f>EXP(-LN(2)/2)*AB32+(1-EXP(-LN(2)/2))/(LN(2)/2)*V33*Y33*VLOOKUP('Données projet'!$B$9,Paramètres!$A$1:$I$89,3,0)*0.475*44/12</f>
        <v>0</v>
      </c>
      <c r="AC33" s="24">
        <f t="shared" si="3"/>
        <v>102.65117620003647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65.6337514911271</v>
      </c>
      <c r="AO33" s="62">
        <f t="shared" si="36"/>
        <v>377.81060908047425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73.833275596441851</v>
      </c>
      <c r="AV33" s="23">
        <f>EXP(-LN(2)/25)*AV32+(1-EXP(-LN(2)/25))/(LN(2)/25)*Calculateur!AQ33*Calculateur!AS33*VLOOKUP('Données projet'!$B$10,Paramètres!$A$1:$I$89,3,0)*0.475*44/12</f>
        <v>18.238252917239919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92.07152851368177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66.622529958850123</v>
      </c>
      <c r="BJ33" s="62">
        <f t="shared" si="38"/>
        <v>374.90853633180166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73.28422188359157</v>
      </c>
      <c r="BQ33" s="23">
        <f>EXP(-LN(2)/25)*BQ32+(1-EXP(-LN(2)/25))/(LN(2)/25)*Calculateur!BL33*Calculateur!BN33*VLOOKUP('Données projet'!$B$11,Paramètres!$A$1:$I$89,3,0)*0.475*44/12</f>
        <v>18.102625987522671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91.386847871114242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>
        <f>BY33*VLOOKUP('Données projet'!$B$12,Paramètres!$A$1:$I$89,3,0)*VLOOKUP('Données projet'!$B$12,Paramètres!$A$1:$I$89,5,0)</f>
        <v>0</v>
      </c>
      <c r="CA33" s="14" t="e">
        <f t="shared" si="39"/>
        <v>#NUM!</v>
      </c>
      <c r="CB33" s="22" t="e">
        <f t="shared" si="10"/>
        <v>#NUM!</v>
      </c>
      <c r="CC33" s="62" t="e">
        <f t="shared" si="11"/>
        <v>#NUM!</v>
      </c>
      <c r="CD33" s="62">
        <f ca="1">AVERAGE(OFFSET($CC$3,0,0,'Données projet'!$E$12+1,1))-AVERAGE(OFFSET($H$3,0,0,'Données projet'!$E$12+1,1))</f>
        <v>61.91827157428213</v>
      </c>
      <c r="CE33" s="62">
        <f t="shared" si="40"/>
        <v>358.41033295847001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70.164541405314296</v>
      </c>
      <c r="CL33" s="23">
        <f>EXP(-LN(2)/25)*CL32+(1-EXP(-LN(2)/25))/(LN(2)/25)*Calculateur!CG33*Calculateur!CI33*VLOOKUP('Données projet'!$B$12,Paramètres!$A$1:$I$89,3,0)*0.475*44/12</f>
        <v>17.332004325078923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87.496545730393223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>
        <f>CT33*VLOOKUP('Données projet'!$B$13,Paramètres!$A$1:$I$89,3,0)*VLOOKUP('Données projet'!$B$13,Paramètres!$A$1:$I$89,5,0)</f>
        <v>0</v>
      </c>
      <c r="CV33" s="14" t="e">
        <f t="shared" si="41"/>
        <v>#NUM!</v>
      </c>
      <c r="CW33" s="22" t="e">
        <f t="shared" si="13"/>
        <v>#NUM!</v>
      </c>
      <c r="CX33" s="62" t="e">
        <f t="shared" si="14"/>
        <v>#NUM!</v>
      </c>
      <c r="CY33" s="62">
        <f ca="1">AVERAGE(OFFSET($CX$3,0,0,'Données projet'!$E$13+1,1))-AVERAGE(OFFSET($H$3,0,0,'Données projet'!$E$13+1,1))</f>
        <v>66.561949299871912</v>
      </c>
      <c r="CZ33" s="62">
        <f t="shared" si="42"/>
        <v>382.65744918271389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74.750459144223711</v>
      </c>
      <c r="DG33" s="23">
        <f>EXP(-LN(2)/25)*DG32+(1-EXP(-LN(2)/25))/(LN(2)/25)*Calculateur!DB33*Calculateur!DD33*VLOOKUP('Données projet'!$B$13,Paramètres!$A$1:$I$89,3,0)*0.475*44/12</f>
        <v>18.464815065280167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93.215274209503875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>
        <f>DO33*VLOOKUP('Données projet'!$B$14,Paramètres!$A$1:$I$89,3,0)*VLOOKUP('Données projet'!$B$14,Paramètres!$A$1:$I$89,5,0)</f>
        <v>0</v>
      </c>
      <c r="DQ33" s="14" t="e">
        <f t="shared" si="43"/>
        <v>#NUM!</v>
      </c>
      <c r="DR33" s="22" t="e">
        <f t="shared" si="16"/>
        <v>#NUM!</v>
      </c>
      <c r="DS33" s="62" t="e">
        <f t="shared" si="17"/>
        <v>#NUM!</v>
      </c>
      <c r="DT33" s="62">
        <f ca="1">AVERAGE(OFFSET($DS$3,0,0,'Données projet'!$E$14+1,1))-AVERAGE(OFFSET($H$3,0,0,'Données projet'!$E$14+1,1))</f>
        <v>60.532656778089574</v>
      </c>
      <c r="DU33" s="62">
        <f t="shared" si="44"/>
        <v>348.96823267563025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68.380430942505697</v>
      </c>
      <c r="EB33" s="23">
        <f>EXP(-LN(2)/25)*EB32+(1-EXP(-LN(2)/25))/(LN(2)/25)*Calculateur!DW33*Calculateur!DY33*VLOOKUP('Données projet'!$B$14,Paramètres!$A$1:$I$89,3,0)*0.475*44/12</f>
        <v>16.891294393274613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85.271725335780303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15.862080000000002</v>
      </c>
      <c r="D34" s="12">
        <f t="shared" si="32"/>
        <v>5.2989556046270634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163.34834501817386</v>
      </c>
      <c r="H34" s="70">
        <f t="shared" si="1"/>
        <v>330.18880367805878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74.209918391015606</v>
      </c>
      <c r="T34" s="62">
        <f t="shared" si="34"/>
        <v>422.59746235438649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80.703032870835628</v>
      </c>
      <c r="AA34" s="23">
        <f>EXP(-LN(2)/25)*AA33+(1-EXP(-LN(2)/25))/(LN(2)/25)*Calculateur!V34*Calculateur!X34*VLOOKUP('Données projet'!$B$9,Paramètres!$A$1:$I$89,3,0)*0.475*44/12</f>
        <v>19.777919778346195</v>
      </c>
      <c r="AB34" s="23">
        <f>EXP(-LN(2)/2)*AB33+(1-EXP(-LN(2)/2))/(LN(2)/2)*V34*Y34*VLOOKUP('Données projet'!$B$9,Paramètres!$A$1:$I$89,3,0)*0.475*44/12</f>
        <v>0</v>
      </c>
      <c r="AC34" s="24">
        <f t="shared" si="3"/>
        <v>100.48095264918183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65.6337514911271</v>
      </c>
      <c r="AO34" s="62">
        <f t="shared" si="36"/>
        <v>377.81060908047425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72.38545009584702</v>
      </c>
      <c r="AV34" s="23">
        <f>EXP(-LN(2)/25)*AV33+(1-EXP(-LN(2)/25))/(LN(2)/25)*Calculateur!AQ34*Calculateur!AS34*VLOOKUP('Données projet'!$B$10,Paramètres!$A$1:$I$89,3,0)*0.475*44/12</f>
        <v>17.739526932109957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90.124977027956973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66.622529958850123</v>
      </c>
      <c r="BJ34" s="62">
        <f t="shared" si="38"/>
        <v>374.90853633180166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71.847162991416027</v>
      </c>
      <c r="BQ34" s="23">
        <f>EXP(-LN(2)/25)*BQ33+(1-EXP(-LN(2)/25))/(LN(2)/25)*Calculateur!BL34*Calculateur!BN34*VLOOKUP('Données projet'!$B$11,Paramètres!$A$1:$I$89,3,0)*0.475*44/12</f>
        <v>17.607608727918137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89.454771719334161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>
        <f>BY34*VLOOKUP('Données projet'!$B$12,Paramètres!$A$1:$I$89,3,0)*VLOOKUP('Données projet'!$B$12,Paramètres!$A$1:$I$89,5,0)</f>
        <v>0</v>
      </c>
      <c r="CA34" s="14" t="e">
        <f t="shared" si="39"/>
        <v>#NUM!</v>
      </c>
      <c r="CB34" s="22" t="e">
        <f t="shared" si="10"/>
        <v>#NUM!</v>
      </c>
      <c r="CC34" s="62" t="e">
        <f t="shared" si="11"/>
        <v>#NUM!</v>
      </c>
      <c r="CD34" s="62">
        <f ca="1">AVERAGE(OFFSET($CC$3,0,0,'Données projet'!$E$12+1,1))-AVERAGE(OFFSET($H$3,0,0,'Données projet'!$E$12+1,1))</f>
        <v>61.91827157428213</v>
      </c>
      <c r="CE34" s="62">
        <f t="shared" si="40"/>
        <v>358.41033295847001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68.788657544500566</v>
      </c>
      <c r="CL34" s="23">
        <f>EXP(-LN(2)/25)*CL33+(1-EXP(-LN(2)/25))/(LN(2)/25)*Calculateur!CG34*Calculateur!CI34*VLOOKUP('Données projet'!$B$12,Paramètres!$A$1:$I$89,3,0)*0.475*44/12</f>
        <v>16.858059755359147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85.646717299859716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>
        <f>CT34*VLOOKUP('Données projet'!$B$13,Paramètres!$A$1:$I$89,3,0)*VLOOKUP('Données projet'!$B$13,Paramètres!$A$1:$I$89,5,0)</f>
        <v>0</v>
      </c>
      <c r="CV34" s="14" t="e">
        <f t="shared" si="41"/>
        <v>#NUM!</v>
      </c>
      <c r="CW34" s="22" t="e">
        <f t="shared" si="13"/>
        <v>#NUM!</v>
      </c>
      <c r="CX34" s="62" t="e">
        <f t="shared" si="14"/>
        <v>#NUM!</v>
      </c>
      <c r="CY34" s="62">
        <f ca="1">AVERAGE(OFFSET($CX$3,0,0,'Données projet'!$E$13+1,1))-AVERAGE(OFFSET($H$3,0,0,'Données projet'!$E$13+1,1))</f>
        <v>66.561949299871912</v>
      </c>
      <c r="CZ34" s="62">
        <f t="shared" si="42"/>
        <v>382.65744918271389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73.284648233683598</v>
      </c>
      <c r="DG34" s="23">
        <f>EXP(-LN(2)/25)*DG33+(1-EXP(-LN(2)/25))/(LN(2)/25)*Calculateur!DB34*Calculateur!DD34*VLOOKUP('Données projet'!$B$13,Paramètres!$A$1:$I$89,3,0)*0.475*44/12</f>
        <v>17.959893726297658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91.244541959981262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>
        <f>DO34*VLOOKUP('Données projet'!$B$14,Paramètres!$A$1:$I$89,3,0)*VLOOKUP('Données projet'!$B$14,Paramètres!$A$1:$I$89,5,0)</f>
        <v>0</v>
      </c>
      <c r="DQ34" s="14" t="e">
        <f t="shared" si="43"/>
        <v>#NUM!</v>
      </c>
      <c r="DR34" s="22" t="e">
        <f t="shared" si="16"/>
        <v>#NUM!</v>
      </c>
      <c r="DS34" s="62" t="e">
        <f t="shared" si="17"/>
        <v>#NUM!</v>
      </c>
      <c r="DT34" s="62">
        <f ca="1">AVERAGE(OFFSET($DS$3,0,0,'Données projet'!$E$14+1,1))-AVERAGE(OFFSET($H$3,0,0,'Données projet'!$E$14+1,1))</f>
        <v>60.532656778089574</v>
      </c>
      <c r="DU34" s="62">
        <f t="shared" si="44"/>
        <v>348.96823267563025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67.039532399667721</v>
      </c>
      <c r="EB34" s="23">
        <f>EXP(-LN(2)/25)*EB33+(1-EXP(-LN(2)/25))/(LN(2)/25)*Calculateur!DW34*Calculateur!DY34*VLOOKUP('Données projet'!$B$14,Paramètres!$A$1:$I$89,3,0)*0.475*44/12</f>
        <v>16.429401059815952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83.468933459483679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16.373760000000001</v>
      </c>
      <c r="D35" s="12">
        <f t="shared" si="32"/>
        <v>5.4497127193506145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168.46189467568897</v>
      </c>
      <c r="H35" s="70">
        <f t="shared" si="1"/>
        <v>331.34254831953564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74.209918391015606</v>
      </c>
      <c r="T35" s="62">
        <f t="shared" si="34"/>
        <v>422.59746235438649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79.120495620228127</v>
      </c>
      <c r="AA35" s="23">
        <f>EXP(-LN(2)/25)*AA34+(1-EXP(-LN(2)/25))/(LN(2)/25)*Calculateur!V35*Calculateur!X35*VLOOKUP('Données projet'!$B$9,Paramètres!$A$1:$I$89,3,0)*0.475*44/12</f>
        <v>19.23709152193172</v>
      </c>
      <c r="AB35" s="23">
        <f>EXP(-LN(2)/2)*AB34+(1-EXP(-LN(2)/2))/(LN(2)/2)*V35*Y35*VLOOKUP('Données projet'!$B$9,Paramètres!$A$1:$I$89,3,0)*0.475*44/12</f>
        <v>0</v>
      </c>
      <c r="AC35" s="24">
        <f t="shared" si="3"/>
        <v>98.357587142159844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65.6337514911271</v>
      </c>
      <c r="AO35" s="62">
        <f t="shared" si="36"/>
        <v>377.81060908047425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70.966015570232486</v>
      </c>
      <c r="AV35" s="23">
        <f>EXP(-LN(2)/25)*AV34+(1-EXP(-LN(2)/25))/(LN(2)/25)*Calculateur!AQ35*Calculateur!AS35*VLOOKUP('Données projet'!$B$10,Paramètres!$A$1:$I$89,3,0)*0.475*44/12</f>
        <v>17.254438635270233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88.220454205502719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66.622529958850123</v>
      </c>
      <c r="BJ35" s="62">
        <f t="shared" si="38"/>
        <v>374.90853633180166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70.438283947596673</v>
      </c>
      <c r="BQ35" s="23">
        <f>EXP(-LN(2)/25)*BQ34+(1-EXP(-LN(2)/25))/(LN(2)/25)*Calculateur!BL35*Calculateur!BN35*VLOOKUP('Données projet'!$B$11,Paramètres!$A$1:$I$89,3,0)*0.475*44/12</f>
        <v>17.126127741309315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87.564411688905992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>
        <f>BY35*VLOOKUP('Données projet'!$B$12,Paramètres!$A$1:$I$89,3,0)*VLOOKUP('Données projet'!$B$12,Paramètres!$A$1:$I$89,5,0)</f>
        <v>0</v>
      </c>
      <c r="CA35" s="14" t="e">
        <f t="shared" si="39"/>
        <v>#NUM!</v>
      </c>
      <c r="CB35" s="22" t="e">
        <f t="shared" si="10"/>
        <v>#NUM!</v>
      </c>
      <c r="CC35" s="62" t="e">
        <f t="shared" si="11"/>
        <v>#NUM!</v>
      </c>
      <c r="CD35" s="62">
        <f ca="1">AVERAGE(OFFSET($CC$3,0,0,'Données projet'!$E$12+1,1))-AVERAGE(OFFSET($H$3,0,0,'Données projet'!$E$12+1,1))</f>
        <v>61.91827157428213</v>
      </c>
      <c r="CE35" s="62">
        <f t="shared" si="40"/>
        <v>358.41033295847001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67.439753926991102</v>
      </c>
      <c r="CL35" s="23">
        <f>EXP(-LN(2)/25)*CL34+(1-EXP(-LN(2)/25))/(LN(2)/25)*Calculateur!CG35*Calculateur!CI35*VLOOKUP('Données projet'!$B$12,Paramètres!$A$1:$I$89,3,0)*0.475*44/12</f>
        <v>16.397075224822018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83.83682915181312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>
        <f>CT35*VLOOKUP('Données projet'!$B$13,Paramètres!$A$1:$I$89,3,0)*VLOOKUP('Données projet'!$B$13,Paramètres!$A$1:$I$89,5,0)</f>
        <v>0</v>
      </c>
      <c r="CV35" s="14" t="e">
        <f t="shared" si="41"/>
        <v>#NUM!</v>
      </c>
      <c r="CW35" s="22" t="e">
        <f t="shared" si="13"/>
        <v>#NUM!</v>
      </c>
      <c r="CX35" s="62" t="e">
        <f t="shared" si="14"/>
        <v>#NUM!</v>
      </c>
      <c r="CY35" s="62">
        <f ca="1">AVERAGE(OFFSET($CX$3,0,0,'Données projet'!$E$13+1,1))-AVERAGE(OFFSET($H$3,0,0,'Données projet'!$E$13+1,1))</f>
        <v>66.561949299871912</v>
      </c>
      <c r="CZ35" s="62">
        <f t="shared" si="42"/>
        <v>382.65744918271389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71.84758098104281</v>
      </c>
      <c r="DG35" s="23">
        <f>EXP(-LN(2)/25)*DG34+(1-EXP(-LN(2)/25))/(LN(2)/25)*Calculateur!DB35*Calculateur!DD35*VLOOKUP('Données projet'!$B$13,Paramètres!$A$1:$I$89,3,0)*0.475*44/12</f>
        <v>17.468779487882284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89.316360468925097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>
        <f>DO35*VLOOKUP('Données projet'!$B$14,Paramètres!$A$1:$I$89,3,0)*VLOOKUP('Données projet'!$B$14,Paramètres!$A$1:$I$89,5,0)</f>
        <v>0</v>
      </c>
      <c r="DQ35" s="14" t="e">
        <f t="shared" si="43"/>
        <v>#NUM!</v>
      </c>
      <c r="DR35" s="22" t="e">
        <f t="shared" si="16"/>
        <v>#NUM!</v>
      </c>
      <c r="DS35" s="62" t="e">
        <f t="shared" si="17"/>
        <v>#NUM!</v>
      </c>
      <c r="DT35" s="62">
        <f ca="1">AVERAGE(OFFSET($DS$3,0,0,'Données projet'!$E$14+1,1))-AVERAGE(OFFSET($H$3,0,0,'Données projet'!$E$14+1,1))</f>
        <v>60.532656778089574</v>
      </c>
      <c r="DU35" s="62">
        <f t="shared" si="44"/>
        <v>348.96823267563025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65.724928059387437</v>
      </c>
      <c r="EB35" s="23">
        <f>EXP(-LN(2)/25)*EB34+(1-EXP(-LN(2)/25))/(LN(2)/25)*Calculateur!DW35*Calculateur!DY35*VLOOKUP('Données projet'!$B$14,Paramètres!$A$1:$I$89,3,0)*0.475*44/12</f>
        <v>15.980138223850632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81.705066283238068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16.885439999999999</v>
      </c>
      <c r="D36" s="12">
        <f t="shared" si="32"/>
        <v>5.5999223570809251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173.57121819501063</v>
      </c>
      <c r="H36" s="70">
        <f t="shared" si="1"/>
        <v>332.49533943858256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74.209918391015606</v>
      </c>
      <c r="T36" s="62">
        <f t="shared" si="34"/>
        <v>422.59746235438649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77.568990959852627</v>
      </c>
      <c r="AA36" s="23">
        <f>EXP(-LN(2)/25)*AA35+(1-EXP(-LN(2)/25))/(LN(2)/25)*Calculateur!V36*Calculateur!X36*VLOOKUP('Données projet'!$B$9,Paramètres!$A$1:$I$89,3,0)*0.475*44/12</f>
        <v>18.711052242629822</v>
      </c>
      <c r="AB36" s="23">
        <f>EXP(-LN(2)/2)*AB35+(1-EXP(-LN(2)/2))/(LN(2)/2)*V36*Y36*VLOOKUP('Données projet'!$B$9,Paramètres!$A$1:$I$89,3,0)*0.475*44/12</f>
        <v>0</v>
      </c>
      <c r="AC36" s="24">
        <f t="shared" si="3"/>
        <v>96.280043202482446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65.6337514911271</v>
      </c>
      <c r="AO36" s="62">
        <f t="shared" si="36"/>
        <v>377.81060908047425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69.574415289895683</v>
      </c>
      <c r="AV36" s="23">
        <f>EXP(-LN(2)/25)*AV35+(1-EXP(-LN(2)/25))/(LN(2)/25)*Calculateur!AQ36*Calculateur!AS36*VLOOKUP('Données projet'!$B$10,Paramètres!$A$1:$I$89,3,0)*0.475*44/12</f>
        <v>16.782615103417278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86.357030393312954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66.622529958850123</v>
      </c>
      <c r="BJ36" s="62">
        <f t="shared" si="38"/>
        <v>374.90853633180166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69.057032162495261</v>
      </c>
      <c r="BQ36" s="23">
        <f>EXP(-LN(2)/25)*BQ35+(1-EXP(-LN(2)/25))/(LN(2)/25)*Calculateur!BL36*Calculateur!BN36*VLOOKUP('Données projet'!$B$11,Paramètres!$A$1:$I$89,3,0)*0.475*44/12</f>
        <v>16.657812877599294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85.714845040094559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>
        <f>BY36*VLOOKUP('Données projet'!$B$12,Paramètres!$A$1:$I$89,3,0)*VLOOKUP('Données projet'!$B$12,Paramètres!$A$1:$I$89,5,0)</f>
        <v>0</v>
      </c>
      <c r="CA36" s="14" t="e">
        <f t="shared" si="39"/>
        <v>#NUM!</v>
      </c>
      <c r="CB36" s="22" t="e">
        <f t="shared" si="10"/>
        <v>#NUM!</v>
      </c>
      <c r="CC36" s="62" t="e">
        <f t="shared" si="11"/>
        <v>#NUM!</v>
      </c>
      <c r="CD36" s="62">
        <f ca="1">AVERAGE(OFFSET($CC$3,0,0,'Données projet'!$E$12+1,1))-AVERAGE(OFFSET($H$3,0,0,'Données projet'!$E$12+1,1))</f>
        <v>61.91827157428213</v>
      </c>
      <c r="CE36" s="62">
        <f t="shared" si="40"/>
        <v>358.41033295847001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66.117301486671039</v>
      </c>
      <c r="CL36" s="23">
        <f>EXP(-LN(2)/25)*CL35+(1-EXP(-LN(2)/25))/(LN(2)/25)*Calculateur!CG36*Calculateur!CI36*VLOOKUP('Données projet'!$B$12,Paramètres!$A$1:$I$89,3,0)*0.475*44/12</f>
        <v>15.94869634051455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82.065997827185583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>
        <f>CT36*VLOOKUP('Données projet'!$B$13,Paramètres!$A$1:$I$89,3,0)*VLOOKUP('Données projet'!$B$13,Paramètres!$A$1:$I$89,5,0)</f>
        <v>0</v>
      </c>
      <c r="CV36" s="14" t="e">
        <f t="shared" si="41"/>
        <v>#NUM!</v>
      </c>
      <c r="CW36" s="22" t="e">
        <f t="shared" si="13"/>
        <v>#NUM!</v>
      </c>
      <c r="CX36" s="62" t="e">
        <f t="shared" si="14"/>
        <v>#NUM!</v>
      </c>
      <c r="CY36" s="62">
        <f ca="1">AVERAGE(OFFSET($CX$3,0,0,'Données projet'!$E$13+1,1))-AVERAGE(OFFSET($H$3,0,0,'Données projet'!$E$13+1,1))</f>
        <v>66.561949299871912</v>
      </c>
      <c r="CZ36" s="62">
        <f t="shared" si="42"/>
        <v>382.65744918271389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70.438693740701822</v>
      </c>
      <c r="DG36" s="23">
        <f>EXP(-LN(2)/25)*DG35+(1-EXP(-LN(2)/25))/(LN(2)/25)*Calculateur!DB36*Calculateur!DD36*VLOOKUP('Données projet'!$B$13,Paramètres!$A$1:$I$89,3,0)*0.475*44/12</f>
        <v>16.991094794142956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87.429788534844775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>
        <f>DO36*VLOOKUP('Données projet'!$B$14,Paramètres!$A$1:$I$89,3,0)*VLOOKUP('Données projet'!$B$14,Paramètres!$A$1:$I$89,5,0)</f>
        <v>0</v>
      </c>
      <c r="DQ36" s="14" t="e">
        <f t="shared" si="43"/>
        <v>#NUM!</v>
      </c>
      <c r="DR36" s="22" t="e">
        <f t="shared" si="16"/>
        <v>#NUM!</v>
      </c>
      <c r="DS36" s="62" t="e">
        <f t="shared" si="17"/>
        <v>#NUM!</v>
      </c>
      <c r="DT36" s="62">
        <f ca="1">AVERAGE(OFFSET($DS$3,0,0,'Données projet'!$E$14+1,1))-AVERAGE(OFFSET($H$3,0,0,'Données projet'!$E$14+1,1))</f>
        <v>60.532656778089574</v>
      </c>
      <c r="DU36" s="62">
        <f t="shared" si="44"/>
        <v>348.96823267563025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64.436102308390574</v>
      </c>
      <c r="EB36" s="23">
        <f>EXP(-LN(2)/25)*EB35+(1-EXP(-LN(2)/25))/(LN(2)/25)*Calculateur!DW36*Calculateur!DY36*VLOOKUP('Données projet'!$B$14,Paramètres!$A$1:$I$89,3,0)*0.475*44/12</f>
        <v>15.543160503760491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79.979262812151063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17.397119999999997</v>
      </c>
      <c r="D37" s="12">
        <f t="shared" si="32"/>
        <v>5.7496030122448101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178.67645834013535</v>
      </c>
      <c r="H37" s="70">
        <f t="shared" si="1"/>
        <v>333.64720924632633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74.209918391015606</v>
      </c>
      <c r="T37" s="62">
        <f t="shared" si="34"/>
        <v>422.59746235438649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76.047910359542684</v>
      </c>
      <c r="AA37" s="23">
        <f>EXP(-LN(2)/25)*AA36+(1-EXP(-LN(2)/25))/(LN(2)/25)*Calculateur!V37*Calculateur!X37*VLOOKUP('Données projet'!$B$9,Paramètres!$A$1:$I$89,3,0)*0.475*44/12</f>
        <v>18.199397535083637</v>
      </c>
      <c r="AB37" s="23">
        <f>EXP(-LN(2)/2)*AB36+(1-EXP(-LN(2)/2))/(LN(2)/2)*V37*Y37*VLOOKUP('Données projet'!$B$9,Paramètres!$A$1:$I$89,3,0)*0.475*44/12</f>
        <v>0</v>
      </c>
      <c r="AC37" s="24">
        <f t="shared" si="3"/>
        <v>94.247307894626317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65.6337514911271</v>
      </c>
      <c r="AO37" s="62">
        <f t="shared" si="36"/>
        <v>377.81060908047425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68.210103442263929</v>
      </c>
      <c r="AV37" s="23">
        <f>EXP(-LN(2)/25)*AV36+(1-EXP(-LN(2)/25))/(LN(2)/25)*Calculateur!AQ37*Calculateur!AS37*VLOOKUP('Données projet'!$B$10,Paramètres!$A$1:$I$89,3,0)*0.475*44/12</f>
        <v>16.32369361085496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84.533797053118889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66.622529958850123</v>
      </c>
      <c r="BJ37" s="62">
        <f t="shared" si="38"/>
        <v>374.90853633180166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67.702865882419275</v>
      </c>
      <c r="BQ37" s="23">
        <f>EXP(-LN(2)/25)*BQ36+(1-EXP(-LN(2)/25))/(LN(2)/25)*Calculateur!BL37*Calculateur!BN37*VLOOKUP('Données projet'!$B$11,Paramètres!$A$1:$I$89,3,0)*0.475*44/12</f>
        <v>16.202304108465036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83.905169990884303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>
        <f>BY37*VLOOKUP('Données projet'!$B$12,Paramètres!$A$1:$I$89,3,0)*VLOOKUP('Données projet'!$B$12,Paramètres!$A$1:$I$89,5,0)</f>
        <v>0</v>
      </c>
      <c r="CA37" s="14" t="e">
        <f t="shared" si="39"/>
        <v>#NUM!</v>
      </c>
      <c r="CB37" s="22" t="e">
        <f t="shared" si="10"/>
        <v>#NUM!</v>
      </c>
      <c r="CC37" s="62" t="e">
        <f t="shared" si="11"/>
        <v>#NUM!</v>
      </c>
      <c r="CD37" s="62">
        <f ca="1">AVERAGE(OFFSET($CC$3,0,0,'Données projet'!$E$12+1,1))-AVERAGE(OFFSET($H$3,0,0,'Données projet'!$E$12+1,1))</f>
        <v>61.91827157428213</v>
      </c>
      <c r="CE37" s="62">
        <f t="shared" si="40"/>
        <v>358.41033295847001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64.820781532089313</v>
      </c>
      <c r="CL37" s="23">
        <f>EXP(-LN(2)/25)*CL36+(1-EXP(-LN(2)/25))/(LN(2)/25)*Calculateur!CG37*Calculateur!CI37*VLOOKUP('Données projet'!$B$12,Paramètres!$A$1:$I$89,3,0)*0.475*44/12</f>
        <v>15.51257840037769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80.333359932467005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>
        <f>CT37*VLOOKUP('Données projet'!$B$13,Paramètres!$A$1:$I$89,3,0)*VLOOKUP('Données projet'!$B$13,Paramètres!$A$1:$I$89,5,0)</f>
        <v>0</v>
      </c>
      <c r="CV37" s="14" t="e">
        <f t="shared" si="41"/>
        <v>#NUM!</v>
      </c>
      <c r="CW37" s="22" t="e">
        <f t="shared" si="13"/>
        <v>#NUM!</v>
      </c>
      <c r="CX37" s="62" t="e">
        <f t="shared" si="14"/>
        <v>#NUM!</v>
      </c>
      <c r="CY37" s="62">
        <f ca="1">AVERAGE(OFFSET($CX$3,0,0,'Données projet'!$E$13+1,1))-AVERAGE(OFFSET($H$3,0,0,'Données projet'!$E$13+1,1))</f>
        <v>66.561949299871912</v>
      </c>
      <c r="CZ37" s="62">
        <f t="shared" si="42"/>
        <v>382.65744918271389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69.057433919807565</v>
      </c>
      <c r="DG37" s="23">
        <f>EXP(-LN(2)/25)*DG36+(1-EXP(-LN(2)/25))/(LN(2)/25)*Calculateur!DB37*Calculateur!DD37*VLOOKUP('Données projet'!$B$13,Paramètres!$A$1:$I$89,3,0)*0.475*44/12</f>
        <v>16.526472413474277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85.583906333281845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>
        <f>DO37*VLOOKUP('Données projet'!$B$14,Paramètres!$A$1:$I$89,3,0)*VLOOKUP('Données projet'!$B$14,Paramètres!$A$1:$I$89,5,0)</f>
        <v>0</v>
      </c>
      <c r="DQ37" s="14" t="e">
        <f t="shared" si="43"/>
        <v>#NUM!</v>
      </c>
      <c r="DR37" s="22" t="e">
        <f t="shared" si="16"/>
        <v>#NUM!</v>
      </c>
      <c r="DS37" s="62" t="e">
        <f t="shared" si="17"/>
        <v>#NUM!</v>
      </c>
      <c r="DT37" s="62">
        <f ca="1">AVERAGE(OFFSET($DS$3,0,0,'Données projet'!$E$14+1,1))-AVERAGE(OFFSET($H$3,0,0,'Données projet'!$E$14+1,1))</f>
        <v>60.532656778089574</v>
      </c>
      <c r="DU37" s="62">
        <f t="shared" si="44"/>
        <v>348.96823267563025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63.172549644264677</v>
      </c>
      <c r="EB37" s="23">
        <f>EXP(-LN(2)/25)*EB36+(1-EXP(-LN(2)/25))/(LN(2)/25)*Calculateur!DW37*Calculateur!DY37*VLOOKUP('Données projet'!$B$14,Paramètres!$A$1:$I$89,3,0)*0.475*44/12</f>
        <v>15.118131962405874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78.290681606670546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17.908799999999996</v>
      </c>
      <c r="D38" s="12">
        <f t="shared" si="32"/>
        <v>5.898772029511778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183.77774899974006</v>
      </c>
      <c r="H38" s="70">
        <f t="shared" si="1"/>
        <v>334.79818795139965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74.209918391015606</v>
      </c>
      <c r="T38" s="62">
        <f t="shared" si="34"/>
        <v>422.59746235438649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74.556657222037273</v>
      </c>
      <c r="AA38" s="23">
        <f>EXP(-LN(2)/25)*AA37+(1-EXP(-LN(2)/25))/(LN(2)/25)*Calculateur!V38*Calculateur!X38*VLOOKUP('Données projet'!$B$9,Paramètres!$A$1:$I$89,3,0)*0.475*44/12</f>
        <v>17.701734052422054</v>
      </c>
      <c r="AB38" s="23">
        <f>EXP(-LN(2)/2)*AB37+(1-EXP(-LN(2)/2))/(LN(2)/2)*V38*Y38*VLOOKUP('Données projet'!$B$9,Paramètres!$A$1:$I$89,3,0)*0.475*44/12</f>
        <v>0</v>
      </c>
      <c r="AC38" s="24">
        <f t="shared" si="3"/>
        <v>92.258391274459328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65.6337514911271</v>
      </c>
      <c r="AO38" s="62">
        <f t="shared" si="36"/>
        <v>377.81060908047425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66.872544917816171</v>
      </c>
      <c r="AV38" s="23">
        <f>EXP(-LN(2)/25)*AV37+(1-EXP(-LN(2)/25))/(LN(2)/25)*Calculateur!AQ38*Calculateur!AS38*VLOOKUP('Données projet'!$B$10,Paramètres!$A$1:$I$89,3,0)*0.475*44/12</f>
        <v>15.877321350640392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82.749866268456557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66.622529958850123</v>
      </c>
      <c r="BJ38" s="62">
        <f t="shared" si="38"/>
        <v>374.90853633180166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66.375253977135714</v>
      </c>
      <c r="BQ38" s="23">
        <f>EXP(-LN(2)/25)*BQ37+(1-EXP(-LN(2)/25))/(LN(2)/25)*Calculateur!BL38*Calculateur!BN38*VLOOKUP('Données projet'!$B$11,Paramètres!$A$1:$I$89,3,0)*0.475*44/12</f>
        <v>15.759251250576916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82.134505227712623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>
        <f>BY38*VLOOKUP('Données projet'!$B$12,Paramètres!$A$1:$I$89,3,0)*VLOOKUP('Données projet'!$B$12,Paramètres!$A$1:$I$89,5,0)</f>
        <v>0</v>
      </c>
      <c r="CA38" s="14" t="e">
        <f t="shared" si="39"/>
        <v>#NUM!</v>
      </c>
      <c r="CB38" s="22" t="e">
        <f t="shared" si="10"/>
        <v>#NUM!</v>
      </c>
      <c r="CC38" s="62" t="e">
        <f t="shared" si="11"/>
        <v>#NUM!</v>
      </c>
      <c r="CD38" s="62">
        <f ca="1">AVERAGE(OFFSET($CC$3,0,0,'Données projet'!$E$12+1,1))-AVERAGE(OFFSET($H$3,0,0,'Données projet'!$E$12+1,1))</f>
        <v>61.91827157428213</v>
      </c>
      <c r="CE38" s="62">
        <f t="shared" si="40"/>
        <v>358.41033295847001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63.549685543017844</v>
      </c>
      <c r="CL38" s="23">
        <f>EXP(-LN(2)/25)*CL37+(1-EXP(-LN(2)/25))/(LN(2)/25)*Calculateur!CG38*Calculateur!CI38*VLOOKUP('Données projet'!$B$12,Paramètres!$A$1:$I$89,3,0)*0.475*44/12</f>
        <v>15.088386128248318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78.638071671266161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>
        <f>CT38*VLOOKUP('Données projet'!$B$13,Paramètres!$A$1:$I$89,3,0)*VLOOKUP('Données projet'!$B$13,Paramètres!$A$1:$I$89,5,0)</f>
        <v>0</v>
      </c>
      <c r="CV38" s="14" t="e">
        <f t="shared" si="41"/>
        <v>#NUM!</v>
      </c>
      <c r="CW38" s="22" t="e">
        <f t="shared" si="13"/>
        <v>#NUM!</v>
      </c>
      <c r="CX38" s="62" t="e">
        <f t="shared" si="14"/>
        <v>#NUM!</v>
      </c>
      <c r="CY38" s="62">
        <f ca="1">AVERAGE(OFFSET($CX$3,0,0,'Données projet'!$E$13+1,1))-AVERAGE(OFFSET($H$3,0,0,'Données projet'!$E$13+1,1))</f>
        <v>66.561949299871912</v>
      </c>
      <c r="CZ38" s="62">
        <f t="shared" si="42"/>
        <v>382.65744918271389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67.703259761515739</v>
      </c>
      <c r="DG38" s="23">
        <f>EXP(-LN(2)/25)*DG37+(1-EXP(-LN(2)/25))/(LN(2)/25)*Calculateur!DB38*Calculateur!DD38*VLOOKUP('Données projet'!$B$13,Paramètres!$A$1:$I$89,3,0)*0.475*44/12</f>
        <v>16.074555156238411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83.777814917754142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>
        <f>DO38*VLOOKUP('Données projet'!$B$14,Paramètres!$A$1:$I$89,3,0)*VLOOKUP('Données projet'!$B$14,Paramètres!$A$1:$I$89,5,0)</f>
        <v>0</v>
      </c>
      <c r="DQ38" s="14" t="e">
        <f t="shared" si="43"/>
        <v>#NUM!</v>
      </c>
      <c r="DR38" s="22" t="e">
        <f t="shared" si="16"/>
        <v>#NUM!</v>
      </c>
      <c r="DS38" s="62" t="e">
        <f t="shared" si="17"/>
        <v>#NUM!</v>
      </c>
      <c r="DT38" s="62">
        <f ca="1">AVERAGE(OFFSET($DS$3,0,0,'Données projet'!$E$14+1,1))-AVERAGE(OFFSET($H$3,0,0,'Données projet'!$E$14+1,1))</f>
        <v>60.532656778089574</v>
      </c>
      <c r="DU38" s="62">
        <f t="shared" si="44"/>
        <v>348.96823267563025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61.933774477191264</v>
      </c>
      <c r="EB38" s="23">
        <f>EXP(-LN(2)/25)*EB37+(1-EXP(-LN(2)/25))/(LN(2)/25)*Calculateur!DW38*Calculateur!DY38*VLOOKUP('Données projet'!$B$14,Paramètres!$A$1:$I$89,3,0)*0.475*44/12</f>
        <v>14.704725848865879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76.638500326057141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18.420479999999994</v>
      </c>
      <c r="D39" s="12">
        <f t="shared" si="32"/>
        <v>6.0474457060548152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188.87521597656348</v>
      </c>
      <c r="H39" s="70">
        <f t="shared" si="1"/>
        <v>335.94830393804546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74.209918391015606</v>
      </c>
      <c r="T39" s="62">
        <f t="shared" si="34"/>
        <v>422.59746235438649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73.094646648983741</v>
      </c>
      <c r="AA39" s="23">
        <f>EXP(-LN(2)/25)*AA38+(1-EXP(-LN(2)/25))/(LN(2)/25)*Calculateur!V39*Calculateur!X39*VLOOKUP('Données projet'!$B$9,Paramètres!$A$1:$I$89,3,0)*0.475*44/12</f>
        <v>17.217679203864837</v>
      </c>
      <c r="AB39" s="23">
        <f>EXP(-LN(2)/2)*AB38+(1-EXP(-LN(2)/2))/(LN(2)/2)*V39*Y39*VLOOKUP('Données projet'!$B$9,Paramètres!$A$1:$I$89,3,0)*0.475*44/12</f>
        <v>0</v>
      </c>
      <c r="AC39" s="24">
        <f t="shared" si="3"/>
        <v>90.312325852848574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65.6337514911271</v>
      </c>
      <c r="AO39" s="62">
        <f t="shared" si="36"/>
        <v>377.81060908047425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65.561215100202688</v>
      </c>
      <c r="AV39" s="23">
        <f>EXP(-LN(2)/25)*AV38+(1-EXP(-LN(2)/25))/(LN(2)/25)*Calculateur!AQ39*Calculateur!AS39*VLOOKUP('Données projet'!$B$10,Paramètres!$A$1:$I$89,3,0)*0.475*44/12</f>
        <v>15.443155163355089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81.004370263557774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66.622529958850123</v>
      </c>
      <c r="BJ39" s="62">
        <f t="shared" si="38"/>
        <v>374.90853633180166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65.073675731551461</v>
      </c>
      <c r="BQ39" s="23">
        <f>EXP(-LN(2)/25)*BQ38+(1-EXP(-LN(2)/25))/(LN(2)/25)*Calculateur!BL39*Calculateur!BN39*VLOOKUP('Données projet'!$B$11,Paramètres!$A$1:$I$89,3,0)*0.475*44/12</f>
        <v>15.328313696386886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80.401989427938346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>
        <f>BY39*VLOOKUP('Données projet'!$B$12,Paramètres!$A$1:$I$89,3,0)*VLOOKUP('Données projet'!$B$12,Paramètres!$A$1:$I$89,5,0)</f>
        <v>0</v>
      </c>
      <c r="CA39" s="14" t="e">
        <f t="shared" si="39"/>
        <v>#NUM!</v>
      </c>
      <c r="CB39" s="22" t="e">
        <f t="shared" si="10"/>
        <v>#NUM!</v>
      </c>
      <c r="CC39" s="62" t="e">
        <f t="shared" si="11"/>
        <v>#NUM!</v>
      </c>
      <c r="CD39" s="62">
        <f ca="1">AVERAGE(OFFSET($CC$3,0,0,'Données projet'!$E$12+1,1))-AVERAGE(OFFSET($H$3,0,0,'Données projet'!$E$12+1,1))</f>
        <v>61.91827157428213</v>
      </c>
      <c r="CE39" s="62">
        <f t="shared" si="40"/>
        <v>358.41033295847001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62.30351497100007</v>
      </c>
      <c r="CL39" s="23">
        <f>EXP(-LN(2)/25)*CL38+(1-EXP(-LN(2)/25))/(LN(2)/25)*Calculateur!CG39*Calculateur!CI39*VLOOKUP('Données projet'!$B$12,Paramètres!$A$1:$I$89,3,0)*0.475*44/12</f>
        <v>14.675793416107627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76.979308387107693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>
        <f>CT39*VLOOKUP('Données projet'!$B$13,Paramètres!$A$1:$I$89,3,0)*VLOOKUP('Données projet'!$B$13,Paramètres!$A$1:$I$89,5,0)</f>
        <v>0</v>
      </c>
      <c r="CV39" s="14" t="e">
        <f t="shared" si="41"/>
        <v>#NUM!</v>
      </c>
      <c r="CW39" s="22" t="e">
        <f t="shared" si="13"/>
        <v>#NUM!</v>
      </c>
      <c r="CX39" s="62" t="e">
        <f t="shared" si="14"/>
        <v>#NUM!</v>
      </c>
      <c r="CY39" s="62">
        <f ca="1">AVERAGE(OFFSET($CX$3,0,0,'Données projet'!$E$13+1,1))-AVERAGE(OFFSET($H$3,0,0,'Données projet'!$E$13+1,1))</f>
        <v>66.561949299871912</v>
      </c>
      <c r="CZ39" s="62">
        <f t="shared" si="42"/>
        <v>382.65744918271389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66.375640132503335</v>
      </c>
      <c r="DG39" s="23">
        <f>EXP(-LN(2)/25)*DG38+(1-EXP(-LN(2)/25))/(LN(2)/25)*Calculateur!DB39*Calculateur!DD39*VLOOKUP('Données projet'!$B$13,Paramètres!$A$1:$I$89,3,0)*0.475*44/12</f>
        <v>15.634995600166954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82.010635732670295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>
        <f>DO39*VLOOKUP('Données projet'!$B$14,Paramètres!$A$1:$I$89,3,0)*VLOOKUP('Données projet'!$B$14,Paramètres!$A$1:$I$89,5,0)</f>
        <v>0</v>
      </c>
      <c r="DQ39" s="14" t="e">
        <f t="shared" si="43"/>
        <v>#NUM!</v>
      </c>
      <c r="DR39" s="22" t="e">
        <f t="shared" si="16"/>
        <v>#NUM!</v>
      </c>
      <c r="DS39" s="62" t="e">
        <f t="shared" si="17"/>
        <v>#NUM!</v>
      </c>
      <c r="DT39" s="62">
        <f ca="1">AVERAGE(OFFSET($DS$3,0,0,'Données projet'!$E$14+1,1))-AVERAGE(OFFSET($H$3,0,0,'Données projet'!$E$14+1,1))</f>
        <v>60.532656778089574</v>
      </c>
      <c r="DU39" s="62">
        <f t="shared" si="44"/>
        <v>348.96823267563025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60.719290935565915</v>
      </c>
      <c r="EB39" s="23">
        <f>EXP(-LN(2)/25)*EB38+(1-EXP(-LN(2)/25))/(LN(2)/25)*Calculateur!DW39*Calculateur!DY39*VLOOKUP('Données projet'!$B$14,Paramètres!$A$1:$I$89,3,0)*0.475*44/12</f>
        <v>14.302624347240718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75.021915282806631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18.932159999999993</v>
      </c>
      <c r="D40" s="12">
        <f t="shared" si="32"/>
        <v>6.1956393821294142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193.96897768661299</v>
      </c>
      <c r="H40" s="70">
        <f t="shared" si="1"/>
        <v>337.09758392387539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74.209918391015606</v>
      </c>
      <c r="T40" s="62">
        <f t="shared" si="34"/>
        <v>422.59746235438649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71.661305211529381</v>
      </c>
      <c r="AA40" s="23">
        <f>EXP(-LN(2)/25)*AA39+(1-EXP(-LN(2)/25))/(LN(2)/25)*Calculateur!V40*Calculateur!X40*VLOOKUP('Données projet'!$B$9,Paramètres!$A$1:$I$89,3,0)*0.475*44/12</f>
        <v>16.746860860596755</v>
      </c>
      <c r="AB40" s="23">
        <f>EXP(-LN(2)/2)*AB39+(1-EXP(-LN(2)/2))/(LN(2)/2)*V40*Y40*VLOOKUP('Données projet'!$B$9,Paramètres!$A$1:$I$89,3,0)*0.475*44/12</f>
        <v>0</v>
      </c>
      <c r="AC40" s="24">
        <f t="shared" si="3"/>
        <v>88.408166072126136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65.6337514911271</v>
      </c>
      <c r="AO40" s="62">
        <f t="shared" si="36"/>
        <v>377.81060908047425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64.275599660480395</v>
      </c>
      <c r="AV40" s="23">
        <f>EXP(-LN(2)/25)*AV39+(1-EXP(-LN(2)/25))/(LN(2)/25)*Calculateur!AQ40*Calculateur!AS40*VLOOKUP('Données projet'!$B$10,Paramètres!$A$1:$I$89,3,0)*0.475*44/12</f>
        <v>15.02086127329291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79.296460933773304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66.622529958850123</v>
      </c>
      <c r="BJ40" s="62">
        <f t="shared" si="38"/>
        <v>374.90853633180166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63.797620641478773</v>
      </c>
      <c r="BQ40" s="23">
        <f>EXP(-LN(2)/25)*BQ39+(1-EXP(-LN(2)/25))/(LN(2)/25)*Calculateur!BL40*Calculateur!BN40*VLOOKUP('Données projet'!$B$11,Paramètres!$A$1:$I$89,3,0)*0.475*44/12</f>
        <v>14.909160152278202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78.706780793756977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>
        <f>BY40*VLOOKUP('Données projet'!$B$12,Paramètres!$A$1:$I$89,3,0)*VLOOKUP('Données projet'!$B$12,Paramètres!$A$1:$I$89,5,0)</f>
        <v>0</v>
      </c>
      <c r="CA40" s="14" t="e">
        <f t="shared" si="39"/>
        <v>#NUM!</v>
      </c>
      <c r="CB40" s="22" t="e">
        <f t="shared" si="10"/>
        <v>#NUM!</v>
      </c>
      <c r="CC40" s="62" t="e">
        <f t="shared" si="11"/>
        <v>#NUM!</v>
      </c>
      <c r="CD40" s="62">
        <f ca="1">AVERAGE(OFFSET($CC$3,0,0,'Données projet'!$E$12+1,1))-AVERAGE(OFFSET($H$3,0,0,'Données projet'!$E$12+1,1))</f>
        <v>61.91827157428213</v>
      </c>
      <c r="CE40" s="62">
        <f t="shared" si="40"/>
        <v>358.41033295847001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61.081781043810565</v>
      </c>
      <c r="CL40" s="23">
        <f>EXP(-LN(2)/25)*CL39+(1-EXP(-LN(2)/25))/(LN(2)/25)*Calculateur!CG40*Calculateur!CI40*VLOOKUP('Données projet'!$B$12,Paramètres!$A$1:$I$89,3,0)*0.475*44/12</f>
        <v>14.274483073377731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75.356264117188289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>
        <f>CT40*VLOOKUP('Données projet'!$B$13,Paramètres!$A$1:$I$89,3,0)*VLOOKUP('Données projet'!$B$13,Paramètres!$A$1:$I$89,5,0)</f>
        <v>0</v>
      </c>
      <c r="CV40" s="14" t="e">
        <f t="shared" si="41"/>
        <v>#NUM!</v>
      </c>
      <c r="CW40" s="22" t="e">
        <f t="shared" si="13"/>
        <v>#NUM!</v>
      </c>
      <c r="CX40" s="62" t="e">
        <f t="shared" si="14"/>
        <v>#NUM!</v>
      </c>
      <c r="CY40" s="62">
        <f ca="1">AVERAGE(OFFSET($CX$3,0,0,'Données projet'!$E$13+1,1))-AVERAGE(OFFSET($H$3,0,0,'Données projet'!$E$13+1,1))</f>
        <v>66.561949299871912</v>
      </c>
      <c r="CZ40" s="62">
        <f t="shared" si="42"/>
        <v>382.65744918271389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65.074054314647853</v>
      </c>
      <c r="DG40" s="23">
        <f>EXP(-LN(2)/25)*DG39+(1-EXP(-LN(2)/25))/(LN(2)/25)*Calculateur!DB40*Calculateur!DD40*VLOOKUP('Données projet'!$B$13,Paramètres!$A$1:$I$89,3,0)*0.475*44/12</f>
        <v>15.207455823271705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80.281510137919554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>
        <f>DO40*VLOOKUP('Données projet'!$B$14,Paramètres!$A$1:$I$89,3,0)*VLOOKUP('Données projet'!$B$14,Paramètres!$A$1:$I$89,5,0)</f>
        <v>0</v>
      </c>
      <c r="DQ40" s="14" t="e">
        <f t="shared" si="43"/>
        <v>#NUM!</v>
      </c>
      <c r="DR40" s="22" t="e">
        <f t="shared" si="16"/>
        <v>#NUM!</v>
      </c>
      <c r="DS40" s="62" t="e">
        <f t="shared" si="17"/>
        <v>#NUM!</v>
      </c>
      <c r="DT40" s="62">
        <f ca="1">AVERAGE(OFFSET($DS$3,0,0,'Données projet'!$E$14+1,1))-AVERAGE(OFFSET($H$3,0,0,'Données projet'!$E$14+1,1))</f>
        <v>60.532656778089574</v>
      </c>
      <c r="DU40" s="62">
        <f t="shared" si="44"/>
        <v>348.96823267563025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59.528622675430022</v>
      </c>
      <c r="EB40" s="23">
        <f>EXP(-LN(2)/25)*EB39+(1-EXP(-LN(2)/25))/(LN(2)/25)*Calculateur!DW40*Calculateur!DY40*VLOOKUP('Données projet'!$B$14,Paramètres!$A$1:$I$89,3,0)*0.475*44/12</f>
        <v>13.911518332323094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73.440141007753112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19.443839999999991</v>
      </c>
      <c r="D41" s="12">
        <f t="shared" si="32"/>
        <v>6.3433675215849155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199.05914578065543</v>
      </c>
      <c r="H41" s="70">
        <f t="shared" si="1"/>
        <v>338.24605310009372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74.209918391015606</v>
      </c>
      <c r="T41" s="62">
        <f t="shared" si="34"/>
        <v>422.59746235438649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70.256070725411561</v>
      </c>
      <c r="AA41" s="23">
        <f>EXP(-LN(2)/25)*AA40+(1-EXP(-LN(2)/25))/(LN(2)/25)*Calculateur!V41*Calculateur!X41*VLOOKUP('Données projet'!$B$9,Paramètres!$A$1:$I$89,3,0)*0.475*44/12</f>
        <v>16.288917069684601</v>
      </c>
      <c r="AB41" s="23">
        <f>EXP(-LN(2)/2)*AB40+(1-EXP(-LN(2)/2))/(LN(2)/2)*V41*Y41*VLOOKUP('Données projet'!$B$9,Paramètres!$A$1:$I$89,3,0)*0.475*44/12</f>
        <v>0</v>
      </c>
      <c r="AC41" s="24">
        <f t="shared" si="3"/>
        <v>86.544987795096162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65.6337514911271</v>
      </c>
      <c r="AO41" s="62">
        <f t="shared" si="36"/>
        <v>377.81060908047425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63.015194355383073</v>
      </c>
      <c r="AV41" s="23">
        <f>EXP(-LN(2)/25)*AV40+(1-EXP(-LN(2)/25))/(LN(2)/25)*Calculateur!AQ41*Calculateur!AS41*VLOOKUP('Données projet'!$B$10,Paramètres!$A$1:$I$89,3,0)*0.475*44/12</f>
        <v>14.610115031861952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77.625309387245025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66.622529958850123</v>
      </c>
      <c r="BJ41" s="62">
        <f t="shared" si="38"/>
        <v>374.90853633180166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62.546588213405656</v>
      </c>
      <c r="BQ41" s="23">
        <f>EXP(-LN(2)/25)*BQ40+(1-EXP(-LN(2)/25))/(LN(2)/25)*Calculateur!BL41*Calculateur!BN41*VLOOKUP('Données projet'!$B$11,Paramètres!$A$1:$I$89,3,0)*0.475*44/12</f>
        <v>14.501468383875498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77.048056597281146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>
        <f>BY41*VLOOKUP('Données projet'!$B$12,Paramètres!$A$1:$I$89,3,0)*VLOOKUP('Données projet'!$B$12,Paramètres!$A$1:$I$89,5,0)</f>
        <v>0</v>
      </c>
      <c r="CA41" s="14" t="e">
        <f t="shared" si="39"/>
        <v>#NUM!</v>
      </c>
      <c r="CB41" s="22" t="e">
        <f t="shared" si="10"/>
        <v>#NUM!</v>
      </c>
      <c r="CC41" s="62" t="e">
        <f t="shared" si="11"/>
        <v>#NUM!</v>
      </c>
      <c r="CD41" s="62">
        <f ca="1">AVERAGE(OFFSET($CC$3,0,0,'Données projet'!$E$12+1,1))-AVERAGE(OFFSET($H$3,0,0,'Données projet'!$E$12+1,1))</f>
        <v>61.91827157428213</v>
      </c>
      <c r="CE41" s="62">
        <f t="shared" si="40"/>
        <v>358.41033295847001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59.884004573749131</v>
      </c>
      <c r="CL41" s="23">
        <f>EXP(-LN(2)/25)*CL40+(1-EXP(-LN(2)/25))/(LN(2)/25)*Calculateur!CG41*Calculateur!CI41*VLOOKUP('Données projet'!$B$12,Paramètres!$A$1:$I$89,3,0)*0.475*44/12</f>
        <v>13.884146583073777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73.76815115682291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>
        <f>CT41*VLOOKUP('Données projet'!$B$13,Paramètres!$A$1:$I$89,3,0)*VLOOKUP('Données projet'!$B$13,Paramètres!$A$1:$I$89,5,0)</f>
        <v>0</v>
      </c>
      <c r="CV41" s="14" t="e">
        <f t="shared" si="41"/>
        <v>#NUM!</v>
      </c>
      <c r="CW41" s="22" t="e">
        <f t="shared" si="13"/>
        <v>#NUM!</v>
      </c>
      <c r="CX41" s="62" t="e">
        <f t="shared" si="14"/>
        <v>#NUM!</v>
      </c>
      <c r="CY41" s="62">
        <f ca="1">AVERAGE(OFFSET($CX$3,0,0,'Données projet'!$E$13+1,1))-AVERAGE(OFFSET($H$3,0,0,'Données projet'!$E$13+1,1))</f>
        <v>66.561949299871912</v>
      </c>
      <c r="CZ41" s="62">
        <f t="shared" si="42"/>
        <v>382.65744918271389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63.797991800791557</v>
      </c>
      <c r="DG41" s="23">
        <f>EXP(-LN(2)/25)*DG40+(1-EXP(-LN(2)/25))/(LN(2)/25)*Calculateur!DB41*Calculateur!DD41*VLOOKUP('Données projet'!$B$13,Paramètres!$A$1:$I$89,3,0)*0.475*44/12</f>
        <v>14.791607144058995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78.58959894485055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>
        <f>DO41*VLOOKUP('Données projet'!$B$14,Paramètres!$A$1:$I$89,3,0)*VLOOKUP('Données projet'!$B$14,Paramètres!$A$1:$I$89,5,0)</f>
        <v>0</v>
      </c>
      <c r="DQ41" s="14" t="e">
        <f t="shared" si="43"/>
        <v>#NUM!</v>
      </c>
      <c r="DR41" s="22" t="e">
        <f t="shared" si="16"/>
        <v>#NUM!</v>
      </c>
      <c r="DS41" s="62" t="e">
        <f t="shared" si="17"/>
        <v>#NUM!</v>
      </c>
      <c r="DT41" s="62">
        <f ca="1">AVERAGE(OFFSET($DS$3,0,0,'Données projet'!$E$14+1,1))-AVERAGE(OFFSET($H$3,0,0,'Données projet'!$E$14+1,1))</f>
        <v>60.532656778089574</v>
      </c>
      <c r="DU41" s="62">
        <f t="shared" si="44"/>
        <v>348.96823267563025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58.361302693639466</v>
      </c>
      <c r="EB41" s="23">
        <f>EXP(-LN(2)/25)*EB40+(1-EXP(-LN(2)/25))/(LN(2)/25)*Calculateur!DW41*Calculateur!DY41*VLOOKUP('Données projet'!$B$14,Paramètres!$A$1:$I$89,3,0)*0.475*44/12</f>
        <v>13.531107131950765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71.892409825590235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19.955519999999989</v>
      </c>
      <c r="D42" s="12">
        <f t="shared" si="32"/>
        <v>6.4906437836625361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204.14582569844757</v>
      </c>
      <c r="H42" s="70">
        <f t="shared" si="1"/>
        <v>339.39373525654554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74.209918391015606</v>
      </c>
      <c r="T42" s="62">
        <f t="shared" si="34"/>
        <v>422.59746235438649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68.878392030458102</v>
      </c>
      <c r="AA42" s="23">
        <f>EXP(-LN(2)/25)*AA41+(1-EXP(-LN(2)/25))/(LN(2)/25)*Calculateur!V42*Calculateur!X42*VLOOKUP('Données projet'!$B$9,Paramètres!$A$1:$I$89,3,0)*0.475*44/12</f>
        <v>15.843495775817155</v>
      </c>
      <c r="AB42" s="23">
        <f>EXP(-LN(2)/2)*AB41+(1-EXP(-LN(2)/2))/(LN(2)/2)*V42*Y42*VLOOKUP('Données projet'!$B$9,Paramètres!$A$1:$I$89,3,0)*0.475*44/12</f>
        <v>0</v>
      </c>
      <c r="AC42" s="24">
        <f t="shared" si="3"/>
        <v>84.721887806275262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65.6337514911271</v>
      </c>
      <c r="AO42" s="62">
        <f t="shared" si="36"/>
        <v>377.81060908047425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61.779504829547378</v>
      </c>
      <c r="AV42" s="23">
        <f>EXP(-LN(2)/25)*AV41+(1-EXP(-LN(2)/25))/(LN(2)/25)*Calculateur!AQ42*Calculateur!AS42*VLOOKUP('Données projet'!$B$10,Paramètres!$A$1:$I$89,3,0)*0.475*44/12</f>
        <v>14.21060066800313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75.990105497550502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66.622529958850123</v>
      </c>
      <c r="BJ42" s="62">
        <f t="shared" si="38"/>
        <v>374.90853633180166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61.320087768192614</v>
      </c>
      <c r="BQ42" s="23">
        <f>EXP(-LN(2)/25)*BQ41+(1-EXP(-LN(2)/25))/(LN(2)/25)*Calculateur!BL42*Calculateur!BN42*VLOOKUP('Données projet'!$B$11,Paramètres!$A$1:$I$89,3,0)*0.475*44/12</f>
        <v>14.104924968319343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75.42501273651196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>
        <f>BY42*VLOOKUP('Données projet'!$B$12,Paramètres!$A$1:$I$89,3,0)*VLOOKUP('Données projet'!$B$12,Paramètres!$A$1:$I$89,5,0)</f>
        <v>0</v>
      </c>
      <c r="CA42" s="14" t="e">
        <f t="shared" si="39"/>
        <v>#NUM!</v>
      </c>
      <c r="CB42" s="22" t="e">
        <f t="shared" si="10"/>
        <v>#NUM!</v>
      </c>
      <c r="CC42" s="62" t="e">
        <f t="shared" si="11"/>
        <v>#NUM!</v>
      </c>
      <c r="CD42" s="62">
        <f ca="1">AVERAGE(OFFSET($CC$3,0,0,'Données projet'!$E$12+1,1))-AVERAGE(OFFSET($H$3,0,0,'Données projet'!$E$12+1,1))</f>
        <v>61.91827157428213</v>
      </c>
      <c r="CE42" s="62">
        <f t="shared" si="40"/>
        <v>358.41033295847001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58.709715769694093</v>
      </c>
      <c r="CL42" s="23">
        <f>EXP(-LN(2)/25)*CL41+(1-EXP(-LN(2)/25))/(LN(2)/25)*Calculateur!CG42*Calculateur!CI42*VLOOKUP('Données projet'!$B$12,Paramètres!$A$1:$I$89,3,0)*0.475*44/12</f>
        <v>13.504483864624088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72.214199634318177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>
        <f>CT42*VLOOKUP('Données projet'!$B$13,Paramètres!$A$1:$I$89,3,0)*VLOOKUP('Données projet'!$B$13,Paramètres!$A$1:$I$89,5,0)</f>
        <v>0</v>
      </c>
      <c r="CV42" s="14" t="e">
        <f t="shared" si="41"/>
        <v>#NUM!</v>
      </c>
      <c r="CW42" s="22" t="e">
        <f t="shared" si="13"/>
        <v>#NUM!</v>
      </c>
      <c r="CX42" s="62" t="e">
        <f t="shared" si="14"/>
        <v>#NUM!</v>
      </c>
      <c r="CY42" s="62">
        <f ca="1">AVERAGE(OFFSET($CX$3,0,0,'Données projet'!$E$13+1,1))-AVERAGE(OFFSET($H$3,0,0,'Données projet'!$E$13+1,1))</f>
        <v>66.561949299871912</v>
      </c>
      <c r="CZ42" s="62">
        <f t="shared" si="42"/>
        <v>382.65744918271389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62.546952094510701</v>
      </c>
      <c r="DG42" s="23">
        <f>EXP(-LN(2)/25)*DG41+(1-EXP(-LN(2)/25))/(LN(2)/25)*Calculateur!DB42*Calculateur!DD42*VLOOKUP('Données projet'!$B$13,Paramètres!$A$1:$I$89,3,0)*0.475*44/12</f>
        <v>14.387129868847889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76.934081963358594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>
        <f>DO42*VLOOKUP('Données projet'!$B$14,Paramètres!$A$1:$I$89,3,0)*VLOOKUP('Données projet'!$B$14,Paramètres!$A$1:$I$89,5,0)</f>
        <v>0</v>
      </c>
      <c r="DQ42" s="14" t="e">
        <f t="shared" si="43"/>
        <v>#NUM!</v>
      </c>
      <c r="DR42" s="22" t="e">
        <f t="shared" si="16"/>
        <v>#NUM!</v>
      </c>
      <c r="DS42" s="62" t="e">
        <f t="shared" si="17"/>
        <v>#NUM!</v>
      </c>
      <c r="DT42" s="62">
        <f ca="1">AVERAGE(OFFSET($DS$3,0,0,'Données projet'!$E$14+1,1))-AVERAGE(OFFSET($H$3,0,0,'Données projet'!$E$14+1,1))</f>
        <v>60.532656778089574</v>
      </c>
      <c r="DU42" s="62">
        <f t="shared" si="44"/>
        <v>348.96823267563025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57.21687314469694</v>
      </c>
      <c r="EB42" s="23">
        <f>EXP(-LN(2)/25)*EB41+(1-EXP(-LN(2)/25))/(LN(2)/25)*Calculateur!DW42*Calculateur!DY42*VLOOKUP('Données projet'!$B$14,Paramètres!$A$1:$I$89,3,0)*0.475*44/12</f>
        <v>13.161098295857574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70.377971440554518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20.467199999999988</v>
      </c>
      <c r="D43" s="12">
        <f t="shared" si="32"/>
        <v>6.6374810872223451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209.22911716452325</v>
      </c>
      <c r="H43" s="70">
        <f t="shared" si="1"/>
        <v>340.54065289357885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74.209918391015606</v>
      </c>
      <c r="T43" s="62">
        <f t="shared" si="34"/>
        <v>422.59746235438649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67.527728774411642</v>
      </c>
      <c r="AA43" s="23">
        <f>EXP(-LN(2)/25)*AA42+(1-EXP(-LN(2)/25))/(LN(2)/25)*Calculateur!V43*Calculateur!X43*VLOOKUP('Données projet'!$B$9,Paramètres!$A$1:$I$89,3,0)*0.475*44/12</f>
        <v>15.410254550654203</v>
      </c>
      <c r="AB43" s="23">
        <f>EXP(-LN(2)/2)*AB42+(1-EXP(-LN(2)/2))/(LN(2)/2)*V43*Y43*VLOOKUP('Données projet'!$B$9,Paramètres!$A$1:$I$89,3,0)*0.475*44/12</f>
        <v>0</v>
      </c>
      <c r="AC43" s="24">
        <f t="shared" si="3"/>
        <v>82.937983325065844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65.6337514911271</v>
      </c>
      <c r="AO43" s="62">
        <f t="shared" si="36"/>
        <v>377.81060908047425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60.568046421617133</v>
      </c>
      <c r="AV43" s="23">
        <f>EXP(-LN(2)/25)*AV42+(1-EXP(-LN(2)/25))/(LN(2)/25)*Calculateur!AQ43*Calculateur!AS43*VLOOKUP('Données projet'!$B$10,Paramètres!$A$1:$I$89,3,0)*0.475*44/12</f>
        <v>13.822011045433573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74.39005746705071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66.622529958850123</v>
      </c>
      <c r="BJ43" s="62">
        <f t="shared" si="38"/>
        <v>374.90853633180166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60.117638248618796</v>
      </c>
      <c r="BQ43" s="23">
        <f>EXP(-LN(2)/25)*BQ42+(1-EXP(-LN(2)/25))/(LN(2)/25)*Calculateur!BL43*Calculateur!BN43*VLOOKUP('Données projet'!$B$11,Paramètres!$A$1:$I$89,3,0)*0.475*44/12</f>
        <v>13.719225053314885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73.836863301933676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>
        <f>BY43*VLOOKUP('Données projet'!$B$12,Paramètres!$A$1:$I$89,3,0)*VLOOKUP('Données projet'!$B$12,Paramètres!$A$1:$I$89,5,0)</f>
        <v>0</v>
      </c>
      <c r="CA43" s="14" t="e">
        <f t="shared" si="39"/>
        <v>#NUM!</v>
      </c>
      <c r="CB43" s="22" t="e">
        <f t="shared" si="10"/>
        <v>#NUM!</v>
      </c>
      <c r="CC43" s="62" t="e">
        <f t="shared" si="11"/>
        <v>#NUM!</v>
      </c>
      <c r="CD43" s="62">
        <f ca="1">AVERAGE(OFFSET($CC$3,0,0,'Données projet'!$E$12+1,1))-AVERAGE(OFFSET($H$3,0,0,'Données projet'!$E$12+1,1))</f>
        <v>61.91827157428213</v>
      </c>
      <c r="CE43" s="62">
        <f t="shared" si="40"/>
        <v>358.41033295847001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57.558454052841128</v>
      </c>
      <c r="CL43" s="23">
        <f>EXP(-LN(2)/25)*CL42+(1-EXP(-LN(2)/25))/(LN(2)/25)*Calculateur!CG43*Calculateur!CI43*VLOOKUP('Données projet'!$B$12,Paramètres!$A$1:$I$89,3,0)*0.475*44/12</f>
        <v>13.135203043176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70.693657096017134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>
        <f>CT43*VLOOKUP('Données projet'!$B$13,Paramètres!$A$1:$I$89,3,0)*VLOOKUP('Données projet'!$B$13,Paramètres!$A$1:$I$89,5,0)</f>
        <v>0</v>
      </c>
      <c r="CV43" s="14" t="e">
        <f t="shared" si="41"/>
        <v>#NUM!</v>
      </c>
      <c r="CW43" s="22" t="e">
        <f t="shared" si="13"/>
        <v>#NUM!</v>
      </c>
      <c r="CX43" s="62" t="e">
        <f t="shared" si="14"/>
        <v>#NUM!</v>
      </c>
      <c r="CY43" s="62">
        <f ca="1">AVERAGE(OFFSET($CX$3,0,0,'Données projet'!$E$13+1,1))-AVERAGE(OFFSET($H$3,0,0,'Données projet'!$E$13+1,1))</f>
        <v>66.561949299871912</v>
      </c>
      <c r="CZ43" s="62">
        <f t="shared" si="42"/>
        <v>382.65744918271389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61.32044451381114</v>
      </c>
      <c r="DG43" s="23">
        <f>EXP(-LN(2)/25)*DG42+(1-EXP(-LN(2)/25))/(LN(2)/25)*Calculateur!DB43*Calculateur!DD43*VLOOKUP('Données projet'!$B$13,Paramètres!$A$1:$I$89,3,0)*0.475*44/12</f>
        <v>13.993713045997966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75.314157559809104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>
        <f>DO43*VLOOKUP('Données projet'!$B$14,Paramètres!$A$1:$I$89,3,0)*VLOOKUP('Données projet'!$B$14,Paramètres!$A$1:$I$89,5,0)</f>
        <v>0</v>
      </c>
      <c r="DQ43" s="14" t="e">
        <f t="shared" si="43"/>
        <v>#NUM!</v>
      </c>
      <c r="DR43" s="22" t="e">
        <f t="shared" si="16"/>
        <v>#NUM!</v>
      </c>
      <c r="DS43" s="62" t="e">
        <f t="shared" si="17"/>
        <v>#NUM!</v>
      </c>
      <c r="DT43" s="62">
        <f ca="1">AVERAGE(OFFSET($DS$3,0,0,'Données projet'!$E$14+1,1))-AVERAGE(OFFSET($H$3,0,0,'Données projet'!$E$14+1,1))</f>
        <v>60.532656778089574</v>
      </c>
      <c r="DU43" s="62">
        <f t="shared" si="44"/>
        <v>348.96823267563025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56.09488516117608</v>
      </c>
      <c r="EB43" s="23">
        <f>EXP(-LN(2)/25)*EB42+(1-EXP(-LN(2)/25))/(LN(2)/25)*Calculateur!DW43*Calculateur!DY43*VLOOKUP('Données projet'!$B$14,Paramètres!$A$1:$I$89,3,0)*0.475*44/12</f>
        <v>12.801207370845269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68.896092532021356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20.978879999999986</v>
      </c>
      <c r="D44" s="12">
        <f t="shared" si="32"/>
        <v>6.7838916683666852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214.30911463300586</v>
      </c>
      <c r="H44" s="70">
        <f t="shared" si="1"/>
        <v>341.68682732240529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74.209918391015606</v>
      </c>
      <c r="T44" s="62">
        <f t="shared" si="34"/>
        <v>422.59746235438649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66.203551200993019</v>
      </c>
      <c r="AA44" s="23">
        <f>EXP(-LN(2)/25)*AA43+(1-EXP(-LN(2)/25))/(LN(2)/25)*Calculateur!V44*Calculateur!X44*VLOOKUP('Données projet'!$B$9,Paramètres!$A$1:$I$89,3,0)*0.475*44/12</f>
        <v>14.988860329576498</v>
      </c>
      <c r="AB44" s="23">
        <f>EXP(-LN(2)/2)*AB43+(1-EXP(-LN(2)/2))/(LN(2)/2)*V44*Y44*VLOOKUP('Données projet'!$B$9,Paramètres!$A$1:$I$89,3,0)*0.475*44/12</f>
        <v>0</v>
      </c>
      <c r="AC44" s="24">
        <f t="shared" si="3"/>
        <v>81.192411530569515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65.6337514911271</v>
      </c>
      <c r="AO44" s="62">
        <f t="shared" si="36"/>
        <v>377.81060908047425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59.380343974149731</v>
      </c>
      <c r="AV44" s="23">
        <f>EXP(-LN(2)/25)*AV43+(1-EXP(-LN(2)/25))/(LN(2)/25)*Calculateur!AQ44*Calculateur!AS44*VLOOKUP('Données projet'!$B$10,Paramètres!$A$1:$I$89,3,0)*0.475*44/12</f>
        <v>13.444047426528222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72.824391400677953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66.622529958850123</v>
      </c>
      <c r="BJ44" s="62">
        <f t="shared" si="38"/>
        <v>374.90853633180166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58.938768030702036</v>
      </c>
      <c r="BQ44" s="23">
        <f>EXP(-LN(2)/25)*BQ43+(1-EXP(-LN(2)/25))/(LN(2)/25)*Calculateur!BL44*Calculateur!BN44*VLOOKUP('Données projet'!$B$11,Paramètres!$A$1:$I$89,3,0)*0.475*44/12</f>
        <v>13.344072122769299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72.282840153471341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>
        <f>BY44*VLOOKUP('Données projet'!$B$12,Paramètres!$A$1:$I$89,3,0)*VLOOKUP('Données projet'!$B$12,Paramètres!$A$1:$I$89,5,0)</f>
        <v>0</v>
      </c>
      <c r="CA44" s="14" t="e">
        <f t="shared" si="39"/>
        <v>#NUM!</v>
      </c>
      <c r="CB44" s="22" t="e">
        <f t="shared" si="10"/>
        <v>#NUM!</v>
      </c>
      <c r="CC44" s="62" t="e">
        <f t="shared" si="11"/>
        <v>#NUM!</v>
      </c>
      <c r="CD44" s="62">
        <f ca="1">AVERAGE(OFFSET($CC$3,0,0,'Données projet'!$E$12+1,1))-AVERAGE(OFFSET($H$3,0,0,'Données projet'!$E$12+1,1))</f>
        <v>61.91827157428213</v>
      </c>
      <c r="CE44" s="62">
        <f t="shared" si="40"/>
        <v>358.41033295847001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56.429767876055337</v>
      </c>
      <c r="CL44" s="23">
        <f>EXP(-LN(2)/25)*CL43+(1-EXP(-LN(2)/25))/(LN(2)/25)*Calculateur!CG44*Calculateur!CI44*VLOOKUP('Données projet'!$B$12,Paramètres!$A$1:$I$89,3,0)*0.475*44/12</f>
        <v>12.776020225210045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69.205788101265384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>
        <f>CT44*VLOOKUP('Données projet'!$B$13,Paramètres!$A$1:$I$89,3,0)*VLOOKUP('Données projet'!$B$13,Paramètres!$A$1:$I$89,5,0)</f>
        <v>0</v>
      </c>
      <c r="CV44" s="14" t="e">
        <f t="shared" si="41"/>
        <v>#NUM!</v>
      </c>
      <c r="CW44" s="22" t="e">
        <f t="shared" si="13"/>
        <v>#NUM!</v>
      </c>
      <c r="CX44" s="62" t="e">
        <f t="shared" si="14"/>
        <v>#NUM!</v>
      </c>
      <c r="CY44" s="62">
        <f ca="1">AVERAGE(OFFSET($CX$3,0,0,'Données projet'!$E$13+1,1))-AVERAGE(OFFSET($H$3,0,0,'Données projet'!$E$13+1,1))</f>
        <v>66.561949299871912</v>
      </c>
      <c r="CZ44" s="62">
        <f t="shared" si="42"/>
        <v>382.65744918271389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60.117987998673335</v>
      </c>
      <c r="DG44" s="23">
        <f>EXP(-LN(2)/25)*DG43+(1-EXP(-LN(2)/25))/(LN(2)/25)*Calculateur!DB44*Calculateur!DD44*VLOOKUP('Données projet'!$B$13,Paramètres!$A$1:$I$89,3,0)*0.475*44/12</f>
        <v>13.611054226857766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73.729042225531103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>
        <f>DO44*VLOOKUP('Données projet'!$B$14,Paramètres!$A$1:$I$89,3,0)*VLOOKUP('Données projet'!$B$14,Paramètres!$A$1:$I$89,5,0)</f>
        <v>0</v>
      </c>
      <c r="DQ44" s="14" t="e">
        <f t="shared" si="43"/>
        <v>#NUM!</v>
      </c>
      <c r="DR44" s="22" t="e">
        <f t="shared" si="16"/>
        <v>#NUM!</v>
      </c>
      <c r="DS44" s="62" t="e">
        <f t="shared" si="17"/>
        <v>#NUM!</v>
      </c>
      <c r="DT44" s="62">
        <f ca="1">AVERAGE(OFFSET($DS$3,0,0,'Données projet'!$E$14+1,1))-AVERAGE(OFFSET($H$3,0,0,'Données projet'!$E$14+1,1))</f>
        <v>60.532656778089574</v>
      </c>
      <c r="DU44" s="62">
        <f t="shared" si="44"/>
        <v>348.96823267563025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54.994898677666967</v>
      </c>
      <c r="EB44" s="23">
        <f>EXP(-LN(2)/25)*EB43+(1-EXP(-LN(2)/25))/(LN(2)/25)*Calculateur!DW44*Calculateur!DY44*VLOOKUP('Données projet'!$B$14,Paramètres!$A$1:$I$89,3,0)*0.475*44/12</f>
        <v>12.451157682103267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67.446056359770239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21.490559999999984</v>
      </c>
      <c r="D45" s="12">
        <f t="shared" si="32"/>
        <v>6.9298871322835565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219.38590768780281</v>
      </c>
      <c r="H45" s="70">
        <f t="shared" si="1"/>
        <v>342.83227875539382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74.209918391015606</v>
      </c>
      <c r="T45" s="62">
        <f t="shared" si="34"/>
        <v>422.59746235438649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64.905339942120563</v>
      </c>
      <c r="AA45" s="23">
        <f>EXP(-LN(2)/25)*AA44+(1-EXP(-LN(2)/25))/(LN(2)/25)*Calculateur!V45*Calculateur!X45*VLOOKUP('Données projet'!$B$9,Paramètres!$A$1:$I$89,3,0)*0.475*44/12</f>
        <v>14.578989155634321</v>
      </c>
      <c r="AB45" s="23">
        <f>EXP(-LN(2)/2)*AB44+(1-EXP(-LN(2)/2))/(LN(2)/2)*V45*Y45*VLOOKUP('Données projet'!$B$9,Paramètres!$A$1:$I$89,3,0)*0.475*44/12</f>
        <v>0</v>
      </c>
      <c r="AC45" s="24">
        <f t="shared" si="3"/>
        <v>79.48432909775488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65.6337514911271</v>
      </c>
      <c r="AO45" s="62">
        <f t="shared" si="36"/>
        <v>377.81060908047425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58.215931647250208</v>
      </c>
      <c r="AV45" s="23">
        <f>EXP(-LN(2)/25)*AV44+(1-EXP(-LN(2)/25))/(LN(2)/25)*Calculateur!AQ45*Calculateur!AS45*VLOOKUP('Données projet'!$B$10,Paramètres!$A$1:$I$89,3,0)*0.475*44/12</f>
        <v>13.07641924265808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71.292350889908292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66.622529958850123</v>
      </c>
      <c r="BJ45" s="62">
        <f t="shared" si="38"/>
        <v>374.90853633180166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57.783014738718791</v>
      </c>
      <c r="BQ45" s="23">
        <f>EXP(-LN(2)/25)*BQ44+(1-EXP(-LN(2)/25))/(LN(2)/25)*Calculateur!BL45*Calculateur!BN45*VLOOKUP('Données projet'!$B$11,Paramètres!$A$1:$I$89,3,0)*0.475*44/12</f>
        <v>12.979177768837918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70.762192507556705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>
        <f>BY45*VLOOKUP('Données projet'!$B$12,Paramètres!$A$1:$I$89,3,0)*VLOOKUP('Données projet'!$B$12,Paramètres!$A$1:$I$89,5,0)</f>
        <v>0</v>
      </c>
      <c r="CA45" s="14" t="e">
        <f t="shared" si="39"/>
        <v>#NUM!</v>
      </c>
      <c r="CB45" s="22" t="e">
        <f t="shared" si="10"/>
        <v>#NUM!</v>
      </c>
      <c r="CC45" s="62" t="e">
        <f t="shared" si="11"/>
        <v>#NUM!</v>
      </c>
      <c r="CD45" s="62">
        <f ca="1">AVERAGE(OFFSET($CC$3,0,0,'Données projet'!$E$12+1,1))-AVERAGE(OFFSET($H$3,0,0,'Données projet'!$E$12+1,1))</f>
        <v>61.91827157428213</v>
      </c>
      <c r="CE45" s="62">
        <f t="shared" si="40"/>
        <v>358.41033295847001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55.323214546765726</v>
      </c>
      <c r="CL45" s="23">
        <f>EXP(-LN(2)/25)*CL44+(1-EXP(-LN(2)/25))/(LN(2)/25)*Calculateur!CG45*Calculateur!CI45*VLOOKUP('Données projet'!$B$12,Paramètres!$A$1:$I$89,3,0)*0.475*44/12</f>
        <v>12.426659280289973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67.749873827055694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>
        <f>CT45*VLOOKUP('Données projet'!$B$13,Paramètres!$A$1:$I$89,3,0)*VLOOKUP('Données projet'!$B$13,Paramètres!$A$1:$I$89,5,0)</f>
        <v>0</v>
      </c>
      <c r="CV45" s="14" t="e">
        <f t="shared" si="41"/>
        <v>#NUM!</v>
      </c>
      <c r="CW45" s="22" t="e">
        <f t="shared" si="13"/>
        <v>#NUM!</v>
      </c>
      <c r="CX45" s="62" t="e">
        <f t="shared" si="14"/>
        <v>#NUM!</v>
      </c>
      <c r="CY45" s="62">
        <f ca="1">AVERAGE(OFFSET($CX$3,0,0,'Données projet'!$E$13+1,1))-AVERAGE(OFFSET($H$3,0,0,'Données projet'!$E$13+1,1))</f>
        <v>66.561949299871912</v>
      </c>
      <c r="CZ45" s="62">
        <f t="shared" si="42"/>
        <v>382.65744918271389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58.939110922371334</v>
      </c>
      <c r="DG45" s="23">
        <f>EXP(-LN(2)/25)*DG44+(1-EXP(-LN(2)/25))/(LN(2)/25)*Calculateur!DB45*Calculateur!DD45*VLOOKUP('Données projet'!$B$13,Paramètres!$A$1:$I$89,3,0)*0.475*44/12</f>
        <v>13.238859233250107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72.177970155621438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>
        <f>DO45*VLOOKUP('Données projet'!$B$14,Paramètres!$A$1:$I$89,3,0)*VLOOKUP('Données projet'!$B$14,Paramètres!$A$1:$I$89,5,0)</f>
        <v>0</v>
      </c>
      <c r="DQ45" s="14" t="e">
        <f t="shared" si="43"/>
        <v>#NUM!</v>
      </c>
      <c r="DR45" s="22" t="e">
        <f t="shared" si="16"/>
        <v>#NUM!</v>
      </c>
      <c r="DS45" s="62" t="e">
        <f t="shared" si="17"/>
        <v>#NUM!</v>
      </c>
      <c r="DT45" s="62">
        <f ca="1">AVERAGE(OFFSET($DS$3,0,0,'Données projet'!$E$14+1,1))-AVERAGE(OFFSET($H$3,0,0,'Données projet'!$E$14+1,1))</f>
        <v>60.532656778089574</v>
      </c>
      <c r="DU45" s="62">
        <f t="shared" si="44"/>
        <v>348.96823267563025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53.916482258173957</v>
      </c>
      <c r="EB45" s="23">
        <f>EXP(-LN(2)/25)*EB44+(1-EXP(-LN(2)/25))/(LN(2)/25)*Calculateur!DW45*Calculateur!DY45*VLOOKUP('Données projet'!$B$14,Paramètres!$A$1:$I$89,3,0)*0.475*44/12</f>
        <v>12.110680120508228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66.027162378682192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22.002239999999983</v>
      </c>
      <c r="D46" s="12">
        <f t="shared" si="32"/>
        <v>7.0754785000134275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224.4595814036123</v>
      </c>
      <c r="H46" s="70">
        <f t="shared" si="1"/>
        <v>343.97702638752332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74.209918391015606</v>
      </c>
      <c r="T46" s="62">
        <f t="shared" si="34"/>
        <v>422.59746235438649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63.632585814203921</v>
      </c>
      <c r="AA46" s="23">
        <f>EXP(-LN(2)/25)*AA45+(1-EXP(-LN(2)/25))/(LN(2)/25)*Calculateur!V46*Calculateur!X46*VLOOKUP('Données projet'!$B$9,Paramètres!$A$1:$I$89,3,0)*0.475*44/12</f>
        <v>14.180325930497782</v>
      </c>
      <c r="AB46" s="23">
        <f>EXP(-LN(2)/2)*AB45+(1-EXP(-LN(2)/2))/(LN(2)/2)*V46*Y46*VLOOKUP('Données projet'!$B$9,Paramètres!$A$1:$I$89,3,0)*0.475*44/12</f>
        <v>0</v>
      </c>
      <c r="AC46" s="24">
        <f t="shared" si="3"/>
        <v>77.812911744701708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65.6337514911271</v>
      </c>
      <c r="AO46" s="62">
        <f t="shared" si="36"/>
        <v>377.81060908047425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57.07435273585979</v>
      </c>
      <c r="AV46" s="23">
        <f>EXP(-LN(2)/25)*AV45+(1-EXP(-LN(2)/25))/(LN(2)/25)*Calculateur!AQ46*Calculateur!AS46*VLOOKUP('Données projet'!$B$10,Paramètres!$A$1:$I$89,3,0)*0.475*44/12</f>
        <v>12.718843870808593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69.793196606668388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66.622529958850123</v>
      </c>
      <c r="BJ46" s="62">
        <f t="shared" si="38"/>
        <v>374.90853633180166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56.649925063851434</v>
      </c>
      <c r="BQ46" s="23">
        <f>EXP(-LN(2)/25)*BQ45+(1-EXP(-LN(2)/25))/(LN(2)/25)*Calculateur!BL46*Calculateur!BN46*VLOOKUP('Données projet'!$B$11,Paramètres!$A$1:$I$89,3,0)*0.475*44/12</f>
        <v>12.62426147020375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69.27418653405519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>
        <f>BY46*VLOOKUP('Données projet'!$B$12,Paramètres!$A$1:$I$89,3,0)*VLOOKUP('Données projet'!$B$12,Paramètres!$A$1:$I$89,5,0)</f>
        <v>0</v>
      </c>
      <c r="CA46" s="14" t="e">
        <f t="shared" si="39"/>
        <v>#NUM!</v>
      </c>
      <c r="CB46" s="22" t="e">
        <f t="shared" si="10"/>
        <v>#NUM!</v>
      </c>
      <c r="CC46" s="62" t="e">
        <f t="shared" si="11"/>
        <v>#NUM!</v>
      </c>
      <c r="CD46" s="62">
        <f ca="1">AVERAGE(OFFSET($CC$3,0,0,'Données projet'!$E$12+1,1))-AVERAGE(OFFSET($H$3,0,0,'Données projet'!$E$12+1,1))</f>
        <v>61.91827157428213</v>
      </c>
      <c r="CE46" s="62">
        <f t="shared" si="40"/>
        <v>358.41033295847001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54.238360053332599</v>
      </c>
      <c r="CL46" s="23">
        <f>EXP(-LN(2)/25)*CL45+(1-EXP(-LN(2)/25))/(LN(2)/25)*Calculateur!CG46*Calculateur!CI46*VLOOKUP('Données projet'!$B$12,Paramètres!$A$1:$I$89,3,0)*0.475*44/12</f>
        <v>12.086851628780835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66.325211682113434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>
        <f>CT46*VLOOKUP('Données projet'!$B$13,Paramètres!$A$1:$I$89,3,0)*VLOOKUP('Données projet'!$B$13,Paramètres!$A$1:$I$89,5,0)</f>
        <v>0</v>
      </c>
      <c r="CV46" s="14" t="e">
        <f t="shared" si="41"/>
        <v>#NUM!</v>
      </c>
      <c r="CW46" s="22" t="e">
        <f t="shared" si="13"/>
        <v>#NUM!</v>
      </c>
      <c r="CX46" s="62" t="e">
        <f t="shared" si="14"/>
        <v>#NUM!</v>
      </c>
      <c r="CY46" s="62">
        <f ca="1">AVERAGE(OFFSET($CX$3,0,0,'Données projet'!$E$13+1,1))-AVERAGE(OFFSET($H$3,0,0,'Données projet'!$E$13+1,1))</f>
        <v>66.561949299871912</v>
      </c>
      <c r="CZ46" s="62">
        <f t="shared" si="42"/>
        <v>382.65744918271389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57.783350906491599</v>
      </c>
      <c r="DG46" s="23">
        <f>EXP(-LN(2)/25)*DG45+(1-EXP(-LN(2)/25))/(LN(2)/25)*Calculateur!DB46*Calculateur!DD46*VLOOKUP('Données projet'!$B$13,Paramètres!$A$1:$I$89,3,0)*0.475*44/12</f>
        <v>12.876841931315534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70.660192837807131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>
        <f>DO46*VLOOKUP('Données projet'!$B$14,Paramètres!$A$1:$I$89,3,0)*VLOOKUP('Données projet'!$B$14,Paramètres!$A$1:$I$89,5,0)</f>
        <v>0</v>
      </c>
      <c r="DQ46" s="14" t="e">
        <f t="shared" si="43"/>
        <v>#NUM!</v>
      </c>
      <c r="DR46" s="22" t="e">
        <f t="shared" si="16"/>
        <v>#NUM!</v>
      </c>
      <c r="DS46" s="62" t="e">
        <f t="shared" si="17"/>
        <v>#NUM!</v>
      </c>
      <c r="DT46" s="62">
        <f ca="1">AVERAGE(OFFSET($DS$3,0,0,'Données projet'!$E$14+1,1))-AVERAGE(OFFSET($H$3,0,0,'Données projet'!$E$14+1,1))</f>
        <v>60.532656778089574</v>
      </c>
      <c r="DU46" s="62">
        <f t="shared" si="44"/>
        <v>348.96823267563025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52.859212926898138</v>
      </c>
      <c r="EB46" s="23">
        <f>EXP(-LN(2)/25)*EB45+(1-EXP(-LN(2)/25))/(LN(2)/25)*Calculateur!DW46*Calculateur!DY46*VLOOKUP('Données projet'!$B$14,Paramètres!$A$1:$I$89,3,0)*0.475*44/12</f>
        <v>11.779512935739943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64.638725862638083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22.513919999999981</v>
      </c>
      <c r="D47" s="12">
        <f t="shared" si="32"/>
        <v>7.2206762507430744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229.53021667240253</v>
      </c>
      <c r="H47" s="70">
        <f t="shared" si="1"/>
        <v>345.12108847004413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74.209918391015606</v>
      </c>
      <c r="T47" s="62">
        <f t="shared" si="34"/>
        <v>422.59746235438649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62.384789618432357</v>
      </c>
      <c r="AA47" s="23">
        <f>EXP(-LN(2)/25)*AA46+(1-EXP(-LN(2)/25))/(LN(2)/25)*Calculateur!V47*Calculateur!X47*VLOOKUP('Données projet'!$B$9,Paramètres!$A$1:$I$89,3,0)*0.475*44/12</f>
        <v>13.792564172217389</v>
      </c>
      <c r="AB47" s="23">
        <f>EXP(-LN(2)/2)*AB46+(1-EXP(-LN(2)/2))/(LN(2)/2)*V47*Y47*VLOOKUP('Données projet'!$B$9,Paramètres!$A$1:$I$89,3,0)*0.475*44/12</f>
        <v>0</v>
      </c>
      <c r="AC47" s="24">
        <f t="shared" si="3"/>
        <v>76.177353790649747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65.6337514911271</v>
      </c>
      <c r="AO47" s="62">
        <f t="shared" si="36"/>
        <v>377.81060908047425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55.955159490627359</v>
      </c>
      <c r="AV47" s="23">
        <f>EXP(-LN(2)/25)*AV46+(1-EXP(-LN(2)/25))/(LN(2)/25)*Calculateur!AQ47*Calculateur!AS47*VLOOKUP('Données projet'!$B$10,Paramètres!$A$1:$I$89,3,0)*0.475*44/12</f>
        <v>12.371046416306402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68.326205906933765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66.622529958850123</v>
      </c>
      <c r="BJ47" s="62">
        <f t="shared" si="38"/>
        <v>374.90853633180166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55.539054586391764</v>
      </c>
      <c r="BQ47" s="23">
        <f>EXP(-LN(2)/25)*BQ46+(1-EXP(-LN(2)/25))/(LN(2)/25)*Calculateur!BL47*Calculateur!BN47*VLOOKUP('Données projet'!$B$11,Paramètres!$A$1:$I$89,3,0)*0.475*44/12</f>
        <v>12.279050376419971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67.818104962811731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>
        <f>BY47*VLOOKUP('Données projet'!$B$12,Paramètres!$A$1:$I$89,3,0)*VLOOKUP('Données projet'!$B$12,Paramètres!$A$1:$I$89,5,0)</f>
        <v>0</v>
      </c>
      <c r="CA47" s="14" t="e">
        <f t="shared" si="39"/>
        <v>#NUM!</v>
      </c>
      <c r="CB47" s="22" t="e">
        <f t="shared" si="10"/>
        <v>#NUM!</v>
      </c>
      <c r="CC47" s="62" t="e">
        <f t="shared" si="11"/>
        <v>#NUM!</v>
      </c>
      <c r="CD47" s="62">
        <f ca="1">AVERAGE(OFFSET($CC$3,0,0,'Données projet'!$E$12+1,1))-AVERAGE(OFFSET($H$3,0,0,'Données projet'!$E$12+1,1))</f>
        <v>61.91827157428213</v>
      </c>
      <c r="CE47" s="62">
        <f t="shared" si="40"/>
        <v>358.41033295847001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53.174778894819788</v>
      </c>
      <c r="CL47" s="23">
        <f>EXP(-LN(2)/25)*CL46+(1-EXP(-LN(2)/25))/(LN(2)/25)*Calculateur!CG47*Calculateur!CI47*VLOOKUP('Données projet'!$B$12,Paramètres!$A$1:$I$89,3,0)*0.475*44/12</f>
        <v>11.75633603537192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64.931114930191711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>
        <f>CT47*VLOOKUP('Données projet'!$B$13,Paramètres!$A$1:$I$89,3,0)*VLOOKUP('Données projet'!$B$13,Paramètres!$A$1:$I$89,5,0)</f>
        <v>0</v>
      </c>
      <c r="CV47" s="14" t="e">
        <f t="shared" si="41"/>
        <v>#NUM!</v>
      </c>
      <c r="CW47" s="22" t="e">
        <f t="shared" si="13"/>
        <v>#NUM!</v>
      </c>
      <c r="CX47" s="62" t="e">
        <f t="shared" si="14"/>
        <v>#NUM!</v>
      </c>
      <c r="CY47" s="62">
        <f ca="1">AVERAGE(OFFSET($CX$3,0,0,'Données projet'!$E$13+1,1))-AVERAGE(OFFSET($H$3,0,0,'Données projet'!$E$13+1,1))</f>
        <v>66.561949299871912</v>
      </c>
      <c r="CZ47" s="62">
        <f t="shared" si="42"/>
        <v>382.65744918271389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56.650254639579259</v>
      </c>
      <c r="DG47" s="23">
        <f>EXP(-LN(2)/25)*DG46+(1-EXP(-LN(2)/25))/(LN(2)/25)*Calculateur!DB47*Calculateur!DD47*VLOOKUP('Données projet'!$B$13,Paramètres!$A$1:$I$89,3,0)*0.475*44/12</f>
        <v>12.524724011540023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69.174978651119289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>
        <f>DO47*VLOOKUP('Données projet'!$B$14,Paramètres!$A$1:$I$89,3,0)*VLOOKUP('Données projet'!$B$14,Paramètres!$A$1:$I$89,5,0)</f>
        <v>0</v>
      </c>
      <c r="DQ47" s="14" t="e">
        <f t="shared" si="43"/>
        <v>#NUM!</v>
      </c>
      <c r="DR47" s="22" t="e">
        <f t="shared" si="16"/>
        <v>#NUM!</v>
      </c>
      <c r="DS47" s="62" t="e">
        <f t="shared" si="17"/>
        <v>#NUM!</v>
      </c>
      <c r="DT47" s="62">
        <f ca="1">AVERAGE(OFFSET($DS$3,0,0,'Données projet'!$E$14+1,1))-AVERAGE(OFFSET($H$3,0,0,'Données projet'!$E$14+1,1))</f>
        <v>60.532656778089574</v>
      </c>
      <c r="DU47" s="62">
        <f t="shared" si="44"/>
        <v>348.96823267563025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51.822676002338021</v>
      </c>
      <c r="EB47" s="23">
        <f>EXP(-LN(2)/25)*EB46+(1-EXP(-LN(2)/25))/(LN(2)/25)*Calculateur!DW47*Calculateur!DY47*VLOOKUP('Données projet'!$B$14,Paramètres!$A$1:$I$89,3,0)*0.475*44/12</f>
        <v>11.457401535054471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63.280077537392494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23.025599999999979</v>
      </c>
      <c r="D48" s="12">
        <f t="shared" si="32"/>
        <v>7.3654903601461541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234.59789049937368</v>
      </c>
      <c r="H48" s="70">
        <f t="shared" si="1"/>
        <v>346.26448237725447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74.209918391015606</v>
      </c>
      <c r="T48" s="62">
        <f t="shared" si="34"/>
        <v>422.59746235438649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61.161461944979344</v>
      </c>
      <c r="AA48" s="23">
        <f>EXP(-LN(2)/25)*AA47+(1-EXP(-LN(2)/25))/(LN(2)/25)*Calculateur!V48*Calculateur!X48*VLOOKUP('Données projet'!$B$9,Paramètres!$A$1:$I$89,3,0)*0.475*44/12</f>
        <v>13.415405779608678</v>
      </c>
      <c r="AB48" s="23">
        <f>EXP(-LN(2)/2)*AB47+(1-EXP(-LN(2)/2))/(LN(2)/2)*V48*Y48*VLOOKUP('Données projet'!$B$9,Paramètres!$A$1:$I$89,3,0)*0.475*44/12</f>
        <v>0</v>
      </c>
      <c r="AC48" s="24">
        <f t="shared" si="3"/>
        <v>74.576867724588027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65.6337514911271</v>
      </c>
      <c r="AO48" s="62">
        <f t="shared" si="36"/>
        <v>377.81060908047425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54.85791294229346</v>
      </c>
      <c r="AV48" s="23">
        <f>EXP(-LN(2)/25)*AV47+(1-EXP(-LN(2)/25))/(LN(2)/25)*Calculateur!AQ48*Calculateur!AS48*VLOOKUP('Données projet'!$B$10,Paramètres!$A$1:$I$89,3,0)*0.475*44/12</f>
        <v>12.032759501487448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66.890672443780915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66.622529958850123</v>
      </c>
      <c r="BJ48" s="62">
        <f t="shared" si="38"/>
        <v>374.90853633180166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54.449967601430991</v>
      </c>
      <c r="BQ48" s="23">
        <f>EXP(-LN(2)/25)*BQ47+(1-EXP(-LN(2)/25))/(LN(2)/25)*Calculateur!BL48*Calculateur!BN48*VLOOKUP('Données projet'!$B$11,Paramètres!$A$1:$I$89,3,0)*0.475*44/12</f>
        <v>11.943279098149571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66.393246699580558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>
        <f>BY48*VLOOKUP('Données projet'!$B$12,Paramètres!$A$1:$I$89,3,0)*VLOOKUP('Données projet'!$B$12,Paramètres!$A$1:$I$89,5,0)</f>
        <v>0</v>
      </c>
      <c r="CA48" s="14" t="e">
        <f t="shared" si="39"/>
        <v>#NUM!</v>
      </c>
      <c r="CB48" s="22" t="e">
        <f t="shared" si="10"/>
        <v>#NUM!</v>
      </c>
      <c r="CC48" s="62" t="e">
        <f t="shared" si="11"/>
        <v>#NUM!</v>
      </c>
      <c r="CD48" s="62">
        <f ca="1">AVERAGE(OFFSET($CC$3,0,0,'Données projet'!$E$12+1,1))-AVERAGE(OFFSET($H$3,0,0,'Données projet'!$E$12+1,1))</f>
        <v>61.91827157428213</v>
      </c>
      <c r="CE48" s="62">
        <f t="shared" si="40"/>
        <v>358.41033295847001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52.132053914104965</v>
      </c>
      <c r="CL48" s="23">
        <f>EXP(-LN(2)/25)*CL47+(1-EXP(-LN(2)/25))/(LN(2)/25)*Calculateur!CG48*Calculateur!CI48*VLOOKUP('Données projet'!$B$12,Paramètres!$A$1:$I$89,3,0)*0.475*44/12</f>
        <v>11.434858408245832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63.566912322350795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>
        <f>CT48*VLOOKUP('Données projet'!$B$13,Paramètres!$A$1:$I$89,3,0)*VLOOKUP('Données projet'!$B$13,Paramètres!$A$1:$I$89,5,0)</f>
        <v>0</v>
      </c>
      <c r="CV48" s="14" t="e">
        <f t="shared" si="41"/>
        <v>#NUM!</v>
      </c>
      <c r="CW48" s="22" t="e">
        <f t="shared" si="13"/>
        <v>#NUM!</v>
      </c>
      <c r="CX48" s="62" t="e">
        <f t="shared" si="14"/>
        <v>#NUM!</v>
      </c>
      <c r="CY48" s="62">
        <f ca="1">AVERAGE(OFFSET($CX$3,0,0,'Données projet'!$E$13+1,1))-AVERAGE(OFFSET($H$3,0,0,'Données projet'!$E$13+1,1))</f>
        <v>66.561949299871912</v>
      </c>
      <c r="CZ48" s="62">
        <f t="shared" si="42"/>
        <v>382.65744918271389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55.539377699340591</v>
      </c>
      <c r="DG48" s="23">
        <f>EXP(-LN(2)/25)*DG47+(1-EXP(-LN(2)/25))/(LN(2)/25)*Calculateur!DB48*Calculateur!DD48*VLOOKUP('Données projet'!$B$13,Paramètres!$A$1:$I$89,3,0)*0.475*44/12</f>
        <v>12.182234774797852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67.721612474138439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>
        <f>DO48*VLOOKUP('Données projet'!$B$14,Paramètres!$A$1:$I$89,3,0)*VLOOKUP('Données projet'!$B$14,Paramètres!$A$1:$I$89,5,0)</f>
        <v>0</v>
      </c>
      <c r="DQ48" s="14" t="e">
        <f t="shared" si="43"/>
        <v>#NUM!</v>
      </c>
      <c r="DR48" s="22" t="e">
        <f t="shared" si="16"/>
        <v>#NUM!</v>
      </c>
      <c r="DS48" s="62" t="e">
        <f t="shared" si="17"/>
        <v>#NUM!</v>
      </c>
      <c r="DT48" s="62">
        <f ca="1">AVERAGE(OFFSET($DS$3,0,0,'Données projet'!$E$14+1,1))-AVERAGE(OFFSET($H$3,0,0,'Données projet'!$E$14+1,1))</f>
        <v>60.532656778089574</v>
      </c>
      <c r="DU48" s="62">
        <f t="shared" si="44"/>
        <v>348.96823267563025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50.806464934643429</v>
      </c>
      <c r="EB48" s="23">
        <f>EXP(-LN(2)/25)*EB47+(1-EXP(-LN(2)/25))/(LN(2)/25)*Calculateur!DW48*Calculateur!DY48*VLOOKUP('Données projet'!$B$14,Paramètres!$A$1:$I$89,3,0)*0.475*44/12</f>
        <v>11.144098287559846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61.950563222203272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23.537279999999978</v>
      </c>
      <c r="D49" s="12">
        <f t="shared" si="32"/>
        <v>7.509930335219595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239.6626762718704</v>
      </c>
      <c r="H49" s="70">
        <f t="shared" si="1"/>
        <v>347.40722466717409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74.209918391015606</v>
      </c>
      <c r="T49" s="62">
        <f t="shared" si="34"/>
        <v>422.59746235438649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59.962122981046541</v>
      </c>
      <c r="AA49" s="23">
        <f>EXP(-LN(2)/25)*AA48+(1-EXP(-LN(2)/25))/(LN(2)/25)*Calculateur!V49*Calculateur!X49*VLOOKUP('Données projet'!$B$9,Paramètres!$A$1:$I$89,3,0)*0.475*44/12</f>
        <v>13.04856080307975</v>
      </c>
      <c r="AB49" s="23">
        <f>EXP(-LN(2)/2)*AB48+(1-EXP(-LN(2)/2))/(LN(2)/2)*V49*Y49*VLOOKUP('Données projet'!$B$9,Paramètres!$A$1:$I$89,3,0)*0.475*44/12</f>
        <v>0</v>
      </c>
      <c r="AC49" s="24">
        <f t="shared" si="3"/>
        <v>73.010683784126286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65.6337514911271</v>
      </c>
      <c r="AO49" s="62">
        <f t="shared" si="36"/>
        <v>377.81060908047425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53.782182729518077</v>
      </c>
      <c r="AV49" s="23">
        <f>EXP(-LN(2)/25)*AV48+(1-EXP(-LN(2)/25))/(LN(2)/25)*Calculateur!AQ49*Calculateur!AS49*VLOOKUP('Données projet'!$B$10,Paramètres!$A$1:$I$89,3,0)*0.475*44/12</f>
        <v>11.703723060143952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65.485905789662027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66.622529958850123</v>
      </c>
      <c r="BJ49" s="62">
        <f t="shared" si="38"/>
        <v>374.90853633180166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53.382236947967833</v>
      </c>
      <c r="BQ49" s="23">
        <f>EXP(-LN(2)/25)*BQ48+(1-EXP(-LN(2)/25))/(LN(2)/25)*Calculateur!BL49*Calculateur!BN49*VLOOKUP('Données projet'!$B$11,Paramètres!$A$1:$I$89,3,0)*0.475*44/12</f>
        <v>11.61668950314092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64.998926451108758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>
        <f>BY49*VLOOKUP('Données projet'!$B$12,Paramètres!$A$1:$I$89,3,0)*VLOOKUP('Données projet'!$B$12,Paramètres!$A$1:$I$89,5,0)</f>
        <v>0</v>
      </c>
      <c r="CA49" s="14" t="e">
        <f t="shared" si="39"/>
        <v>#NUM!</v>
      </c>
      <c r="CB49" s="22" t="e">
        <f t="shared" si="10"/>
        <v>#NUM!</v>
      </c>
      <c r="CC49" s="62" t="e">
        <f t="shared" si="11"/>
        <v>#NUM!</v>
      </c>
      <c r="CD49" s="62">
        <f ca="1">AVERAGE(OFFSET($CC$3,0,0,'Données projet'!$E$12+1,1))-AVERAGE(OFFSET($H$3,0,0,'Données projet'!$E$12+1,1))</f>
        <v>61.91827157428213</v>
      </c>
      <c r="CE49" s="62">
        <f t="shared" si="40"/>
        <v>358.41033295847001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51.109776134262518</v>
      </c>
      <c r="CL49" s="23">
        <f>EXP(-LN(2)/25)*CL48+(1-EXP(-LN(2)/25))/(LN(2)/25)*Calculateur!CG49*Calculateur!CI49*VLOOKUP('Données projet'!$B$12,Paramètres!$A$1:$I$89,3,0)*0.475*44/12</f>
        <v>11.122171603739281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62.2319477380018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>
        <f>CT49*VLOOKUP('Données projet'!$B$13,Paramètres!$A$1:$I$89,3,0)*VLOOKUP('Données projet'!$B$13,Paramètres!$A$1:$I$89,5,0)</f>
        <v>0</v>
      </c>
      <c r="CV49" s="14" t="e">
        <f t="shared" si="41"/>
        <v>#NUM!</v>
      </c>
      <c r="CW49" s="22" t="e">
        <f t="shared" si="13"/>
        <v>#NUM!</v>
      </c>
      <c r="CX49" s="62" t="e">
        <f t="shared" si="14"/>
        <v>#NUM!</v>
      </c>
      <c r="CY49" s="62">
        <f ca="1">AVERAGE(OFFSET($CX$3,0,0,'Données projet'!$E$13+1,1))-AVERAGE(OFFSET($H$3,0,0,'Données projet'!$E$13+1,1))</f>
        <v>66.561949299871912</v>
      </c>
      <c r="CZ49" s="62">
        <f t="shared" si="42"/>
        <v>382.65744918271389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54.450284378331972</v>
      </c>
      <c r="DG49" s="23">
        <f>EXP(-LN(2)/25)*DG48+(1-EXP(-LN(2)/25))/(LN(2)/25)*Calculateur!DB49*Calculateur!DD49*VLOOKUP('Données projet'!$B$13,Paramètres!$A$1:$I$89,3,0)*0.475*44/12</f>
        <v>11.849110924245121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66.299395302577096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>
        <f>DO49*VLOOKUP('Données projet'!$B$14,Paramètres!$A$1:$I$89,3,0)*VLOOKUP('Données projet'!$B$14,Paramètres!$A$1:$I$89,5,0)</f>
        <v>0</v>
      </c>
      <c r="DQ49" s="14" t="e">
        <f t="shared" si="43"/>
        <v>#NUM!</v>
      </c>
      <c r="DR49" s="22" t="e">
        <f t="shared" si="16"/>
        <v>#NUM!</v>
      </c>
      <c r="DS49" s="62" t="e">
        <f t="shared" si="17"/>
        <v>#NUM!</v>
      </c>
      <c r="DT49" s="62">
        <f ca="1">AVERAGE(OFFSET($DS$3,0,0,'Données projet'!$E$14+1,1))-AVERAGE(OFFSET($H$3,0,0,'Données projet'!$E$14+1,1))</f>
        <v>60.532656778089574</v>
      </c>
      <c r="DU49" s="62">
        <f t="shared" si="44"/>
        <v>348.96823267563025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49.810181146158783</v>
      </c>
      <c r="EB49" s="23">
        <f>EXP(-LN(2)/25)*EB48+(1-EXP(-LN(2)/25))/(LN(2)/25)*Calculateur!DW49*Calculateur!DY49*VLOOKUP('Données projet'!$B$14,Paramètres!$A$1:$I$89,3,0)*0.475*44/12</f>
        <v>10.839362333843862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60.649543480002649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24.048959999999976</v>
      </c>
      <c r="D50" s="12">
        <f t="shared" si="32"/>
        <v>7.6540052460053554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244.7246440042517</v>
      </c>
      <c r="H50" s="70">
        <f t="shared" si="1"/>
        <v>348.5493311367926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74.209918391015606</v>
      </c>
      <c r="T50" s="62">
        <f t="shared" si="34"/>
        <v>422.59746235438649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58.786302322671922</v>
      </c>
      <c r="AA50" s="23">
        <f>EXP(-LN(2)/25)*AA49+(1-EXP(-LN(2)/25))/(LN(2)/25)*Calculateur!V50*Calculateur!X50*VLOOKUP('Données projet'!$B$9,Paramètres!$A$1:$I$89,3,0)*0.475*44/12</f>
        <v>12.691747221725544</v>
      </c>
      <c r="AB50" s="23">
        <f>EXP(-LN(2)/2)*AB49+(1-EXP(-LN(2)/2))/(LN(2)/2)*V50*Y50*VLOOKUP('Données projet'!$B$9,Paramètres!$A$1:$I$89,3,0)*0.475*44/12</f>
        <v>0</v>
      </c>
      <c r="AC50" s="24">
        <f t="shared" si="3"/>
        <v>71.478049544397464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65.6337514911271</v>
      </c>
      <c r="AO50" s="62">
        <f t="shared" si="36"/>
        <v>377.81060908047425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52.727546930084578</v>
      </c>
      <c r="AV50" s="23">
        <f>EXP(-LN(2)/25)*AV49+(1-EXP(-LN(2)/25))/(LN(2)/25)*Calculateur!AQ50*Calculateur!AS50*VLOOKUP('Données projet'!$B$10,Paramètres!$A$1:$I$89,3,0)*0.475*44/12</f>
        <v>11.383684137592269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64.11123106767684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66.622529958850123</v>
      </c>
      <c r="BJ50" s="62">
        <f t="shared" si="38"/>
        <v>374.90853633180166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52.335443841367692</v>
      </c>
      <c r="BQ50" s="23">
        <f>EXP(-LN(2)/25)*BQ49+(1-EXP(-LN(2)/25))/(LN(2)/25)*Calculateur!BL50*Calculateur!BN50*VLOOKUP('Données projet'!$B$11,Paramètres!$A$1:$I$89,3,0)*0.475*44/12</f>
        <v>11.299030517782381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63.634474359150076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>
        <f>BY50*VLOOKUP('Données projet'!$B$12,Paramètres!$A$1:$I$89,3,0)*VLOOKUP('Données projet'!$B$12,Paramètres!$A$1:$I$89,5,0)</f>
        <v>0</v>
      </c>
      <c r="CA50" s="14" t="e">
        <f t="shared" si="39"/>
        <v>#NUM!</v>
      </c>
      <c r="CB50" s="22" t="e">
        <f t="shared" si="10"/>
        <v>#NUM!</v>
      </c>
      <c r="CC50" s="62" t="e">
        <f t="shared" si="11"/>
        <v>#NUM!</v>
      </c>
      <c r="CD50" s="62">
        <f ca="1">AVERAGE(OFFSET($CC$3,0,0,'Données projet'!$E$12+1,1))-AVERAGE(OFFSET($H$3,0,0,'Données projet'!$E$12+1,1))</f>
        <v>61.91827157428213</v>
      </c>
      <c r="CE50" s="62">
        <f t="shared" si="40"/>
        <v>358.41033295847001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50.107544598154909</v>
      </c>
      <c r="CL50" s="23">
        <f>EXP(-LN(2)/25)*CL49+(1-EXP(-LN(2)/25))/(LN(2)/25)*Calculateur!CG50*Calculateur!CI50*VLOOKUP('Données projet'!$B$12,Paramètres!$A$1:$I$89,3,0)*0.475*44/12</f>
        <v>10.818035236345445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60.925579834500354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>
        <f>CT50*VLOOKUP('Données projet'!$B$13,Paramètres!$A$1:$I$89,3,0)*VLOOKUP('Données projet'!$B$13,Paramètres!$A$1:$I$89,5,0)</f>
        <v>0</v>
      </c>
      <c r="CV50" s="14" t="e">
        <f t="shared" si="41"/>
        <v>#NUM!</v>
      </c>
      <c r="CW50" s="22" t="e">
        <f t="shared" si="13"/>
        <v>#NUM!</v>
      </c>
      <c r="CX50" s="62" t="e">
        <f t="shared" si="14"/>
        <v>#NUM!</v>
      </c>
      <c r="CY50" s="62">
        <f ca="1">AVERAGE(OFFSET($CX$3,0,0,'Données projet'!$E$13+1,1))-AVERAGE(OFFSET($H$3,0,0,'Données projet'!$E$13+1,1))</f>
        <v>66.561949299871912</v>
      </c>
      <c r="CZ50" s="62">
        <f t="shared" si="42"/>
        <v>382.65744918271389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53.382547513067003</v>
      </c>
      <c r="DG50" s="23">
        <f>EXP(-LN(2)/25)*DG49+(1-EXP(-LN(2)/25))/(LN(2)/25)*Calculateur!DB50*Calculateur!DD50*VLOOKUP('Données projet'!$B$13,Paramètres!$A$1:$I$89,3,0)*0.475*44/12</f>
        <v>11.525096362903977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64.907643875970976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>
        <f>DO50*VLOOKUP('Données projet'!$B$14,Paramètres!$A$1:$I$89,3,0)*VLOOKUP('Données projet'!$B$14,Paramètres!$A$1:$I$89,5,0)</f>
        <v>0</v>
      </c>
      <c r="DQ50" s="14" t="e">
        <f t="shared" si="43"/>
        <v>#NUM!</v>
      </c>
      <c r="DR50" s="22" t="e">
        <f t="shared" si="16"/>
        <v>#NUM!</v>
      </c>
      <c r="DS50" s="62" t="e">
        <f t="shared" si="17"/>
        <v>#NUM!</v>
      </c>
      <c r="DT50" s="62">
        <f ca="1">AVERAGE(OFFSET($DS$3,0,0,'Données projet'!$E$14+1,1))-AVERAGE(OFFSET($H$3,0,0,'Données projet'!$E$14+1,1))</f>
        <v>60.532656778089574</v>
      </c>
      <c r="DU50" s="62">
        <f t="shared" si="44"/>
        <v>348.96823267563025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48.833433875093213</v>
      </c>
      <c r="EB50" s="23">
        <f>EXP(-LN(2)/25)*EB49+(1-EXP(-LN(2)/25))/(LN(2)/25)*Calculateur!DW50*Calculateur!DY50*VLOOKUP('Données projet'!$B$14,Paramètres!$A$1:$I$89,3,0)*0.475*44/12</f>
        <v>10.542959400807611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59.376393275900824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24.560639999999974</v>
      </c>
      <c r="D51" s="12">
        <f t="shared" si="32"/>
        <v>7.7977237545361815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249.78386056133175</v>
      </c>
      <c r="H51" s="70">
        <f t="shared" si="1"/>
        <v>349.69081687248377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74.209918391015606</v>
      </c>
      <c r="T51" s="62">
        <f t="shared" si="34"/>
        <v>422.59746235438649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57.633538790228243</v>
      </c>
      <c r="AA51" s="23">
        <f>EXP(-LN(2)/25)*AA50+(1-EXP(-LN(2)/25))/(LN(2)/25)*Calculateur!V51*Calculateur!X51*VLOOKUP('Données projet'!$B$9,Paramètres!$A$1:$I$89,3,0)*0.475*44/12</f>
        <v>12.344690726517481</v>
      </c>
      <c r="AB51" s="23">
        <f>EXP(-LN(2)/2)*AB50+(1-EXP(-LN(2)/2))/(LN(2)/2)*V51*Y51*VLOOKUP('Données projet'!$B$9,Paramètres!$A$1:$I$89,3,0)*0.475*44/12</f>
        <v>0</v>
      </c>
      <c r="AC51" s="24">
        <f t="shared" si="3"/>
        <v>69.978229516745728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65.6337514911271</v>
      </c>
      <c r="AO51" s="62">
        <f t="shared" si="36"/>
        <v>377.81060908047425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51.693591895413647</v>
      </c>
      <c r="AV51" s="23">
        <f>EXP(-LN(2)/25)*AV50+(1-EXP(-LN(2)/25))/(LN(2)/25)*Calculateur!AQ51*Calculateur!AS51*VLOOKUP('Données projet'!$B$10,Paramètres!$A$1:$I$89,3,0)*0.475*44/12</f>
        <v>11.072396696207877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62.765988591621522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66.622529958850123</v>
      </c>
      <c r="BJ51" s="62">
        <f t="shared" si="38"/>
        <v>374.90853633180166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51.309177709107232</v>
      </c>
      <c r="BQ51" s="23">
        <f>EXP(-LN(2)/25)*BQ50+(1-EXP(-LN(2)/25))/(LN(2)/25)*Calculateur!BL51*Calculateur!BN51*VLOOKUP('Données projet'!$B$11,Paramètres!$A$1:$I$89,3,0)*0.475*44/12</f>
        <v>10.990057934083431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62.299235643190663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>
        <f>BY51*VLOOKUP('Données projet'!$B$12,Paramètres!$A$1:$I$89,3,0)*VLOOKUP('Données projet'!$B$12,Paramètres!$A$1:$I$89,5,0)</f>
        <v>0</v>
      </c>
      <c r="CA51" s="14" t="e">
        <f t="shared" si="39"/>
        <v>#NUM!</v>
      </c>
      <c r="CB51" s="22" t="e">
        <f t="shared" si="10"/>
        <v>#NUM!</v>
      </c>
      <c r="CC51" s="62" t="e">
        <f t="shared" si="11"/>
        <v>#NUM!</v>
      </c>
      <c r="CD51" s="62">
        <f ca="1">AVERAGE(OFFSET($CC$3,0,0,'Données projet'!$E$12+1,1))-AVERAGE(OFFSET($H$3,0,0,'Données projet'!$E$12+1,1))</f>
        <v>61.91827157428213</v>
      </c>
      <c r="CE51" s="62">
        <f t="shared" si="40"/>
        <v>358.41033295847001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49.124966211169493</v>
      </c>
      <c r="CL51" s="23">
        <f>EXP(-LN(2)/25)*CL50+(1-EXP(-LN(2)/25))/(LN(2)/25)*Calculateur!CG51*Calculateur!CI51*VLOOKUP('Données projet'!$B$12,Paramètres!$A$1:$I$89,3,0)*0.475*44/12</f>
        <v>10.52221549391183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59.647181705081323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>
        <f>CT51*VLOOKUP('Données projet'!$B$13,Paramètres!$A$1:$I$89,3,0)*VLOOKUP('Données projet'!$B$13,Paramètres!$A$1:$I$89,5,0)</f>
        <v>0</v>
      </c>
      <c r="CV51" s="14" t="e">
        <f t="shared" si="41"/>
        <v>#NUM!</v>
      </c>
      <c r="CW51" s="22" t="e">
        <f t="shared" si="13"/>
        <v>#NUM!</v>
      </c>
      <c r="CX51" s="62" t="e">
        <f t="shared" si="14"/>
        <v>#NUM!</v>
      </c>
      <c r="CY51" s="62">
        <f ca="1">AVERAGE(OFFSET($CX$3,0,0,'Données projet'!$E$13+1,1))-AVERAGE(OFFSET($H$3,0,0,'Données projet'!$E$13+1,1))</f>
        <v>66.561949299871912</v>
      </c>
      <c r="CZ51" s="62">
        <f t="shared" si="42"/>
        <v>382.65744918271389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52.335748316474692</v>
      </c>
      <c r="DG51" s="23">
        <f>EXP(-LN(2)/25)*DG50+(1-EXP(-LN(2)/25))/(LN(2)/25)*Calculateur!DB51*Calculateur!DD51*VLOOKUP('Données projet'!$B$13,Paramètres!$A$1:$I$89,3,0)*0.475*44/12</f>
        <v>11.209941996781891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63.545690313256586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>
        <f>DO51*VLOOKUP('Données projet'!$B$14,Paramètres!$A$1:$I$89,3,0)*VLOOKUP('Données projet'!$B$14,Paramètres!$A$1:$I$89,5,0)</f>
        <v>0</v>
      </c>
      <c r="DQ51" s="14" t="e">
        <f t="shared" si="43"/>
        <v>#NUM!</v>
      </c>
      <c r="DR51" s="22" t="e">
        <f t="shared" si="16"/>
        <v>#NUM!</v>
      </c>
      <c r="DS51" s="62" t="e">
        <f t="shared" si="17"/>
        <v>#NUM!</v>
      </c>
      <c r="DT51" s="62">
        <f ca="1">AVERAGE(OFFSET($DS$3,0,0,'Données projet'!$E$14+1,1))-AVERAGE(OFFSET($H$3,0,0,'Données projet'!$E$14+1,1))</f>
        <v>60.532656778089574</v>
      </c>
      <c r="DU51" s="62">
        <f t="shared" si="44"/>
        <v>348.96823267563025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47.875840022256227</v>
      </c>
      <c r="EB51" s="23">
        <f>EXP(-LN(2)/25)*EB50+(1-EXP(-LN(2)/25))/(LN(2)/25)*Calculateur!DW51*Calculateur!DY51*VLOOKUP('Données projet'!$B$14,Paramètres!$A$1:$I$89,3,0)*0.475*44/12</f>
        <v>10.254661621562388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58.130501643818619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25.072319999999973</v>
      </c>
      <c r="D52" s="12">
        <f t="shared" si="32"/>
        <v>7.9410941413012353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254.84038986267606</v>
      </c>
      <c r="H52" s="70">
        <f t="shared" si="1"/>
        <v>350.83169629609961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74.209918391015606</v>
      </c>
      <c r="T52" s="62">
        <f t="shared" si="34"/>
        <v>422.59746235438649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56.503380247539461</v>
      </c>
      <c r="AA52" s="23">
        <f>EXP(-LN(2)/25)*AA51+(1-EXP(-LN(2)/25))/(LN(2)/25)*Calculateur!V52*Calculateur!X52*VLOOKUP('Données projet'!$B$9,Paramètres!$A$1:$I$89,3,0)*0.475*44/12</f>
        <v>12.007124509421789</v>
      </c>
      <c r="AB52" s="23">
        <f>EXP(-LN(2)/2)*AB51+(1-EXP(-LN(2)/2))/(LN(2)/2)*V52*Y52*VLOOKUP('Données projet'!$B$9,Paramètres!$A$1:$I$89,3,0)*0.475*44/12</f>
        <v>0</v>
      </c>
      <c r="AC52" s="24">
        <f t="shared" si="3"/>
        <v>68.510504756961254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65.6337514911271</v>
      </c>
      <c r="AO52" s="62">
        <f t="shared" si="36"/>
        <v>377.81060908047425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50.679912088322318</v>
      </c>
      <c r="AV52" s="23">
        <f>EXP(-LN(2)/25)*AV51+(1-EXP(-LN(2)/25))/(LN(2)/25)*Calculateur!AQ52*Calculateur!AS52*VLOOKUP('Données projet'!$B$10,Paramètres!$A$1:$I$89,3,0)*0.475*44/12</f>
        <v>10.769621426278036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61.449533514600354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66.622529958850123</v>
      </c>
      <c r="BJ52" s="62">
        <f t="shared" si="38"/>
        <v>374.90853633180166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50.303036029739864</v>
      </c>
      <c r="BQ52" s="23">
        <f>EXP(-LN(2)/25)*BQ51+(1-EXP(-LN(2)/25))/(LN(2)/25)*Calculateur!BL52*Calculateur!BN52*VLOOKUP('Données projet'!$B$11,Paramètres!$A$1:$I$89,3,0)*0.475*44/12</f>
        <v>10.689534221933892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60.992570251673754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>
        <f>BY52*VLOOKUP('Données projet'!$B$12,Paramètres!$A$1:$I$89,3,0)*VLOOKUP('Données projet'!$B$12,Paramètres!$A$1:$I$89,5,0)</f>
        <v>0</v>
      </c>
      <c r="CA52" s="14" t="e">
        <f t="shared" si="39"/>
        <v>#NUM!</v>
      </c>
      <c r="CB52" s="22" t="e">
        <f t="shared" si="10"/>
        <v>#NUM!</v>
      </c>
      <c r="CC52" s="62" t="e">
        <f t="shared" si="11"/>
        <v>#NUM!</v>
      </c>
      <c r="CD52" s="62">
        <f ca="1">AVERAGE(OFFSET($CC$3,0,0,'Données projet'!$E$12+1,1))-AVERAGE(OFFSET($H$3,0,0,'Données projet'!$E$12+1,1))</f>
        <v>61.91827157428213</v>
      </c>
      <c r="CE52" s="62">
        <f t="shared" si="40"/>
        <v>358.41033295847001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48.16165558703922</v>
      </c>
      <c r="CL52" s="23">
        <f>EXP(-LN(2)/25)*CL51+(1-EXP(-LN(2)/25))/(LN(2)/25)*Calculateur!CG52*Calculateur!CI52*VLOOKUP('Données projet'!$B$12,Paramètres!$A$1:$I$89,3,0)*0.475*44/12</f>
        <v>10.234484957891548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58.396140544930766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>
        <f>CT52*VLOOKUP('Données projet'!$B$13,Paramètres!$A$1:$I$89,3,0)*VLOOKUP('Données projet'!$B$13,Paramètres!$A$1:$I$89,5,0)</f>
        <v>0</v>
      </c>
      <c r="CV52" s="14" t="e">
        <f t="shared" si="41"/>
        <v>#NUM!</v>
      </c>
      <c r="CW52" s="22" t="e">
        <f t="shared" si="13"/>
        <v>#NUM!</v>
      </c>
      <c r="CX52" s="62" t="e">
        <f t="shared" si="14"/>
        <v>#NUM!</v>
      </c>
      <c r="CY52" s="62">
        <f ca="1">AVERAGE(OFFSET($CX$3,0,0,'Données projet'!$E$13+1,1))-AVERAGE(OFFSET($H$3,0,0,'Données projet'!$E$13+1,1))</f>
        <v>66.561949299871912</v>
      </c>
      <c r="CZ52" s="62">
        <f t="shared" si="42"/>
        <v>382.65744918271389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51.309476213643094</v>
      </c>
      <c r="DG52" s="23">
        <f>EXP(-LN(2)/25)*DG51+(1-EXP(-LN(2)/25))/(LN(2)/25)*Calculateur!DB52*Calculateur!DD52*VLOOKUP('Données projet'!$B$13,Paramètres!$A$1:$I$89,3,0)*0.475*44/12</f>
        <v>10.903405543374662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62.212881757017755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>
        <f>DO52*VLOOKUP('Données projet'!$B$14,Paramètres!$A$1:$I$89,3,0)*VLOOKUP('Données projet'!$B$14,Paramètres!$A$1:$I$89,5,0)</f>
        <v>0</v>
      </c>
      <c r="DQ52" s="14" t="e">
        <f t="shared" si="43"/>
        <v>#NUM!</v>
      </c>
      <c r="DR52" s="22" t="e">
        <f t="shared" si="16"/>
        <v>#NUM!</v>
      </c>
      <c r="DS52" s="62" t="e">
        <f t="shared" si="17"/>
        <v>#NUM!</v>
      </c>
      <c r="DT52" s="62">
        <f ca="1">AVERAGE(OFFSET($DS$3,0,0,'Données projet'!$E$14+1,1))-AVERAGE(OFFSET($H$3,0,0,'Données projet'!$E$14+1,1))</f>
        <v>60.532656778089574</v>
      </c>
      <c r="DU52" s="62">
        <f t="shared" si="44"/>
        <v>348.96823267563025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46.9370240007988</v>
      </c>
      <c r="EB52" s="23">
        <f>EXP(-LN(2)/25)*EB51+(1-EXP(-LN(2)/25))/(LN(2)/25)*Calculateur!DW52*Calculateur!DY52*VLOOKUP('Données projet'!$B$14,Paramètres!$A$1:$I$89,3,0)*0.475*44/12</f>
        <v>9.9742473602515478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56.911271361050346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25.583999999999971</v>
      </c>
      <c r="D53" s="12">
        <f t="shared" si="32"/>
        <v>8.0841243294901695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259.89429306974847</v>
      </c>
      <c r="H53" s="70">
        <f t="shared" si="1"/>
        <v>351.97198320719531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74.209918391015606</v>
      </c>
      <c r="T53" s="62">
        <f t="shared" si="34"/>
        <v>422.59746235438649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55.395383424544157</v>
      </c>
      <c r="AA53" s="23">
        <f>EXP(-LN(2)/25)*AA52+(1-EXP(-LN(2)/25))/(LN(2)/25)*Calculateur!V53*Calculateur!X53*VLOOKUP('Données projet'!$B$9,Paramètres!$A$1:$I$89,3,0)*0.475*44/12</f>
        <v>11.678789058284416</v>
      </c>
      <c r="AB53" s="23">
        <f>EXP(-LN(2)/2)*AB52+(1-EXP(-LN(2)/2))/(LN(2)/2)*V53*Y53*VLOOKUP('Données projet'!$B$9,Paramètres!$A$1:$I$89,3,0)*0.475*44/12</f>
        <v>0</v>
      </c>
      <c r="AC53" s="24">
        <f t="shared" si="3"/>
        <v>67.074172482828573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65.6337514911271</v>
      </c>
      <c r="AO53" s="62">
        <f t="shared" si="36"/>
        <v>377.81060908047425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49.686109923964416</v>
      </c>
      <c r="AV53" s="23">
        <f>EXP(-LN(2)/25)*AV52+(1-EXP(-LN(2)/25))/(LN(2)/25)*Calculateur!AQ53*Calculateur!AS53*VLOOKUP('Données projet'!$B$10,Paramètres!$A$1:$I$89,3,0)*0.475*44/12</f>
        <v>10.475125562026687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60.161235485991099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66.622529958850123</v>
      </c>
      <c r="BJ53" s="62">
        <f t="shared" si="38"/>
        <v>374.90853633180166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49.316624175019065</v>
      </c>
      <c r="BQ53" s="23">
        <f>EXP(-LN(2)/25)*BQ52+(1-EXP(-LN(2)/25))/(LN(2)/25)*Calculateur!BL53*Calculateur!BN53*VLOOKUP('Données projet'!$B$11,Paramètres!$A$1:$I$89,3,0)*0.475*44/12</f>
        <v>10.397228346496936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59.713852521516003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>
        <f>BY53*VLOOKUP('Données projet'!$B$12,Paramètres!$A$1:$I$89,3,0)*VLOOKUP('Données projet'!$B$12,Paramètres!$A$1:$I$89,5,0)</f>
        <v>0</v>
      </c>
      <c r="CA53" s="14" t="e">
        <f t="shared" si="39"/>
        <v>#NUM!</v>
      </c>
      <c r="CB53" s="22" t="e">
        <f t="shared" si="10"/>
        <v>#NUM!</v>
      </c>
      <c r="CC53" s="62" t="e">
        <f t="shared" si="11"/>
        <v>#NUM!</v>
      </c>
      <c r="CD53" s="62">
        <f ca="1">AVERAGE(OFFSET($CC$3,0,0,'Données projet'!$E$12+1,1))-AVERAGE(OFFSET($H$3,0,0,'Données projet'!$E$12+1,1))</f>
        <v>61.91827157428213</v>
      </c>
      <c r="CE53" s="62">
        <f t="shared" si="40"/>
        <v>358.41033295847001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47.217234896686676</v>
      </c>
      <c r="CL53" s="23">
        <f>EXP(-LN(2)/25)*CL52+(1-EXP(-LN(2)/25))/(LN(2)/25)*Calculateur!CG53*Calculateur!CI53*VLOOKUP('Données projet'!$B$12,Paramètres!$A$1:$I$89,3,0)*0.475*44/12</f>
        <v>9.9546224285098308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57.171857325196505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>
        <f>CT53*VLOOKUP('Données projet'!$B$13,Paramètres!$A$1:$I$89,3,0)*VLOOKUP('Données projet'!$B$13,Paramètres!$A$1:$I$89,5,0)</f>
        <v>0</v>
      </c>
      <c r="CV53" s="14" t="e">
        <f t="shared" si="41"/>
        <v>#NUM!</v>
      </c>
      <c r="CW53" s="22" t="e">
        <f t="shared" si="13"/>
        <v>#NUM!</v>
      </c>
      <c r="CX53" s="62" t="e">
        <f t="shared" si="14"/>
        <v>#NUM!</v>
      </c>
      <c r="CY53" s="62">
        <f ca="1">AVERAGE(OFFSET($CX$3,0,0,'Données projet'!$E$13+1,1))-AVERAGE(OFFSET($H$3,0,0,'Données projet'!$E$13+1,1))</f>
        <v>66.561949299871912</v>
      </c>
      <c r="CZ53" s="62">
        <f t="shared" si="42"/>
        <v>382.65744918271389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50.303328680783849</v>
      </c>
      <c r="DG53" s="23">
        <f>EXP(-LN(2)/25)*DG52+(1-EXP(-LN(2)/25))/(LN(2)/25)*Calculateur!DB53*Calculateur!DD53*VLOOKUP('Données projet'!$B$13,Paramètres!$A$1:$I$89,3,0)*0.475*44/12</f>
        <v>10.605251345405904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60.908580026189753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>
        <f>DO53*VLOOKUP('Données projet'!$B$14,Paramètres!$A$1:$I$89,3,0)*VLOOKUP('Données projet'!$B$14,Paramètres!$A$1:$I$89,5,0)</f>
        <v>0</v>
      </c>
      <c r="DQ53" s="14" t="e">
        <f t="shared" si="43"/>
        <v>#NUM!</v>
      </c>
      <c r="DR53" s="22" t="e">
        <f t="shared" si="16"/>
        <v>#NUM!</v>
      </c>
      <c r="DS53" s="62" t="e">
        <f t="shared" si="17"/>
        <v>#NUM!</v>
      </c>
      <c r="DT53" s="62">
        <f ca="1">AVERAGE(OFFSET($DS$3,0,0,'Données projet'!$E$14+1,1))-AVERAGE(OFFSET($H$3,0,0,'Données projet'!$E$14+1,1))</f>
        <v>60.532656778089574</v>
      </c>
      <c r="DU53" s="62">
        <f t="shared" si="44"/>
        <v>348.96823267563025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46.016617588900921</v>
      </c>
      <c r="EB53" s="23">
        <f>EXP(-LN(2)/25)*EB52+(1-EXP(-LN(2)/25))/(LN(2)/25)*Calculateur!DW53*Calculateur!DY53*VLOOKUP('Données projet'!$B$14,Paramètres!$A$1:$I$89,3,0)*0.475*44/12</f>
        <v>9.7015010416625973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55.718118630563517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26.09567999999997</v>
      </c>
      <c r="D54" s="12">
        <f t="shared" si="32"/>
        <v>8.2268219072429449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264.94562875766462</v>
      </c>
      <c r="H54" s="70">
        <f t="shared" si="1"/>
        <v>353.11169082178139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74.209918391015606</v>
      </c>
      <c r="T54" s="62">
        <f t="shared" si="34"/>
        <v>422.59746235438649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54.309113743436463</v>
      </c>
      <c r="AA54" s="23">
        <f>EXP(-LN(2)/25)*AA53+(1-EXP(-LN(2)/25))/(LN(2)/25)*Calculateur!V54*Calculateur!X54*VLOOKUP('Données projet'!$B$9,Paramètres!$A$1:$I$89,3,0)*0.475*44/12</f>
        <v>11.359431957324803</v>
      </c>
      <c r="AB54" s="23">
        <f>EXP(-LN(2)/2)*AB53+(1-EXP(-LN(2)/2))/(LN(2)/2)*V54*Y54*VLOOKUP('Données projet'!$B$9,Paramètres!$A$1:$I$89,3,0)*0.475*44/12</f>
        <v>0</v>
      </c>
      <c r="AC54" s="24">
        <f t="shared" si="3"/>
        <v>65.668545700761271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65.6337514911271</v>
      </c>
      <c r="AO54" s="62">
        <f t="shared" si="36"/>
        <v>377.81060908047425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48.711795613890104</v>
      </c>
      <c r="AV54" s="23">
        <f>EXP(-LN(2)/25)*AV53+(1-EXP(-LN(2)/25))/(LN(2)/25)*Calculateur!AQ54*Calculateur!AS54*VLOOKUP('Données projet'!$B$10,Paramètres!$A$1:$I$89,3,0)*0.475*44/12</f>
        <v>10.188682702670155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58.90047831656026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66.622529958850123</v>
      </c>
      <c r="BJ54" s="62">
        <f t="shared" si="38"/>
        <v>374.90853633180166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48.349555255117515</v>
      </c>
      <c r="BQ54" s="23">
        <f>EXP(-LN(2)/25)*BQ53+(1-EXP(-LN(2)/25))/(LN(2)/25)*Calculateur!BL54*Calculateur!BN54*VLOOKUP('Données projet'!$B$11,Paramètres!$A$1:$I$89,3,0)*0.475*44/12</f>
        <v>10.112915590595502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58.462470845713014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>
        <f>BY54*VLOOKUP('Données projet'!$B$12,Paramètres!$A$1:$I$89,3,0)*VLOOKUP('Données projet'!$B$12,Paramètres!$A$1:$I$89,5,0)</f>
        <v>0</v>
      </c>
      <c r="CA54" s="14" t="e">
        <f t="shared" si="39"/>
        <v>#NUM!</v>
      </c>
      <c r="CB54" s="22" t="e">
        <f t="shared" si="10"/>
        <v>#NUM!</v>
      </c>
      <c r="CC54" s="62" t="e">
        <f t="shared" si="11"/>
        <v>#NUM!</v>
      </c>
      <c r="CD54" s="62">
        <f ca="1">AVERAGE(OFFSET($CC$3,0,0,'Données projet'!$E$12+1,1))-AVERAGE(OFFSET($H$3,0,0,'Données projet'!$E$12+1,1))</f>
        <v>61.91827157428213</v>
      </c>
      <c r="CE54" s="62">
        <f t="shared" si="40"/>
        <v>358.41033295847001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46.291333720032206</v>
      </c>
      <c r="CL54" s="23">
        <f>EXP(-LN(2)/25)*CL53+(1-EXP(-LN(2)/25))/(LN(2)/25)*Calculateur!CG54*Calculateur!CI54*VLOOKUP('Données projet'!$B$12,Paramètres!$A$1:$I$89,3,0)*0.475*44/12</f>
        <v>9.6824127547113878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55.973746474743592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>
        <f>CT54*VLOOKUP('Données projet'!$B$13,Paramètres!$A$1:$I$89,3,0)*VLOOKUP('Données projet'!$B$13,Paramètres!$A$1:$I$89,5,0)</f>
        <v>0</v>
      </c>
      <c r="CV54" s="14" t="e">
        <f t="shared" si="41"/>
        <v>#NUM!</v>
      </c>
      <c r="CW54" s="22" t="e">
        <f t="shared" si="13"/>
        <v>#NUM!</v>
      </c>
      <c r="CX54" s="62" t="e">
        <f t="shared" si="14"/>
        <v>#NUM!</v>
      </c>
      <c r="CY54" s="62">
        <f ca="1">AVERAGE(OFFSET($CX$3,0,0,'Données projet'!$E$13+1,1))-AVERAGE(OFFSET($H$3,0,0,'Données projet'!$E$13+1,1))</f>
        <v>66.561949299871912</v>
      </c>
      <c r="CZ54" s="62">
        <f t="shared" si="42"/>
        <v>382.65744918271389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49.316911087354576</v>
      </c>
      <c r="DG54" s="23">
        <f>EXP(-LN(2)/25)*DG53+(1-EXP(-LN(2)/25))/(LN(2)/25)*Calculateur!DB54*Calculateur!DD54*VLOOKUP('Données projet'!$B$13,Paramètres!$A$1:$I$89,3,0)*0.475*44/12</f>
        <v>10.315250189659849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59.632161277014426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>
        <f>DO54*VLOOKUP('Données projet'!$B$14,Paramètres!$A$1:$I$89,3,0)*VLOOKUP('Données projet'!$B$14,Paramètres!$A$1:$I$89,5,0)</f>
        <v>0</v>
      </c>
      <c r="DQ54" s="14" t="e">
        <f t="shared" si="43"/>
        <v>#NUM!</v>
      </c>
      <c r="DR54" s="22" t="e">
        <f t="shared" si="16"/>
        <v>#NUM!</v>
      </c>
      <c r="DS54" s="62" t="e">
        <f t="shared" si="17"/>
        <v>#NUM!</v>
      </c>
      <c r="DT54" s="62">
        <f ca="1">AVERAGE(OFFSET($DS$3,0,0,'Données projet'!$E$14+1,1))-AVERAGE(OFFSET($H$3,0,0,'Données projet'!$E$14+1,1))</f>
        <v>60.532656778089574</v>
      </c>
      <c r="DU54" s="62">
        <f t="shared" si="44"/>
        <v>348.96823267563025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45.114259785347883</v>
      </c>
      <c r="EB54" s="23">
        <f>EXP(-LN(2)/25)*EB53+(1-EXP(-LN(2)/25))/(LN(2)/25)*Calculateur!DW54*Calculateur!DY54*VLOOKUP('Données projet'!$B$14,Paramètres!$A$1:$I$89,3,0)*0.475*44/12</f>
        <v>9.4362129854985675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54.550472770846454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26.607359999999968</v>
      </c>
      <c r="D55" s="12">
        <f t="shared" si="32"/>
        <v>8.3691941481052172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269.9944530730927</v>
      </c>
      <c r="H55" s="70">
        <f t="shared" si="1"/>
        <v>354.25083180794985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74.209918391015606</v>
      </c>
      <c r="T55" s="62">
        <f t="shared" si="34"/>
        <v>422.59746235438649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53.244145148216205</v>
      </c>
      <c r="AA55" s="23">
        <f>EXP(-LN(2)/25)*AA54+(1-EXP(-LN(2)/25))/(LN(2)/25)*Calculateur!V55*Calculateur!X55*VLOOKUP('Données projet'!$B$9,Paramètres!$A$1:$I$89,3,0)*0.475*44/12</f>
        <v>11.048807693085193</v>
      </c>
      <c r="AB55" s="23">
        <f>EXP(-LN(2)/2)*AB54+(1-EXP(-LN(2)/2))/(LN(2)/2)*V55*Y55*VLOOKUP('Données projet'!$B$9,Paramètres!$A$1:$I$89,3,0)*0.475*44/12</f>
        <v>0</v>
      </c>
      <c r="AC55" s="24">
        <f t="shared" si="3"/>
        <v>64.2929528413014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65.6337514911271</v>
      </c>
      <c r="AO55" s="62">
        <f t="shared" si="36"/>
        <v>377.81060908047425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47.756587013163298</v>
      </c>
      <c r="AV55" s="23">
        <f>EXP(-LN(2)/25)*AV54+(1-EXP(-LN(2)/25))/(LN(2)/25)*Calculateur!AQ55*Calculateur!AS55*VLOOKUP('Données projet'!$B$10,Paramètres!$A$1:$I$89,3,0)*0.475*44/12</f>
        <v>9.9100726383661026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57.6666596515294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66.622529958850123</v>
      </c>
      <c r="BJ55" s="62">
        <f t="shared" si="38"/>
        <v>374.90853633180166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47.401449966881437</v>
      </c>
      <c r="BQ55" s="23">
        <f>EXP(-LN(2)/25)*BQ54+(1-EXP(-LN(2)/25))/(LN(2)/25)*Calculateur!BL55*Calculateur!BN55*VLOOKUP('Données projet'!$B$11,Paramètres!$A$1:$I$89,3,0)*0.475*44/12</f>
        <v>9.8363773819555504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57.237827348836987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>
        <f>BY55*VLOOKUP('Données projet'!$B$12,Paramètres!$A$1:$I$89,3,0)*VLOOKUP('Données projet'!$B$12,Paramètres!$A$1:$I$89,5,0)</f>
        <v>0</v>
      </c>
      <c r="CA55" s="14" t="e">
        <f t="shared" si="39"/>
        <v>#NUM!</v>
      </c>
      <c r="CB55" s="22" t="e">
        <f t="shared" si="10"/>
        <v>#NUM!</v>
      </c>
      <c r="CC55" s="62" t="e">
        <f t="shared" si="11"/>
        <v>#NUM!</v>
      </c>
      <c r="CD55" s="62">
        <f ca="1">AVERAGE(OFFSET($CC$3,0,0,'Données projet'!$E$12+1,1))-AVERAGE(OFFSET($H$3,0,0,'Données projet'!$E$12+1,1))</f>
        <v>61.91827157428213</v>
      </c>
      <c r="CE55" s="62">
        <f t="shared" si="40"/>
        <v>358.41033295847001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45.383588900707977</v>
      </c>
      <c r="CL55" s="23">
        <f>EXP(-LN(2)/25)*CL54+(1-EXP(-LN(2)/25))/(LN(2)/25)*Calculateur!CG55*Calculateur!CI55*VLOOKUP('Données projet'!$B$12,Paramètres!$A$1:$I$89,3,0)*0.475*44/12</f>
        <v>9.4176466687578468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54.801235569465824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>
        <f>CT55*VLOOKUP('Données projet'!$B$13,Paramètres!$A$1:$I$89,3,0)*VLOOKUP('Données projet'!$B$13,Paramètres!$A$1:$I$89,5,0)</f>
        <v>0</v>
      </c>
      <c r="CV55" s="14" t="e">
        <f t="shared" si="41"/>
        <v>#NUM!</v>
      </c>
      <c r="CW55" s="22" t="e">
        <f t="shared" si="13"/>
        <v>#NUM!</v>
      </c>
      <c r="CX55" s="62" t="e">
        <f t="shared" si="14"/>
        <v>#NUM!</v>
      </c>
      <c r="CY55" s="62">
        <f ca="1">AVERAGE(OFFSET($CX$3,0,0,'Données projet'!$E$13+1,1))-AVERAGE(OFFSET($H$3,0,0,'Données projet'!$E$13+1,1))</f>
        <v>66.561949299871912</v>
      </c>
      <c r="CZ55" s="62">
        <f t="shared" si="42"/>
        <v>382.65744918271389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48.349836541277128</v>
      </c>
      <c r="DG55" s="23">
        <f>EXP(-LN(2)/25)*DG54+(1-EXP(-LN(2)/25))/(LN(2)/25)*Calculateur!DB55*Calculateur!DD55*VLOOKUP('Données projet'!$B$13,Paramètres!$A$1:$I$89,3,0)*0.475*44/12</f>
        <v>10.033179130768168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58.383015672045296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>
        <f>DO55*VLOOKUP('Données projet'!$B$14,Paramètres!$A$1:$I$89,3,0)*VLOOKUP('Données projet'!$B$14,Paramètres!$A$1:$I$89,5,0)</f>
        <v>0</v>
      </c>
      <c r="DQ55" s="14" t="e">
        <f t="shared" si="43"/>
        <v>#NUM!</v>
      </c>
      <c r="DR55" s="22" t="e">
        <f t="shared" si="16"/>
        <v>#NUM!</v>
      </c>
      <c r="DS55" s="62" t="e">
        <f t="shared" si="17"/>
        <v>#NUM!</v>
      </c>
      <c r="DT55" s="62">
        <f ca="1">AVERAGE(OFFSET($DS$3,0,0,'Données projet'!$E$14+1,1))-AVERAGE(OFFSET($H$3,0,0,'Données projet'!$E$14+1,1))</f>
        <v>60.532656778089574</v>
      </c>
      <c r="DU55" s="62">
        <f t="shared" si="44"/>
        <v>348.96823267563025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44.229596667938601</v>
      </c>
      <c r="EB55" s="23">
        <f>EXP(-LN(2)/25)*EB54+(1-EXP(-LN(2)/25))/(LN(2)/25)*Calculateur!DW55*Calculateur!DY55*VLOOKUP('Données projet'!$B$14,Paramètres!$A$1:$I$89,3,0)*0.475*44/12</f>
        <v>9.1781792451812354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53.407775913119835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27.119039999999966</v>
      </c>
      <c r="D56" s="12">
        <f t="shared" si="32"/>
        <v>8.5112480298657882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275.04081987966543</v>
      </c>
      <c r="H56" s="70">
        <f t="shared" si="1"/>
        <v>355.38941831868283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74.209918391015606</v>
      </c>
      <c r="T56" s="62">
        <f t="shared" si="34"/>
        <v>422.59746235438649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52.200059937581514</v>
      </c>
      <c r="AA56" s="23">
        <f>EXP(-LN(2)/25)*AA55+(1-EXP(-LN(2)/25))/(LN(2)/25)*Calculateur!V56*Calculateur!X56*VLOOKUP('Données projet'!$B$9,Paramètres!$A$1:$I$89,3,0)*0.475*44/12</f>
        <v>10.746677465686234</v>
      </c>
      <c r="AB56" s="23">
        <f>EXP(-LN(2)/2)*AB55+(1-EXP(-LN(2)/2))/(LN(2)/2)*V56*Y56*VLOOKUP('Données projet'!$B$9,Paramètres!$A$1:$I$89,3,0)*0.475*44/12</f>
        <v>0</v>
      </c>
      <c r="AC56" s="24">
        <f t="shared" si="3"/>
        <v>62.946737403267747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65.6337514911271</v>
      </c>
      <c r="AO56" s="62">
        <f t="shared" si="36"/>
        <v>377.81060908047425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46.820109470477028</v>
      </c>
      <c r="AV56" s="23">
        <f>EXP(-LN(2)/25)*AV55+(1-EXP(-LN(2)/25))/(LN(2)/25)*Calculateur!AQ56*Calculateur!AS56*VLOOKUP('Données projet'!$B$10,Paramètres!$A$1:$I$89,3,0)*0.475*44/12</f>
        <v>9.6390811809219112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56.459190651398941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66.622529958850123</v>
      </c>
      <c r="BJ56" s="62">
        <f t="shared" si="38"/>
        <v>374.90853633180166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46.471936445060543</v>
      </c>
      <c r="BQ56" s="23">
        <f>EXP(-LN(2)/25)*BQ55+(1-EXP(-LN(2)/25))/(LN(2)/25)*Calculateur!BL56*Calculateur!BN56*VLOOKUP('Données projet'!$B$11,Paramètres!$A$1:$I$89,3,0)*0.475*44/12</f>
        <v>9.5674011251733706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56.039337570233911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>
        <f>BY56*VLOOKUP('Données projet'!$B$12,Paramètres!$A$1:$I$89,3,0)*VLOOKUP('Données projet'!$B$12,Paramètres!$A$1:$I$89,5,0)</f>
        <v>0</v>
      </c>
      <c r="CA56" s="14" t="e">
        <f t="shared" si="39"/>
        <v>#NUM!</v>
      </c>
      <c r="CB56" s="22" t="e">
        <f t="shared" si="10"/>
        <v>#NUM!</v>
      </c>
      <c r="CC56" s="62" t="e">
        <f t="shared" si="11"/>
        <v>#NUM!</v>
      </c>
      <c r="CD56" s="62">
        <f ca="1">AVERAGE(OFFSET($CC$3,0,0,'Données projet'!$E$12+1,1))-AVERAGE(OFFSET($H$3,0,0,'Données projet'!$E$12+1,1))</f>
        <v>61.91827157428213</v>
      </c>
      <c r="CE56" s="62">
        <f t="shared" si="40"/>
        <v>358.41033295847001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44.493644403621026</v>
      </c>
      <c r="CL56" s="23">
        <f>EXP(-LN(2)/25)*CL55+(1-EXP(-LN(2)/25))/(LN(2)/25)*Calculateur!CG56*Calculateur!CI56*VLOOKUP('Données projet'!$B$12,Paramètres!$A$1:$I$89,3,0)*0.475*44/12</f>
        <v>9.1601206253481493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53.653765028969175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>
        <f>CT56*VLOOKUP('Données projet'!$B$13,Paramètres!$A$1:$I$89,3,0)*VLOOKUP('Données projet'!$B$13,Paramètres!$A$1:$I$89,5,0)</f>
        <v>0</v>
      </c>
      <c r="CV56" s="14" t="e">
        <f t="shared" si="41"/>
        <v>#NUM!</v>
      </c>
      <c r="CW56" s="22" t="e">
        <f t="shared" si="13"/>
        <v>#NUM!</v>
      </c>
      <c r="CX56" s="62" t="e">
        <f t="shared" si="14"/>
        <v>#NUM!</v>
      </c>
      <c r="CY56" s="62">
        <f ca="1">AVERAGE(OFFSET($CX$3,0,0,'Données projet'!$E$13+1,1))-AVERAGE(OFFSET($H$3,0,0,'Données projet'!$E$13+1,1))</f>
        <v>66.561949299871912</v>
      </c>
      <c r="CZ56" s="62">
        <f t="shared" si="42"/>
        <v>382.65744918271389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47.401725737191029</v>
      </c>
      <c r="DG56" s="23">
        <f>EXP(-LN(2)/25)*DG55+(1-EXP(-LN(2)/25))/(LN(2)/25)*Calculateur!DB56*Calculateur!DD56*VLOOKUP('Données projet'!$B$13,Paramètres!$A$1:$I$89,3,0)*0.475*44/12</f>
        <v>9.7588213198153539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57.160547057006383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>
        <f>DO56*VLOOKUP('Données projet'!$B$14,Paramètres!$A$1:$I$89,3,0)*VLOOKUP('Données projet'!$B$14,Paramètres!$A$1:$I$89,5,0)</f>
        <v>0</v>
      </c>
      <c r="DQ56" s="14" t="e">
        <f t="shared" si="43"/>
        <v>#NUM!</v>
      </c>
      <c r="DR56" s="22" t="e">
        <f t="shared" si="16"/>
        <v>#NUM!</v>
      </c>
      <c r="DS56" s="62" t="e">
        <f t="shared" si="17"/>
        <v>#NUM!</v>
      </c>
      <c r="DT56" s="62">
        <f ca="1">AVERAGE(OFFSET($DS$3,0,0,'Données projet'!$E$14+1,1))-AVERAGE(OFFSET($H$3,0,0,'Données projet'!$E$14+1,1))</f>
        <v>60.532656778089574</v>
      </c>
      <c r="DU56" s="62">
        <f t="shared" si="44"/>
        <v>348.96823267563025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43.362281254670499</v>
      </c>
      <c r="EB56" s="23">
        <f>EXP(-LN(2)/25)*EB55+(1-EXP(-LN(2)/25))/(LN(2)/25)*Calculateur!DW56*Calculateur!DY56*VLOOKUP('Données projet'!$B$14,Paramètres!$A$1:$I$89,3,0)*0.475*44/12</f>
        <v>8.9272014510622846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52.28948270573278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27.630719999999965</v>
      </c>
      <c r="D57" s="12">
        <f t="shared" si="32"/>
        <v>8.65299025193214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280.08478089210752</v>
      </c>
      <c r="H57" s="70">
        <f t="shared" si="1"/>
        <v>356.52746202211506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74.209918391015606</v>
      </c>
      <c r="T57" s="62">
        <f t="shared" si="34"/>
        <v>422.59746235438649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51.176448601098272</v>
      </c>
      <c r="AA57" s="23">
        <f>EXP(-LN(2)/25)*AA56+(1-EXP(-LN(2)/25))/(LN(2)/25)*Calculateur!V57*Calculateur!X57*VLOOKUP('Données projet'!$B$9,Paramètres!$A$1:$I$89,3,0)*0.475*44/12</f>
        <v>10.452809005243838</v>
      </c>
      <c r="AB57" s="23">
        <f>EXP(-LN(2)/2)*AB56+(1-EXP(-LN(2)/2))/(LN(2)/2)*V57*Y57*VLOOKUP('Données projet'!$B$9,Paramètres!$A$1:$I$89,3,0)*0.475*44/12</f>
        <v>0</v>
      </c>
      <c r="AC57" s="24">
        <f t="shared" si="3"/>
        <v>61.629257606342108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65.6337514911271</v>
      </c>
      <c r="AO57" s="62">
        <f t="shared" si="36"/>
        <v>377.81060908047425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45.901995681207936</v>
      </c>
      <c r="AV57" s="23">
        <f>EXP(-LN(2)/25)*AV56+(1-EXP(-LN(2)/25))/(LN(2)/25)*Calculateur!AQ57*Calculateur!AS57*VLOOKUP('Données projet'!$B$10,Paramètres!$A$1:$I$89,3,0)*0.475*44/12</f>
        <v>9.3754999991323533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55.277495680340287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66.622529958850123</v>
      </c>
      <c r="BJ57" s="62">
        <f t="shared" si="38"/>
        <v>374.90853633180166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45.560650116455292</v>
      </c>
      <c r="BQ57" s="23">
        <f>EXP(-LN(2)/25)*BQ56+(1-EXP(-LN(2)/25))/(LN(2)/25)*Calculateur!BL57*Calculateur!BN57*VLOOKUP('Données projet'!$B$11,Paramètres!$A$1:$I$89,3,0)*0.475*44/12</f>
        <v>9.3057800382777458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54.866430154733038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>
        <f>BY57*VLOOKUP('Données projet'!$B$12,Paramètres!$A$1:$I$89,3,0)*VLOOKUP('Données projet'!$B$12,Paramètres!$A$1:$I$89,5,0)</f>
        <v>0</v>
      </c>
      <c r="CA57" s="14" t="e">
        <f t="shared" si="39"/>
        <v>#NUM!</v>
      </c>
      <c r="CB57" s="22" t="e">
        <f t="shared" si="10"/>
        <v>#NUM!</v>
      </c>
      <c r="CC57" s="62" t="e">
        <f t="shared" si="11"/>
        <v>#NUM!</v>
      </c>
      <c r="CD57" s="62">
        <f ca="1">AVERAGE(OFFSET($CC$3,0,0,'Données projet'!$E$12+1,1))-AVERAGE(OFFSET($H$3,0,0,'Données projet'!$E$12+1,1))</f>
        <v>61.91827157428213</v>
      </c>
      <c r="CE57" s="62">
        <f t="shared" si="40"/>
        <v>358.41033295847001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43.621151175309407</v>
      </c>
      <c r="CL57" s="23">
        <f>EXP(-LN(2)/25)*CL56+(1-EXP(-LN(2)/25))/(LN(2)/25)*Calculateur!CG57*Calculateur!CI57*VLOOKUP('Données projet'!$B$12,Paramètres!$A$1:$I$89,3,0)*0.475*44/12</f>
        <v>8.9096366451381961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52.5307878204476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>
        <f>CT57*VLOOKUP('Données projet'!$B$13,Paramètres!$A$1:$I$89,3,0)*VLOOKUP('Données projet'!$B$13,Paramètres!$A$1:$I$89,5,0)</f>
        <v>0</v>
      </c>
      <c r="CV57" s="14" t="e">
        <f t="shared" si="41"/>
        <v>#NUM!</v>
      </c>
      <c r="CW57" s="22" t="e">
        <f t="shared" si="13"/>
        <v>#NUM!</v>
      </c>
      <c r="CX57" s="62" t="e">
        <f t="shared" si="14"/>
        <v>#NUM!</v>
      </c>
      <c r="CY57" s="62">
        <f ca="1">AVERAGE(OFFSET($CX$3,0,0,'Données projet'!$E$13+1,1))-AVERAGE(OFFSET($H$3,0,0,'Données projet'!$E$13+1,1))</f>
        <v>66.561949299871912</v>
      </c>
      <c r="CZ57" s="62">
        <f t="shared" si="42"/>
        <v>382.65744918271389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46.472206807682568</v>
      </c>
      <c r="DG57" s="23">
        <f>EXP(-LN(2)/25)*DG56+(1-EXP(-LN(2)/25))/(LN(2)/25)*Calculateur!DB57*Calculateur!DD57*VLOOKUP('Données projet'!$B$13,Paramètres!$A$1:$I$89,3,0)*0.475*44/12</f>
        <v>9.4919658376308949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55.964172645313461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>
        <f>DO57*VLOOKUP('Données projet'!$B$14,Paramètres!$A$1:$I$89,3,0)*VLOOKUP('Données projet'!$B$14,Paramètres!$A$1:$I$89,5,0)</f>
        <v>0</v>
      </c>
      <c r="DQ57" s="14" t="e">
        <f t="shared" si="43"/>
        <v>#NUM!</v>
      </c>
      <c r="DR57" s="22" t="e">
        <f t="shared" si="16"/>
        <v>#NUM!</v>
      </c>
      <c r="DS57" s="62" t="e">
        <f t="shared" si="17"/>
        <v>#NUM!</v>
      </c>
      <c r="DT57" s="62">
        <f ca="1">AVERAGE(OFFSET($DS$3,0,0,'Données projet'!$E$14+1,1))-AVERAGE(OFFSET($H$3,0,0,'Données projet'!$E$14+1,1))</f>
        <v>60.532656778089574</v>
      </c>
      <c r="DU57" s="62">
        <f t="shared" si="44"/>
        <v>348.96823267563025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42.511973367646412</v>
      </c>
      <c r="EB57" s="23">
        <f>EXP(-LN(2)/25)*EB56+(1-EXP(-LN(2)/25))/(LN(2)/25)*Calculateur!DW57*Calculateur!DY57*VLOOKUP('Données projet'!$B$14,Paramètres!$A$1:$I$89,3,0)*0.475*44/12</f>
        <v>8.6830866579218657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51.195060025568282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28.142399999999963</v>
      </c>
      <c r="D58" s="12">
        <f t="shared" si="32"/>
        <v>8.7944272513824711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285.1263858001451</v>
      </c>
      <c r="H58" s="70">
        <f t="shared" si="1"/>
        <v>357.66497412949104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74.209918391015606</v>
      </c>
      <c r="T58" s="62">
        <f t="shared" si="34"/>
        <v>422.59746235438649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50.172909658582199</v>
      </c>
      <c r="AA58" s="23">
        <f>EXP(-LN(2)/25)*AA57+(1-EXP(-LN(2)/25))/(LN(2)/25)*Calculateur!V58*Calculateur!X58*VLOOKUP('Données projet'!$B$9,Paramètres!$A$1:$I$89,3,0)*0.475*44/12</f>
        <v>10.166976393306109</v>
      </c>
      <c r="AB58" s="23">
        <f>EXP(-LN(2)/2)*AB57+(1-EXP(-LN(2)/2))/(LN(2)/2)*V58*Y58*VLOOKUP('Données projet'!$B$9,Paramètres!$A$1:$I$89,3,0)*0.475*44/12</f>
        <v>0</v>
      </c>
      <c r="AC58" s="24">
        <f t="shared" si="3"/>
        <v>60.339886051888307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65.6337514911271</v>
      </c>
      <c r="AO58" s="62">
        <f t="shared" si="36"/>
        <v>377.81060908047425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45.001885543352294</v>
      </c>
      <c r="AV58" s="23">
        <f>EXP(-LN(2)/25)*AV57+(1-EXP(-LN(2)/25))/(LN(2)/25)*Calculateur!AQ58*Calculateur!AS58*VLOOKUP('Données projet'!$B$10,Paramètres!$A$1:$I$89,3,0)*0.475*44/12</f>
        <v>9.119126458619963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54.121012001972261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66.622529958850123</v>
      </c>
      <c r="BJ58" s="62">
        <f t="shared" si="38"/>
        <v>374.90853633180166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44.667233556924216</v>
      </c>
      <c r="BQ58" s="23">
        <f>EXP(-LN(2)/25)*BQ57+(1-EXP(-LN(2)/25))/(LN(2)/25)*Calculateur!BL58*Calculateur!BN58*VLOOKUP('Données projet'!$B$11,Paramètres!$A$1:$I$89,3,0)*0.475*44/12</f>
        <v>9.0513129937613375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53.718546550685552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>
        <f>BY58*VLOOKUP('Données projet'!$B$12,Paramètres!$A$1:$I$89,3,0)*VLOOKUP('Données projet'!$B$12,Paramètres!$A$1:$I$89,5,0)</f>
        <v>0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61.91827157428213</v>
      </c>
      <c r="CE58" s="62">
        <f t="shared" si="40"/>
        <v>358.41033295847001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42.765767007036658</v>
      </c>
      <c r="CL58" s="23">
        <f>EXP(-LN(2)/25)*CL57+(1-EXP(-LN(2)/25))/(LN(2)/25)*Calculateur!CG58*Calculateur!CI58*VLOOKUP('Données projet'!$B$12,Paramètres!$A$1:$I$89,3,0)*0.475*44/12</f>
        <v>8.6660021625394634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51.431769169576121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>
        <f>CT58*VLOOKUP('Données projet'!$B$13,Paramètres!$A$1:$I$89,3,0)*VLOOKUP('Données projet'!$B$13,Paramètres!$A$1:$I$89,5,0)</f>
        <v>0</v>
      </c>
      <c r="CV58" s="14" t="e">
        <f t="shared" si="41"/>
        <v>#NUM!</v>
      </c>
      <c r="CW58" s="22" t="e">
        <f t="shared" si="13"/>
        <v>#NUM!</v>
      </c>
      <c r="CX58" s="62" t="e">
        <f t="shared" si="14"/>
        <v>#NUM!</v>
      </c>
      <c r="CY58" s="62">
        <f ca="1">AVERAGE(OFFSET($CX$3,0,0,'Données projet'!$E$13+1,1))-AVERAGE(OFFSET($H$3,0,0,'Données projet'!$E$13+1,1))</f>
        <v>66.561949299871912</v>
      </c>
      <c r="CZ58" s="62">
        <f t="shared" si="42"/>
        <v>382.65744918271389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45.560915177431205</v>
      </c>
      <c r="DG58" s="23">
        <f>EXP(-LN(2)/25)*DG57+(1-EXP(-LN(2)/25))/(LN(2)/25)*Calculateur!DB58*Calculateur!DD58*VLOOKUP('Données projet'!$B$13,Paramètres!$A$1:$I$89,3,0)*0.475*44/12</f>
        <v>9.2324075326400887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54.793322710071294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>
        <f>DO58*VLOOKUP('Données projet'!$B$14,Paramètres!$A$1:$I$89,3,0)*VLOOKUP('Données projet'!$B$14,Paramètres!$A$1:$I$89,5,0)</f>
        <v>0</v>
      </c>
      <c r="DQ58" s="14" t="e">
        <f t="shared" si="43"/>
        <v>#NUM!</v>
      </c>
      <c r="DR58" s="22" t="e">
        <f t="shared" si="16"/>
        <v>#NUM!</v>
      </c>
      <c r="DS58" s="62" t="e">
        <f t="shared" si="17"/>
        <v>#NUM!</v>
      </c>
      <c r="DT58" s="62">
        <f ca="1">AVERAGE(OFFSET($DS$3,0,0,'Données projet'!$E$14+1,1))-AVERAGE(OFFSET($H$3,0,0,'Données projet'!$E$14+1,1))</f>
        <v>60.532656778089574</v>
      </c>
      <c r="DU58" s="62">
        <f t="shared" si="44"/>
        <v>348.96823267563025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41.678339499650271</v>
      </c>
      <c r="EB58" s="23">
        <f>EXP(-LN(2)/25)*EB57+(1-EXP(-LN(2)/25))/(LN(2)/25)*Calculateur!DW58*Calculateur!DY58*VLOOKUP('Données projet'!$B$14,Paramètres!$A$1:$I$89,3,0)*0.475*44/12</f>
        <v>8.4456471966373101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50.123986696287581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28.654079999999961</v>
      </c>
      <c r="D59" s="12">
        <f t="shared" si="32"/>
        <v>8.9355652178173202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290.16568238315097</v>
      </c>
      <c r="H59" s="70">
        <f t="shared" si="1"/>
        <v>358.80196542103175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74.209918391015606</v>
      </c>
      <c r="T59" s="62">
        <f t="shared" si="34"/>
        <v>422.59746235438649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49.189049502630553</v>
      </c>
      <c r="AA59" s="23">
        <f>EXP(-LN(2)/25)*AA58+(1-EXP(-LN(2)/25))/(LN(2)/25)*Calculateur!V59*Calculateur!X59*VLOOKUP('Données projet'!$B$9,Paramètres!$A$1:$I$89,3,0)*0.475*44/12</f>
        <v>9.888959889173103</v>
      </c>
      <c r="AB59" s="23">
        <f>EXP(-LN(2)/2)*AB58+(1-EXP(-LN(2)/2))/(LN(2)/2)*V59*Y59*VLOOKUP('Données projet'!$B$9,Paramètres!$A$1:$I$89,3,0)*0.475*44/12</f>
        <v>0</v>
      </c>
      <c r="AC59" s="24">
        <f t="shared" si="3"/>
        <v>59.078009391803654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65.6337514911271</v>
      </c>
      <c r="AO59" s="62">
        <f t="shared" si="36"/>
        <v>377.81060908047425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44.119426016287029</v>
      </c>
      <c r="AV59" s="23">
        <f>EXP(-LN(2)/25)*AV58+(1-EXP(-LN(2)/25))/(LN(2)/25)*Calculateur!AQ59*Calculateur!AS59*VLOOKUP('Données projet'!$B$10,Paramètres!$A$1:$I$89,3,0)*0.475*44/12</f>
        <v>8.869763466054982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52.989189482342013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66.622529958850123</v>
      </c>
      <c r="BJ59" s="62">
        <f t="shared" si="38"/>
        <v>374.90853633180166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43.791336351195248</v>
      </c>
      <c r="BQ59" s="23">
        <f>EXP(-LN(2)/25)*BQ58+(1-EXP(-LN(2)/25))/(LN(2)/25)*Calculateur!BL59*Calculateur!BN59*VLOOKUP('Données projet'!$B$11,Paramètres!$A$1:$I$89,3,0)*0.475*44/12</f>
        <v>8.8038043639590704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52.595140715154315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>
        <f>BY59*VLOOKUP('Données projet'!$B$12,Paramètres!$A$1:$I$89,3,0)*VLOOKUP('Données projet'!$B$12,Paramètres!$A$1:$I$89,5,0)</f>
        <v>0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61.91827157428213</v>
      </c>
      <c r="CE59" s="62">
        <f t="shared" si="40"/>
        <v>358.41033295847001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41.927156400570908</v>
      </c>
      <c r="CL59" s="23">
        <f>EXP(-LN(2)/25)*CL58+(1-EXP(-LN(2)/25))/(LN(2)/25)*Calculateur!CG59*Calculateur!CI59*VLOOKUP('Données projet'!$B$12,Paramètres!$A$1:$I$89,3,0)*0.475*44/12</f>
        <v>8.4290298776795751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50.356186278250483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>
        <f>CT59*VLOOKUP('Données projet'!$B$13,Paramètres!$A$1:$I$89,3,0)*VLOOKUP('Données projet'!$B$13,Paramètres!$A$1:$I$89,5,0)</f>
        <v>0</v>
      </c>
      <c r="CV59" s="14" t="e">
        <f t="shared" si="41"/>
        <v>#NUM!</v>
      </c>
      <c r="CW59" s="22" t="e">
        <f t="shared" si="13"/>
        <v>#NUM!</v>
      </c>
      <c r="CX59" s="62" t="e">
        <f t="shared" si="14"/>
        <v>#NUM!</v>
      </c>
      <c r="CY59" s="62">
        <f ca="1">AVERAGE(OFFSET($CX$3,0,0,'Données projet'!$E$13+1,1))-AVERAGE(OFFSET($H$3,0,0,'Données projet'!$E$13+1,1))</f>
        <v>66.561949299871912</v>
      </c>
      <c r="CZ59" s="62">
        <f t="shared" si="42"/>
        <v>382.65744918271389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44.667493420216061</v>
      </c>
      <c r="DG59" s="23">
        <f>EXP(-LN(2)/25)*DG58+(1-EXP(-LN(2)/25))/(LN(2)/25)*Calculateur!DB59*Calculateur!DD59*VLOOKUP('Données projet'!$B$13,Paramètres!$A$1:$I$89,3,0)*0.475*44/12</f>
        <v>8.9799468631488342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53.647440283364894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>
        <f>DO59*VLOOKUP('Données projet'!$B$14,Paramètres!$A$1:$I$89,3,0)*VLOOKUP('Données projet'!$B$14,Paramètres!$A$1:$I$89,5,0)</f>
        <v>0</v>
      </c>
      <c r="DQ59" s="14" t="e">
        <f t="shared" si="43"/>
        <v>#NUM!</v>
      </c>
      <c r="DR59" s="22" t="e">
        <f t="shared" si="16"/>
        <v>#NUM!</v>
      </c>
      <c r="DS59" s="62" t="e">
        <f t="shared" si="17"/>
        <v>#NUM!</v>
      </c>
      <c r="DT59" s="62">
        <f ca="1">AVERAGE(OFFSET($DS$3,0,0,'Données projet'!$E$14+1,1))-AVERAGE(OFFSET($H$3,0,0,'Données projet'!$E$14+1,1))</f>
        <v>60.532656778089574</v>
      </c>
      <c r="DU59" s="62">
        <f t="shared" si="44"/>
        <v>348.96823267563025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40.861052683339082</v>
      </c>
      <c r="EB59" s="23">
        <f>EXP(-LN(2)/25)*EB58+(1-EXP(-LN(2)/25))/(LN(2)/25)*Calculateur!DW59*Calculateur!DY59*VLOOKUP('Données projet'!$B$14,Paramètres!$A$1:$I$89,3,0)*0.475*44/12</f>
        <v>8.2147005299079794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49.075753213247062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29.16575999999996</v>
      </c>
      <c r="D60" s="12">
        <f t="shared" si="32"/>
        <v>9.0764101071203047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295.20271661636696</v>
      </c>
      <c r="H60" s="70">
        <f t="shared" si="1"/>
        <v>359.93844626990108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74.209918391015606</v>
      </c>
      <c r="T60" s="62">
        <f t="shared" si="34"/>
        <v>422.59746235438649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48.224482244241678</v>
      </c>
      <c r="AA60" s="23">
        <f>EXP(-LN(2)/25)*AA59+(1-EXP(-LN(2)/25))/(LN(2)/25)*Calculateur!V60*Calculateur!X60*VLOOKUP('Données projet'!$B$9,Paramètres!$A$1:$I$89,3,0)*0.475*44/12</f>
        <v>9.6185457609658656</v>
      </c>
      <c r="AB60" s="23">
        <f>EXP(-LN(2)/2)*AB59+(1-EXP(-LN(2)/2))/(LN(2)/2)*V60*Y60*VLOOKUP('Données projet'!$B$9,Paramètres!$A$1:$I$89,3,0)*0.475*44/12</f>
        <v>0</v>
      </c>
      <c r="AC60" s="24">
        <f t="shared" si="3"/>
        <v>57.843028005207543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65.6337514911271</v>
      </c>
      <c r="AO60" s="62">
        <f t="shared" si="36"/>
        <v>377.81060908047425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43.254270982300348</v>
      </c>
      <c r="AV60" s="23">
        <f>EXP(-LN(2)/25)*AV59+(1-EXP(-LN(2)/25))/(LN(2)/25)*Calculateur!AQ60*Calculateur!AS60*VLOOKUP('Données projet'!$B$10,Paramètres!$A$1:$I$89,3,0)*0.475*44/12</f>
        <v>8.6272193176351202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51.881490299935464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66.622529958850123</v>
      </c>
      <c r="BJ60" s="62">
        <f t="shared" si="38"/>
        <v>374.90853633180166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42.932614955426082</v>
      </c>
      <c r="BQ60" s="23">
        <f>EXP(-LN(2)/25)*BQ59+(1-EXP(-LN(2)/25))/(LN(2)/25)*Calculateur!BL60*Calculateur!BN60*VLOOKUP('Données projet'!$B$11,Paramètres!$A$1:$I$89,3,0)*0.475*44/12</f>
        <v>8.5630638706546591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51.495678826080741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>
        <f>BY60*VLOOKUP('Données projet'!$B$12,Paramètres!$A$1:$I$89,3,0)*VLOOKUP('Données projet'!$B$12,Paramètres!$A$1:$I$89,5,0)</f>
        <v>0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61.91827157428213</v>
      </c>
      <c r="CE60" s="62">
        <f t="shared" si="40"/>
        <v>358.41033295847001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41.10499043659599</v>
      </c>
      <c r="CL60" s="23">
        <f>EXP(-LN(2)/25)*CL59+(1-EXP(-LN(2)/25))/(LN(2)/25)*Calculateur!CG60*Calculateur!CI60*VLOOKUP('Données projet'!$B$12,Paramètres!$A$1:$I$89,3,0)*0.475*44/12</f>
        <v>8.1985376124110108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49.303528049006999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>
        <f>CT60*VLOOKUP('Données projet'!$B$13,Paramètres!$A$1:$I$89,3,0)*VLOOKUP('Données projet'!$B$13,Paramètres!$A$1:$I$89,5,0)</f>
        <v>0</v>
      </c>
      <c r="CV60" s="14" t="e">
        <f t="shared" si="41"/>
        <v>#NUM!</v>
      </c>
      <c r="CW60" s="22" t="e">
        <f t="shared" si="13"/>
        <v>#NUM!</v>
      </c>
      <c r="CX60" s="62" t="e">
        <f t="shared" si="14"/>
        <v>#NUM!</v>
      </c>
      <c r="CY60" s="62">
        <f ca="1">AVERAGE(OFFSET($CX$3,0,0,'Données projet'!$E$13+1,1))-AVERAGE(OFFSET($H$3,0,0,'Données projet'!$E$13+1,1))</f>
        <v>66.561949299871912</v>
      </c>
      <c r="CZ60" s="62">
        <f t="shared" si="42"/>
        <v>382.65744918271389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43.791591118726444</v>
      </c>
      <c r="DG60" s="23">
        <f>EXP(-LN(2)/25)*DG59+(1-EXP(-LN(2)/25))/(LN(2)/25)*Calculateur!DB60*Calculateur!DD60*VLOOKUP('Données projet'!$B$13,Paramètres!$A$1:$I$89,3,0)*0.475*44/12</f>
        <v>8.7343897439411471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52.525980862667595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>
        <f>DO60*VLOOKUP('Données projet'!$B$14,Paramètres!$A$1:$I$89,3,0)*VLOOKUP('Données projet'!$B$14,Paramètres!$A$1:$I$89,5,0)</f>
        <v>0</v>
      </c>
      <c r="DQ60" s="14" t="e">
        <f t="shared" si="43"/>
        <v>#NUM!</v>
      </c>
      <c r="DR60" s="22" t="e">
        <f t="shared" si="16"/>
        <v>#NUM!</v>
      </c>
      <c r="DS60" s="62" t="e">
        <f t="shared" si="17"/>
        <v>#NUM!</v>
      </c>
      <c r="DT60" s="62">
        <f ca="1">AVERAGE(OFFSET($DS$3,0,0,'Données projet'!$E$14+1,1))-AVERAGE(OFFSET($H$3,0,0,'Données projet'!$E$14+1,1))</f>
        <v>60.532656778089574</v>
      </c>
      <c r="DU60" s="62">
        <f t="shared" si="44"/>
        <v>348.96823267563025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40.059792363000021</v>
      </c>
      <c r="EB60" s="23">
        <f>EXP(-LN(2)/25)*EB59+(1-EXP(-LN(2)/25))/(LN(2)/25)*Calculateur!DW60*Calculateur!DY60*VLOOKUP('Données projet'!$B$14,Paramètres!$A$1:$I$89,3,0)*0.475*44/12</f>
        <v>7.9900691119253198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48.049861474925343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29.677439999999958</v>
      </c>
      <c r="D61" s="12">
        <f t="shared" si="32"/>
        <v>9.2169676542258578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300.23753276946246</v>
      </c>
      <c r="H61" s="70">
        <f t="shared" si="1"/>
        <v>361.07442666444325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74.209918391015606</v>
      </c>
      <c r="T61" s="62">
        <f t="shared" si="34"/>
        <v>422.59746235438649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47.278829561461876</v>
      </c>
      <c r="AA61" s="23">
        <f>EXP(-LN(2)/25)*AA60+(1-EXP(-LN(2)/25))/(LN(2)/25)*Calculateur!V61*Calculateur!X61*VLOOKUP('Données projet'!$B$9,Paramètres!$A$1:$I$89,3,0)*0.475*44/12</f>
        <v>9.3555261213149166</v>
      </c>
      <c r="AB61" s="23">
        <f>EXP(-LN(2)/2)*AB60+(1-EXP(-LN(2)/2))/(LN(2)/2)*V61*Y61*VLOOKUP('Données projet'!$B$9,Paramètres!$A$1:$I$89,3,0)*0.475*44/12</f>
        <v>0</v>
      </c>
      <c r="AC61" s="24">
        <f t="shared" si="3"/>
        <v>56.634355682776793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65.6337514911271</v>
      </c>
      <c r="AO61" s="62">
        <f t="shared" si="36"/>
        <v>377.81060908047425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42.406081110837683</v>
      </c>
      <c r="AV61" s="23">
        <f>EXP(-LN(2)/25)*AV60+(1-EXP(-LN(2)/25))/(LN(2)/25)*Calculateur!AQ61*Calculateur!AS61*VLOOKUP('Données projet'!$B$10,Paramètres!$A$1:$I$89,3,0)*0.475*44/12</f>
        <v>8.3913075517086408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50.797388662546325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66.622529958850123</v>
      </c>
      <c r="BJ61" s="62">
        <f t="shared" si="38"/>
        <v>374.90853633180166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42.090732562459614</v>
      </c>
      <c r="BQ61" s="23">
        <f>EXP(-LN(2)/25)*BQ60+(1-EXP(-LN(2)/25))/(LN(2)/25)*Calculateur!BL61*Calculateur!BN61*VLOOKUP('Données projet'!$B$11,Paramètres!$A$1:$I$89,3,0)*0.475*44/12</f>
        <v>8.328906438799649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50.419639001259263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>
        <f>BY61*VLOOKUP('Données projet'!$B$12,Paramètres!$A$1:$I$89,3,0)*VLOOKUP('Données projet'!$B$12,Paramètres!$A$1:$I$89,5,0)</f>
        <v>0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61.91827157428213</v>
      </c>
      <c r="CE61" s="62">
        <f t="shared" si="40"/>
        <v>358.41033295847001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40.298946645702898</v>
      </c>
      <c r="CL61" s="23">
        <f>EXP(-LN(2)/25)*CL60+(1-EXP(-LN(2)/25))/(LN(2)/25)*Calculateur!CG61*Calculateur!CI61*VLOOKUP('Données projet'!$B$12,Paramètres!$A$1:$I$89,3,0)*0.475*44/12</f>
        <v>7.9743481702572767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48.273294815960178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>
        <f>CT61*VLOOKUP('Données projet'!$B$13,Paramètres!$A$1:$I$89,3,0)*VLOOKUP('Données projet'!$B$13,Paramètres!$A$1:$I$89,5,0)</f>
        <v>0</v>
      </c>
      <c r="CV61" s="14" t="e">
        <f t="shared" si="41"/>
        <v>#NUM!</v>
      </c>
      <c r="CW61" s="22" t="e">
        <f t="shared" si="13"/>
        <v>#NUM!</v>
      </c>
      <c r="CX61" s="62" t="e">
        <f t="shared" si="14"/>
        <v>#NUM!</v>
      </c>
      <c r="CY61" s="62">
        <f ca="1">AVERAGE(OFFSET($CX$3,0,0,'Données projet'!$E$13+1,1))-AVERAGE(OFFSET($H$3,0,0,'Données projet'!$E$13+1,1))</f>
        <v>66.561949299871912</v>
      </c>
      <c r="CZ61" s="62">
        <f t="shared" si="42"/>
        <v>382.65744918271389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42.932864727121384</v>
      </c>
      <c r="DG61" s="23">
        <f>EXP(-LN(2)/25)*DG60+(1-EXP(-LN(2)/25))/(LN(2)/25)*Calculateur!DB61*Calculateur!DD61*VLOOKUP('Données projet'!$B$13,Paramètres!$A$1:$I$89,3,0)*0.475*44/12</f>
        <v>8.4955473970714817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51.428412124192867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>
        <f>DO61*VLOOKUP('Données projet'!$B$14,Paramètres!$A$1:$I$89,3,0)*VLOOKUP('Données projet'!$B$14,Paramètres!$A$1:$I$89,5,0)</f>
        <v>0</v>
      </c>
      <c r="DQ61" s="14" t="e">
        <f t="shared" si="43"/>
        <v>#NUM!</v>
      </c>
      <c r="DR61" s="22" t="e">
        <f t="shared" si="16"/>
        <v>#NUM!</v>
      </c>
      <c r="DS61" s="62" t="e">
        <f t="shared" si="17"/>
        <v>#NUM!</v>
      </c>
      <c r="DT61" s="62">
        <f ca="1">AVERAGE(OFFSET($DS$3,0,0,'Données projet'!$E$14+1,1))-AVERAGE(OFFSET($H$3,0,0,'Données projet'!$E$14+1,1))</f>
        <v>60.532656778089574</v>
      </c>
      <c r="DU61" s="62">
        <f t="shared" si="44"/>
        <v>348.96823267563025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39.274244268822272</v>
      </c>
      <c r="EB61" s="23">
        <f>EXP(-LN(2)/25)*EB60+(1-EXP(-LN(2)/25))/(LN(2)/25)*Calculateur!DW61*Calculateur!DY61*VLOOKUP('Données projet'!$B$14,Paramètres!$A$1:$I$89,3,0)*0.475*44/12</f>
        <v>7.7715802518802493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47.045824520702524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30.189119999999956</v>
      </c>
      <c r="D62" s="12">
        <f t="shared" si="32"/>
        <v>9.3572433849814889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305.27017349810239</v>
      </c>
      <c r="H62" s="70">
        <f t="shared" si="1"/>
        <v>362.20991622884264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74.209918391015606</v>
      </c>
      <c r="T62" s="62">
        <f t="shared" si="34"/>
        <v>422.59746235438649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46.351720551000199</v>
      </c>
      <c r="AA62" s="23">
        <f>EXP(-LN(2)/25)*AA61+(1-EXP(-LN(2)/25))/(LN(2)/25)*Calculateur!V62*Calculateur!X62*VLOOKUP('Données projet'!$B$9,Paramètres!$A$1:$I$89,3,0)*0.475*44/12</f>
        <v>9.0996987675418239</v>
      </c>
      <c r="AB62" s="23">
        <f>EXP(-LN(2)/2)*AB61+(1-EXP(-LN(2)/2))/(LN(2)/2)*V62*Y62*VLOOKUP('Données projet'!$B$9,Paramètres!$A$1:$I$89,3,0)*0.475*44/12</f>
        <v>0</v>
      </c>
      <c r="AC62" s="24">
        <f t="shared" si="3"/>
        <v>55.451419318542023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65.6337514911271</v>
      </c>
      <c r="AO62" s="62">
        <f t="shared" si="36"/>
        <v>377.81060908047425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41.574523725409662</v>
      </c>
      <c r="AV62" s="23">
        <f>EXP(-LN(2)/25)*AV61+(1-EXP(-LN(2)/25))/(LN(2)/25)*Calculateur!AQ62*Calculateur!AS62*VLOOKUP('Données projet'!$B$10,Paramètres!$A$1:$I$89,3,0)*0.475*44/12</f>
        <v>8.1618468054274818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49.736370530837142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66.622529958850123</v>
      </c>
      <c r="BJ62" s="62">
        <f t="shared" si="38"/>
        <v>374.90853633180166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41.265358969721667</v>
      </c>
      <c r="BQ62" s="23">
        <f>EXP(-LN(2)/25)*BQ61+(1-EXP(-LN(2)/25))/(LN(2)/25)*Calculateur!BL62*Calculateur!BN62*VLOOKUP('Données projet'!$B$11,Paramètres!$A$1:$I$89,3,0)*0.475*44/12</f>
        <v>8.1011520542325197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49.366511023954189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>
        <f>BY62*VLOOKUP('Données projet'!$B$12,Paramètres!$A$1:$I$89,3,0)*VLOOKUP('Données projet'!$B$12,Paramètres!$A$1:$I$89,5,0)</f>
        <v>0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61.91827157428213</v>
      </c>
      <c r="CE62" s="62">
        <f t="shared" si="40"/>
        <v>358.41033295847001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39.508708881911055</v>
      </c>
      <c r="CL62" s="23">
        <f>EXP(-LN(2)/25)*CL61+(1-EXP(-LN(2)/25))/(LN(2)/25)*Calculateur!CG62*Calculateur!CI62*VLOOKUP('Données projet'!$B$12,Paramètres!$A$1:$I$89,3,0)*0.475*44/12</f>
        <v>7.7562892001888466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47.264998082099901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>
        <f>CT62*VLOOKUP('Données projet'!$B$13,Paramètres!$A$1:$I$89,3,0)*VLOOKUP('Données projet'!$B$13,Paramètres!$A$1:$I$89,5,0)</f>
        <v>0</v>
      </c>
      <c r="CV62" s="14" t="e">
        <f t="shared" si="41"/>
        <v>#NUM!</v>
      </c>
      <c r="CW62" s="22" t="e">
        <f t="shared" si="13"/>
        <v>#NUM!</v>
      </c>
      <c r="CX62" s="62" t="e">
        <f t="shared" si="14"/>
        <v>#NUM!</v>
      </c>
      <c r="CY62" s="62">
        <f ca="1">AVERAGE(OFFSET($CX$3,0,0,'Données projet'!$E$13+1,1))-AVERAGE(OFFSET($H$3,0,0,'Données projet'!$E$13+1,1))</f>
        <v>66.561949299871912</v>
      </c>
      <c r="CZ62" s="62">
        <f t="shared" si="42"/>
        <v>382.65744918271389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42.090977436284319</v>
      </c>
      <c r="DG62" s="23">
        <f>EXP(-LN(2)/25)*DG61+(1-EXP(-LN(2)/25))/(LN(2)/25)*Calculateur!DB62*Calculateur!DD62*VLOOKUP('Données projet'!$B$13,Paramètres!$A$1:$I$89,3,0)*0.475*44/12</f>
        <v>8.2632362067371421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50.35421364302146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>
        <f>DO62*VLOOKUP('Données projet'!$B$14,Paramètres!$A$1:$I$89,3,0)*VLOOKUP('Données projet'!$B$14,Paramètres!$A$1:$I$89,5,0)</f>
        <v>0</v>
      </c>
      <c r="DQ62" s="14" t="e">
        <f t="shared" si="43"/>
        <v>#NUM!</v>
      </c>
      <c r="DR62" s="22" t="e">
        <f t="shared" si="16"/>
        <v>#NUM!</v>
      </c>
      <c r="DS62" s="62" t="e">
        <f t="shared" si="17"/>
        <v>#NUM!</v>
      </c>
      <c r="DT62" s="62">
        <f ca="1">AVERAGE(OFFSET($DS$3,0,0,'Données projet'!$E$14+1,1))-AVERAGE(OFFSET($H$3,0,0,'Données projet'!$E$14+1,1))</f>
        <v>60.532656778089574</v>
      </c>
      <c r="DU62" s="62">
        <f t="shared" si="44"/>
        <v>348.96823267563025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38.504100293634316</v>
      </c>
      <c r="EB62" s="23">
        <f>EXP(-LN(2)/25)*EB61+(1-EXP(-LN(2)/25))/(LN(2)/25)*Calculateur!DW62*Calculateur!DY62*VLOOKUP('Données projet'!$B$14,Paramètres!$A$1:$I$89,3,0)*0.475*44/12</f>
        <v>7.5590659812029406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46.063166274837258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30.700799999999955</v>
      </c>
      <c r="D63" s="12">
        <f t="shared" si="32"/>
        <v>9.4972426271830557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310.30067992913206</v>
      </c>
      <c r="H63" s="70">
        <f t="shared" si="1"/>
        <v>363.34492424234372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74.209918391015606</v>
      </c>
      <c r="T63" s="62">
        <f t="shared" si="34"/>
        <v>422.59746235438649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45.442791582753017</v>
      </c>
      <c r="AA63" s="23">
        <f>EXP(-LN(2)/25)*AA62+(1-EXP(-LN(2)/25))/(LN(2)/25)*Calculateur!V63*Calculateur!X63*VLOOKUP('Données projet'!$B$9,Paramètres!$A$1:$I$89,3,0)*0.475*44/12</f>
        <v>8.8508670262110325</v>
      </c>
      <c r="AB63" s="23">
        <f>EXP(-LN(2)/2)*AB62+(1-EXP(-LN(2)/2))/(LN(2)/2)*V63*Y63*VLOOKUP('Données projet'!$B$9,Paramètres!$A$1:$I$89,3,0)*0.475*44/12</f>
        <v>0</v>
      </c>
      <c r="AC63" s="24">
        <f t="shared" si="3"/>
        <v>54.293658608964051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65.6337514911271</v>
      </c>
      <c r="AO63" s="62">
        <f t="shared" si="36"/>
        <v>377.81060908047425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40.759272673109962</v>
      </c>
      <c r="AV63" s="23">
        <f>EXP(-LN(2)/25)*AV62+(1-EXP(-LN(2)/25))/(LN(2)/25)*Calculateur!AQ63*Calculateur!AS63*VLOOKUP('Données projet'!$B$10,Paramètres!$A$1:$I$89,3,0)*0.475*44/12</f>
        <v>7.9386606753201976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48.697933348430162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66.622529958850123</v>
      </c>
      <c r="BJ63" s="62">
        <f t="shared" si="38"/>
        <v>374.90853633180166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40.456170449709127</v>
      </c>
      <c r="BQ63" s="23">
        <f>EXP(-LN(2)/25)*BQ62+(1-EXP(-LN(2)/25))/(LN(2)/25)*Calculateur!BL63*Calculateur!BN63*VLOOKUP('Données projet'!$B$11,Paramètres!$A$1:$I$89,3,0)*0.475*44/12</f>
        <v>7.87962562528846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48.335796074997589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>
        <f>BY63*VLOOKUP('Données projet'!$B$12,Paramètres!$A$1:$I$89,3,0)*VLOOKUP('Données projet'!$B$12,Paramètres!$A$1:$I$89,5,0)</f>
        <v>0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61.91827157428213</v>
      </c>
      <c r="CE63" s="62">
        <f t="shared" si="40"/>
        <v>358.41033295847001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38.733967198669724</v>
      </c>
      <c r="CL63" s="23">
        <f>EXP(-LN(2)/25)*CL62+(1-EXP(-LN(2)/25))/(LN(2)/25)*Calculateur!CG63*Calculateur!CI63*VLOOKUP('Données projet'!$B$12,Paramètres!$A$1:$I$89,3,0)*0.475*44/12</f>
        <v>7.544193064124161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46.278160262793882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>
        <f>CT63*VLOOKUP('Données projet'!$B$13,Paramètres!$A$1:$I$89,3,0)*VLOOKUP('Données projet'!$B$13,Paramètres!$A$1:$I$89,5,0)</f>
        <v>0</v>
      </c>
      <c r="CV63" s="14" t="e">
        <f t="shared" si="41"/>
        <v>#NUM!</v>
      </c>
      <c r="CW63" s="22" t="e">
        <f t="shared" si="13"/>
        <v>#NUM!</v>
      </c>
      <c r="CX63" s="62" t="e">
        <f t="shared" si="14"/>
        <v>#NUM!</v>
      </c>
      <c r="CY63" s="62">
        <f ca="1">AVERAGE(OFFSET($CX$3,0,0,'Données projet'!$E$13+1,1))-AVERAGE(OFFSET($H$3,0,0,'Données projet'!$E$13+1,1))</f>
        <v>66.561949299871912</v>
      </c>
      <c r="CZ63" s="62">
        <f t="shared" si="42"/>
        <v>382.65744918271389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41.265599041720023</v>
      </c>
      <c r="DG63" s="23">
        <f>EXP(-LN(2)/25)*DG62+(1-EXP(-LN(2)/25))/(LN(2)/25)*Calculateur!DB63*Calculateur!DD63*VLOOKUP('Données projet'!$B$13,Paramètres!$A$1:$I$89,3,0)*0.475*44/12</f>
        <v>8.037277578119209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49.302876619839232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>
        <f>DO63*VLOOKUP('Données projet'!$B$14,Paramètres!$A$1:$I$89,3,0)*VLOOKUP('Données projet'!$B$14,Paramètres!$A$1:$I$89,5,0)</f>
        <v>0</v>
      </c>
      <c r="DQ63" s="14" t="e">
        <f t="shared" si="43"/>
        <v>#NUM!</v>
      </c>
      <c r="DR63" s="22" t="e">
        <f t="shared" si="16"/>
        <v>#NUM!</v>
      </c>
      <c r="DS63" s="62" t="e">
        <f t="shared" si="17"/>
        <v>#NUM!</v>
      </c>
      <c r="DT63" s="62">
        <f ca="1">AVERAGE(OFFSET($DS$3,0,0,'Données projet'!$E$14+1,1))-AVERAGE(OFFSET($H$3,0,0,'Données projet'!$E$14+1,1))</f>
        <v>60.532656778089574</v>
      </c>
      <c r="DU63" s="62">
        <f t="shared" si="44"/>
        <v>348.96823267563025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37.749058372058357</v>
      </c>
      <c r="EB63" s="23">
        <f>EXP(-LN(2)/25)*EB62+(1-EXP(-LN(2)/25))/(LN(2)/25)*Calculateur!DW63*Calculateur!DY63*VLOOKUP('Données projet'!$B$14,Paramètres!$A$1:$I$89,3,0)*0.475*44/12</f>
        <v>7.3523629244329429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45.101421296491303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31.212479999999953</v>
      </c>
      <c r="D64" s="12">
        <f t="shared" si="32"/>
        <v>9.6369705208534739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315.32909173992118</v>
      </c>
      <c r="H64" s="70">
        <f t="shared" si="1"/>
        <v>364.47945965715303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74.209918391015606</v>
      </c>
      <c r="T64" s="62">
        <f t="shared" si="34"/>
        <v>422.59746235438649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44.55168615718123</v>
      </c>
      <c r="AA64" s="23">
        <f>EXP(-LN(2)/25)*AA63+(1-EXP(-LN(2)/25))/(LN(2)/25)*Calculateur!V64*Calculateur!X64*VLOOKUP('Données projet'!$B$9,Paramètres!$A$1:$I$89,3,0)*0.475*44/12</f>
        <v>8.6088396019324236</v>
      </c>
      <c r="AB64" s="23">
        <f>EXP(-LN(2)/2)*AB63+(1-EXP(-LN(2)/2))/(LN(2)/2)*V64*Y64*VLOOKUP('Données projet'!$B$9,Paramètres!$A$1:$I$89,3,0)*0.475*44/12</f>
        <v>0</v>
      </c>
      <c r="AC64" s="24">
        <f t="shared" si="3"/>
        <v>53.160525759113654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65.6337514911271</v>
      </c>
      <c r="AO64" s="62">
        <f t="shared" si="36"/>
        <v>377.81060908047425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39.960008196691817</v>
      </c>
      <c r="AV64" s="23">
        <f>EXP(-LN(2)/25)*AV63+(1-EXP(-LN(2)/25))/(LN(2)/25)*Calculateur!AQ64*Calculateur!AS64*VLOOKUP('Données projet'!$B$10,Paramètres!$A$1:$I$89,3,0)*0.475*44/12</f>
        <v>7.721577581677546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47.68158577836936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66.622529958850123</v>
      </c>
      <c r="BJ64" s="62">
        <f t="shared" si="38"/>
        <v>374.90853633180166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39.66284962301777</v>
      </c>
      <c r="BQ64" s="23">
        <f>EXP(-LN(2)/25)*BQ63+(1-EXP(-LN(2)/25))/(LN(2)/25)*Calculateur!BL64*Calculateur!BN64*VLOOKUP('Données projet'!$B$11,Paramètres!$A$1:$I$89,3,0)*0.475*44/12</f>
        <v>7.6641568481934446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47.327006471211213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projet'!$B$12,Paramètres!$A$1:$I$89,3,0)*VLOOKUP('Données projet'!$B$12,Paramètres!$A$1:$I$89,5,0)</f>
        <v>0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61.91827157428213</v>
      </c>
      <c r="CE64" s="62">
        <f t="shared" si="40"/>
        <v>358.41033295847001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37.974417727290991</v>
      </c>
      <c r="CL64" s="23">
        <f>EXP(-LN(2)/25)*CL63+(1-EXP(-LN(2)/25))/(LN(2)/25)*Calculateur!CG64*Calculateur!CI64*VLOOKUP('Données projet'!$B$12,Paramètres!$A$1:$I$89,3,0)*0.475*44/12</f>
        <v>7.3378967080538153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45.312314435344803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>
        <f>CT64*VLOOKUP('Données projet'!$B$13,Paramètres!$A$1:$I$89,3,0)*VLOOKUP('Données projet'!$B$13,Paramètres!$A$1:$I$89,5,0)</f>
        <v>0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66.561949299871912</v>
      </c>
      <c r="CZ64" s="62">
        <f t="shared" si="42"/>
        <v>382.65744918271389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40.456405814042022</v>
      </c>
      <c r="DG64" s="23">
        <f>EXP(-LN(2)/25)*DG63+(1-EXP(-LN(2)/25))/(LN(2)/25)*Calculateur!DB64*Calculateur!DD64*VLOOKUP('Données projet'!$B$13,Paramètres!$A$1:$I$89,3,0)*0.475*44/12</f>
        <v>7.8174978000834807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48.273903614125501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>
        <f>DO64*VLOOKUP('Données projet'!$B$14,Paramètres!$A$1:$I$89,3,0)*VLOOKUP('Données projet'!$B$14,Paramètres!$A$1:$I$89,5,0)</f>
        <v>0</v>
      </c>
      <c r="DQ64" s="14" t="e">
        <f t="shared" si="43"/>
        <v>#NUM!</v>
      </c>
      <c r="DR64" s="22" t="e">
        <f t="shared" si="16"/>
        <v>#NUM!</v>
      </c>
      <c r="DS64" s="62" t="e">
        <f t="shared" si="17"/>
        <v>#NUM!</v>
      </c>
      <c r="DT64" s="62">
        <f ca="1">AVERAGE(OFFSET($DS$3,0,0,'Données projet'!$E$14+1,1))-AVERAGE(OFFSET($H$3,0,0,'Données projet'!$E$14+1,1))</f>
        <v>60.532656778089574</v>
      </c>
      <c r="DU64" s="62">
        <f t="shared" si="44"/>
        <v>348.96823267563025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37.008822362034401</v>
      </c>
      <c r="EB64" s="23">
        <f>EXP(-LN(2)/25)*EB63+(1-EXP(-LN(2)/25))/(LN(2)/25)*Calculateur!DW64*Calculateur!DY64*VLOOKUP('Données projet'!$B$14,Paramètres!$A$1:$I$89,3,0)*0.475*44/12</f>
        <v>7.1513121736203615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44.160134535654763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31.724159999999952</v>
      </c>
      <c r="D65" s="12">
        <f t="shared" si="32"/>
        <v>9.7764320278283297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320.3554472323587</v>
      </c>
      <c r="H65" s="70">
        <f t="shared" si="1"/>
        <v>365.61353111513426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74.209918391015606</v>
      </c>
      <c r="T65" s="62">
        <f t="shared" si="34"/>
        <v>422.59746235438649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43.678054765484269</v>
      </c>
      <c r="AA65" s="23">
        <f>EXP(-LN(2)/25)*AA64+(1-EXP(-LN(2)/25))/(LN(2)/25)*Calculateur!V65*Calculateur!X65*VLOOKUP('Données projet'!$B$9,Paramètres!$A$1:$I$89,3,0)*0.475*44/12</f>
        <v>8.3734304302983826</v>
      </c>
      <c r="AB65" s="23">
        <f>EXP(-LN(2)/2)*AB64+(1-EXP(-LN(2)/2))/(LN(2)/2)*V65*Y65*VLOOKUP('Données projet'!$B$9,Paramètres!$A$1:$I$89,3,0)*0.475*44/12</f>
        <v>0</v>
      </c>
      <c r="AC65" s="24">
        <f t="shared" si="3"/>
        <v>52.051485195782654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65.6337514911271</v>
      </c>
      <c r="AO65" s="62">
        <f t="shared" si="36"/>
        <v>377.81060908047425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39.176416809153039</v>
      </c>
      <c r="AV65" s="23">
        <f>EXP(-LN(2)/25)*AV64+(1-EXP(-LN(2)/25))/(LN(2)/25)*Calculateur!AQ65*Calculateur!AS65*VLOOKUP('Données projet'!$B$10,Paramètres!$A$1:$I$89,3,0)*0.475*44/12</f>
        <v>7.5104306366464568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46.686847445799494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66.622529958850123</v>
      </c>
      <c r="BJ65" s="62">
        <f t="shared" si="38"/>
        <v>374.90853633180166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38.885085333859905</v>
      </c>
      <c r="BQ65" s="23">
        <f>EXP(-LN(2)/25)*BQ64+(1-EXP(-LN(2)/25))/(LN(2)/25)*Calculateur!BL65*Calculateur!BN65*VLOOKUP('Données projet'!$B$11,Paramètres!$A$1:$I$89,3,0)*0.475*44/12</f>
        <v>7.454580076139103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46.339665409999007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projet'!$B$12,Paramètres!$A$1:$I$89,3,0)*VLOOKUP('Données projet'!$B$12,Paramètres!$A$1:$I$89,5,0)</f>
        <v>0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61.91827157428213</v>
      </c>
      <c r="CE65" s="62">
        <f t="shared" si="40"/>
        <v>358.41033295847001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37.229762557766563</v>
      </c>
      <c r="CL65" s="23">
        <f>EXP(-LN(2)/25)*CL64+(1-EXP(-LN(2)/25))/(LN(2)/25)*Calculateur!CG65*Calculateur!CI65*VLOOKUP('Données projet'!$B$12,Paramètres!$A$1:$I$89,3,0)*0.475*44/12</f>
        <v>7.1372415366888671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44.367004094455432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>
        <f>CT65*VLOOKUP('Données projet'!$B$13,Paramètres!$A$1:$I$89,3,0)*VLOOKUP('Données projet'!$B$13,Paramètres!$A$1:$I$89,5,0)</f>
        <v>0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66.561949299871912</v>
      </c>
      <c r="CZ65" s="62">
        <f t="shared" si="42"/>
        <v>382.65744918271389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39.663080371999655</v>
      </c>
      <c r="DG65" s="23">
        <f>EXP(-LN(2)/25)*DG64+(1-EXP(-LN(2)/25))/(LN(2)/25)*Calculateur!DB65*Calculateur!DD65*VLOOKUP('Données projet'!$B$13,Paramètres!$A$1:$I$89,3,0)*0.475*44/12</f>
        <v>7.6037279116358558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47.266808283635513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>
        <f>DO65*VLOOKUP('Données projet'!$B$14,Paramètres!$A$1:$I$89,3,0)*VLOOKUP('Données projet'!$B$14,Paramètres!$A$1:$I$89,5,0)</f>
        <v>0</v>
      </c>
      <c r="DQ65" s="14" t="e">
        <f t="shared" si="43"/>
        <v>#NUM!</v>
      </c>
      <c r="DR65" s="22" t="e">
        <f t="shared" si="16"/>
        <v>#NUM!</v>
      </c>
      <c r="DS65" s="62" t="e">
        <f t="shared" si="17"/>
        <v>#NUM!</v>
      </c>
      <c r="DT65" s="62">
        <f ca="1">AVERAGE(OFFSET($DS$3,0,0,'Données projet'!$E$14+1,1))-AVERAGE(OFFSET($H$3,0,0,'Données projet'!$E$14+1,1))</f>
        <v>60.532656778089574</v>
      </c>
      <c r="DU65" s="62">
        <f t="shared" si="44"/>
        <v>348.96823267563025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36.283101928667634</v>
      </c>
      <c r="EB65" s="23">
        <f>EXP(-LN(2)/25)*EB64+(1-EXP(-LN(2)/25))/(LN(2)/25)*Calculateur!DW65*Calculateur!DY65*VLOOKUP('Données projet'!$B$14,Paramètres!$A$1:$I$89,3,0)*0.475*44/12</f>
        <v>6.9557591661615499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43.238861094829183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32.235839999999953</v>
      </c>
      <c r="D66" s="12">
        <f t="shared" si="32"/>
        <v>9.9156319407055236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325.37978340193706</v>
      </c>
      <c r="H66" s="70">
        <f t="shared" si="1"/>
        <v>366.74714696339538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74.209918391015606</v>
      </c>
      <c r="T66" s="62">
        <f t="shared" si="34"/>
        <v>422.59746235438649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42.821554752515951</v>
      </c>
      <c r="AA66" s="23">
        <f>EXP(-LN(2)/25)*AA65+(1-EXP(-LN(2)/25))/(LN(2)/25)*Calculateur!V66*Calculateur!X66*VLOOKUP('Données projet'!$B$9,Paramètres!$A$1:$I$89,3,0)*0.475*44/12</f>
        <v>8.144458534842304</v>
      </c>
      <c r="AB66" s="23">
        <f>EXP(-LN(2)/2)*AB65+(1-EXP(-LN(2)/2))/(LN(2)/2)*V66*Y66*VLOOKUP('Données projet'!$B$9,Paramètres!$A$1:$I$89,3,0)*0.475*44/12</f>
        <v>0</v>
      </c>
      <c r="AC66" s="24">
        <f t="shared" si="3"/>
        <v>50.966013287358251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65.6337514911271</v>
      </c>
      <c r="AO66" s="62">
        <f t="shared" si="36"/>
        <v>377.81060908047425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38.408191170780341</v>
      </c>
      <c r="AV66" s="23">
        <f>EXP(-LN(2)/25)*AV65+(1-EXP(-LN(2)/25))/(LN(2)/25)*Calculateur!AQ66*Calculateur!AS66*VLOOKUP('Données projet'!$B$10,Paramètres!$A$1:$I$89,3,0)*0.475*44/12</f>
        <v>7.3050575159309776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45.713248686711317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66.622529958850123</v>
      </c>
      <c r="BJ66" s="62">
        <f t="shared" si="38"/>
        <v>374.90853633180166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38.122572528023049</v>
      </c>
      <c r="BQ66" s="23">
        <f>EXP(-LN(2)/25)*BQ65+(1-EXP(-LN(2)/25))/(LN(2)/25)*Calculateur!BL66*Calculateur!BN66*VLOOKUP('Données projet'!$B$11,Paramètres!$A$1:$I$89,3,0)*0.475*44/12</f>
        <v>7.2507341919377506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45.373306719960802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projet'!$B$12,Paramètres!$A$1:$I$89,3,0)*VLOOKUP('Données projet'!$B$12,Paramètres!$A$1:$I$89,5,0)</f>
        <v>0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61.91827157428213</v>
      </c>
      <c r="CE66" s="62">
        <f t="shared" si="40"/>
        <v>358.41033295847001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36.499709621921703</v>
      </c>
      <c r="CL66" s="23">
        <f>EXP(-LN(2)/25)*CL65+(1-EXP(-LN(2)/25))/(LN(2)/25)*Calculateur!CG66*Calculateur!CI66*VLOOKUP('Données projet'!$B$12,Paramètres!$A$1:$I$89,3,0)*0.475*44/12</f>
        <v>6.9420732915368903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43.441782913458596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>
        <f>CT66*VLOOKUP('Données projet'!$B$13,Paramètres!$A$1:$I$89,3,0)*VLOOKUP('Données projet'!$B$13,Paramètres!$A$1:$I$89,5,0)</f>
        <v>0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66.561949299871912</v>
      </c>
      <c r="CZ66" s="62">
        <f t="shared" si="42"/>
        <v>382.65744918271389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38.885311557994996</v>
      </c>
      <c r="DG66" s="23">
        <f>EXP(-LN(2)/25)*DG65+(1-EXP(-LN(2)/25))/(LN(2)/25)*Calculateur!DB66*Calculateur!DD66*VLOOKUP('Données projet'!$B$13,Paramètres!$A$1:$I$89,3,0)*0.475*44/12</f>
        <v>7.395803572029501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46.281115130024496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>
        <f>DO66*VLOOKUP('Données projet'!$B$14,Paramètres!$A$1:$I$89,3,0)*VLOOKUP('Données projet'!$B$14,Paramètres!$A$1:$I$89,5,0)</f>
        <v>0</v>
      </c>
      <c r="DQ66" s="14" t="e">
        <f t="shared" si="43"/>
        <v>#NUM!</v>
      </c>
      <c r="DR66" s="22" t="e">
        <f t="shared" si="16"/>
        <v>#NUM!</v>
      </c>
      <c r="DS66" s="62" t="e">
        <f t="shared" si="17"/>
        <v>#NUM!</v>
      </c>
      <c r="DT66" s="62">
        <f ca="1">AVERAGE(OFFSET($DS$3,0,0,'Données projet'!$E$14+1,1))-AVERAGE(OFFSET($H$3,0,0,'Données projet'!$E$14+1,1))</f>
        <v>60.532656778089574</v>
      </c>
      <c r="DU66" s="62">
        <f t="shared" si="44"/>
        <v>348.96823267563025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35.571612430353433</v>
      </c>
      <c r="EB66" s="23">
        <f>EXP(-LN(2)/25)*EB65+(1-EXP(-LN(2)/25))/(LN(2)/25)*Calculateur!DW66*Calculateur!DY66*VLOOKUP('Données projet'!$B$14,Paramètres!$A$1:$I$89,3,0)*0.475*44/12</f>
        <v>6.7655535659753854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42.337165996328821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32.747519999999952</v>
      </c>
      <c r="D67" s="12">
        <f t="shared" si="32"/>
        <v>10.054574891210564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330.40213600232681</v>
      </c>
      <c r="H67" s="70">
        <f t="shared" si="1"/>
        <v>367.88031526885828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74.209918391015606</v>
      </c>
      <c r="T67" s="62">
        <f t="shared" si="34"/>
        <v>422.59746235438649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41.98185018238852</v>
      </c>
      <c r="AA67" s="23">
        <f>EXP(-LN(2)/25)*AA66+(1-EXP(-LN(2)/25))/(LN(2)/25)*Calculateur!V67*Calculateur!X67*VLOOKUP('Données projet'!$B$9,Paramètres!$A$1:$I$89,3,0)*0.475*44/12</f>
        <v>7.9217478879085812</v>
      </c>
      <c r="AB67" s="23">
        <f>EXP(-LN(2)/2)*AB66+(1-EXP(-LN(2)/2))/(LN(2)/2)*V67*Y67*VLOOKUP('Données projet'!$B$9,Paramètres!$A$1:$I$89,3,0)*0.475*44/12</f>
        <v>0</v>
      </c>
      <c r="AC67" s="24">
        <f t="shared" si="3"/>
        <v>49.9035980702971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65.6337514911271</v>
      </c>
      <c r="AO67" s="62">
        <f t="shared" si="36"/>
        <v>377.81060908047425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37.655029968604758</v>
      </c>
      <c r="AV67" s="23">
        <f>EXP(-LN(2)/25)*AV66+(1-EXP(-LN(2)/25))/(LN(2)/25)*Calculateur!AQ67*Calculateur!AS67*VLOOKUP('Données projet'!$B$10,Paramètres!$A$1:$I$89,3,0)*0.475*44/12</f>
        <v>7.1053003340015666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44.760330302606327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66.622529958850123</v>
      </c>
      <c r="BJ67" s="62">
        <f t="shared" si="38"/>
        <v>374.90853633180166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37.375012133221766</v>
      </c>
      <c r="BQ67" s="23">
        <f>EXP(-LN(2)/25)*BQ66+(1-EXP(-LN(2)/25))/(LN(2)/25)*Calculateur!BL67*Calculateur!BN67*VLOOKUP('Données projet'!$B$11,Paramètres!$A$1:$I$89,3,0)*0.475*44/12</f>
        <v>7.0524624841596735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44.427474617381442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projet'!$B$12,Paramètres!$A$1:$I$89,3,0)*VLOOKUP('Données projet'!$B$12,Paramètres!$A$1:$I$89,5,0)</f>
        <v>0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61.91827157428213</v>
      </c>
      <c r="CE67" s="62">
        <f t="shared" si="40"/>
        <v>358.41033295847001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35.783972578860435</v>
      </c>
      <c r="CL67" s="23">
        <f>EXP(-LN(2)/25)*CL66+(1-EXP(-LN(2)/25))/(LN(2)/25)*Calculateur!CG67*Calculateur!CI67*VLOOKUP('Données projet'!$B$12,Paramètres!$A$1:$I$89,3,0)*0.475*44/12</f>
        <v>6.7522419323120459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42.536214511172481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>
        <f>CT67*VLOOKUP('Données projet'!$B$13,Paramètres!$A$1:$I$89,3,0)*VLOOKUP('Données projet'!$B$13,Paramètres!$A$1:$I$89,5,0)</f>
        <v>0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66.561949299871912</v>
      </c>
      <c r="CZ67" s="62">
        <f t="shared" si="42"/>
        <v>382.65744918271389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38.122794316040839</v>
      </c>
      <c r="DG67" s="23">
        <f>EXP(-LN(2)/25)*DG66+(1-EXP(-LN(2)/25))/(LN(2)/25)*Calculateur!DB67*Calculateur!DD67*VLOOKUP('Données projet'!$B$13,Paramètres!$A$1:$I$89,3,0)*0.475*44/12</f>
        <v>7.1935649344239474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45.316359250464785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>
        <f>DO67*VLOOKUP('Données projet'!$B$14,Paramètres!$A$1:$I$89,3,0)*VLOOKUP('Données projet'!$B$14,Paramètres!$A$1:$I$89,5,0)</f>
        <v>0</v>
      </c>
      <c r="DQ67" s="14" t="e">
        <f t="shared" si="43"/>
        <v>#NUM!</v>
      </c>
      <c r="DR67" s="22" t="e">
        <f t="shared" si="16"/>
        <v>#NUM!</v>
      </c>
      <c r="DS67" s="62" t="e">
        <f t="shared" si="17"/>
        <v>#NUM!</v>
      </c>
      <c r="DT67" s="62">
        <f ca="1">AVERAGE(OFFSET($DS$3,0,0,'Données projet'!$E$14+1,1))-AVERAGE(OFFSET($H$3,0,0,'Données projet'!$E$14+1,1))</f>
        <v>60.532656778089574</v>
      </c>
      <c r="DU67" s="62">
        <f t="shared" si="44"/>
        <v>348.96823267563025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34.874074807135429</v>
      </c>
      <c r="EB67" s="23">
        <f>EXP(-LN(2)/25)*EB66+(1-EXP(-LN(2)/25))/(LN(2)/25)*Calculateur!DW67*Calculateur!DY67*VLOOKUP('Données projet'!$B$14,Paramètres!$A$1:$I$89,3,0)*0.475*44/12</f>
        <v>6.5805491479287896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41.454623955064221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33.25919999999995</v>
      </c>
      <c r="D68" s="12">
        <f t="shared" si="32"/>
        <v>10.193265358024172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335.42253960580024</v>
      </c>
      <c r="H68" s="70">
        <f t="shared" ref="H68:H131" si="56">(B68+E68+F68)*44/12+(C68+D68)*0.475*44/12</f>
        <v>369.01304383189199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74.209918391015606</v>
      </c>
      <c r="T68" s="62">
        <f t="shared" si="34"/>
        <v>422.59746235438649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41.158611706712072</v>
      </c>
      <c r="AA68" s="23">
        <f>EXP(-LN(2)/25)*AA67+(1-EXP(-LN(2)/25))/(LN(2)/25)*Calculateur!V68*Calculateur!X68*VLOOKUP('Données projet'!$B$9,Paramètres!$A$1:$I$89,3,0)*0.475*44/12</f>
        <v>7.7051272753271052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48.86373898203918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65.6337514911271</v>
      </c>
      <c r="AO68" s="62">
        <f t="shared" si="36"/>
        <v>377.81060908047425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36.916637798220869</v>
      </c>
      <c r="AV68" s="23">
        <f>EXP(-LN(2)/25)*AV67+(1-EXP(-LN(2)/25))/(LN(2)/25)*Calculateur!AQ68*Calculateur!AS68*VLOOKUP('Données projet'!$B$10,Paramètres!$A$1:$I$89,3,0)*0.475*44/12</f>
        <v>6.9110055227167884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43.827643320937653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66.622529958850123</v>
      </c>
      <c r="BJ68" s="62">
        <f t="shared" si="38"/>
        <v>374.90853633180166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36.642110941795721</v>
      </c>
      <c r="BQ68" s="23">
        <f>EXP(-LN(2)/25)*BQ67+(1-EXP(-LN(2)/25))/(LN(2)/25)*Calculateur!BL68*Calculateur!BN68*VLOOKUP('Données projet'!$B$11,Paramètres!$A$1:$I$89,3,0)*0.475*44/12</f>
        <v>6.8596125266574441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43.501723468453164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projet'!$B$12,Paramètres!$A$1:$I$89,3,0)*VLOOKUP('Données projet'!$B$12,Paramètres!$A$1:$I$89,5,0)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61.91827157428213</v>
      </c>
      <c r="CE68" s="62">
        <f t="shared" si="40"/>
        <v>358.41033295847001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35.082270702657112</v>
      </c>
      <c r="CL68" s="23">
        <f>EXP(-LN(2)/25)*CL67+(1-EXP(-LN(2)/25))/(LN(2)/25)*Calculateur!CG68*Calculateur!CI68*VLOOKUP('Données projet'!$B$12,Paramètres!$A$1:$I$89,3,0)*0.475*44/12</f>
        <v>6.5676015215880019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41.649872224245115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>
        <f>CT68*VLOOKUP('Données projet'!$B$13,Paramètres!$A$1:$I$89,3,0)*VLOOKUP('Données projet'!$B$13,Paramètres!$A$1:$I$89,5,0)</f>
        <v>0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66.561949299871912</v>
      </c>
      <c r="CZ68" s="62">
        <f t="shared" si="42"/>
        <v>382.65744918271389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37.375229572111806</v>
      </c>
      <c r="DG68" s="23">
        <f>EXP(-LN(2)/25)*DG67+(1-EXP(-LN(2)/25))/(LN(2)/25)*Calculateur!DB68*Calculateur!DD68*VLOOKUP('Données projet'!$B$13,Paramètres!$A$1:$I$89,3,0)*0.475*44/12</f>
        <v>6.9968565229989856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44.372086095110788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>
        <f>DO68*VLOOKUP('Données projet'!$B$14,Paramètres!$A$1:$I$89,3,0)*VLOOKUP('Données projet'!$B$14,Paramètres!$A$1:$I$89,5,0)</f>
        <v>0</v>
      </c>
      <c r="DQ68" s="14" t="e">
        <f t="shared" si="43"/>
        <v>#NUM!</v>
      </c>
      <c r="DR68" s="22" t="e">
        <f t="shared" ref="DR68:DR131" si="70">(DP68+DQ68)*0.475*44/12</f>
        <v>#NUM!</v>
      </c>
      <c r="DS68" s="62" t="e">
        <f t="shared" ref="DS68:DS131" si="71">DR68+(DJ68+DK68)*44/12</f>
        <v>#NUM!</v>
      </c>
      <c r="DT68" s="62">
        <f ca="1">AVERAGE(OFFSET($DS$3,0,0,'Données projet'!$E$14+1,1))-AVERAGE(OFFSET($H$3,0,0,'Données projet'!$E$14+1,1))</f>
        <v>60.532656778089574</v>
      </c>
      <c r="DU68" s="62">
        <f t="shared" si="44"/>
        <v>348.96823267563025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34.190215471252792</v>
      </c>
      <c r="EB68" s="23">
        <f>EXP(-LN(2)/25)*EB67+(1-EXP(-LN(2)/25))/(LN(2)/25)*Calculateur!DW68*Calculateur!DY68*VLOOKUP('Données projet'!$B$14,Paramètres!$A$1:$I$89,3,0)*0.475*44/12</f>
        <v>6.4006036854226371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40.59081915667543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33.770879999999948</v>
      </c>
      <c r="D69" s="12">
        <f t="shared" ref="D69:D132" si="86">IFERROR(EXP(-1.0587+0.8836*LN(C69)+0.284),0)</f>
        <v>10.331707674114574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340.44102765983138</v>
      </c>
      <c r="H69" s="70">
        <f t="shared" si="56"/>
        <v>370.14534019908274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74.209918391015606</v>
      </c>
      <c r="T69" s="62">
        <f t="shared" ref="T69:T132" si="88">$T$3</f>
        <v>422.59746235438649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40.35151643541775</v>
      </c>
      <c r="AA69" s="23">
        <f>EXP(-LN(2)/25)*AA68+(1-EXP(-LN(2)/25))/(LN(2)/25)*Calculateur!V69*Calculateur!X69*VLOOKUP('Données projet'!$B$9,Paramètres!$A$1:$I$89,3,0)*0.475*44/12</f>
        <v>7.4944301647882527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47.845946600206005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65.6337514911271</v>
      </c>
      <c r="AO69" s="62">
        <f t="shared" ref="AO69:AO132" si="90">$AO$3</f>
        <v>377.81060908047425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36.192725047923453</v>
      </c>
      <c r="AV69" s="23">
        <f>EXP(-LN(2)/25)*AV68+(1-EXP(-LN(2)/25))/(LN(2)/25)*Calculateur!AQ69*Calculateur!AS69*VLOOKUP('Données projet'!$B$10,Paramètres!$A$1:$I$89,3,0)*0.475*44/12</f>
        <v>6.7220237132641127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42.914748761187568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66.622529958850123</v>
      </c>
      <c r="BJ69" s="62">
        <f t="shared" ref="BJ69:BJ132" si="92">$BJ$3</f>
        <v>374.90853633180166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35.923581495707957</v>
      </c>
      <c r="BQ69" s="23">
        <f>EXP(-LN(2)/25)*BQ68+(1-EXP(-LN(2)/25))/(LN(2)/25)*Calculateur!BL69*Calculateur!BN69*VLOOKUP('Données projet'!$B$11,Paramètres!$A$1:$I$89,3,0)*0.475*44/12</f>
        <v>6.6720360613846514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42.595617557092609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projet'!$B$12,Paramètres!$A$1:$I$89,3,0)*VLOOKUP('Données projet'!$B$12,Paramètres!$A$1:$I$89,5,0)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61.91827157428213</v>
      </c>
      <c r="CE69" s="62">
        <f t="shared" ref="CE69:CE132" si="94">$CE$3</f>
        <v>358.41033295847001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34.394328772250248</v>
      </c>
      <c r="CL69" s="23">
        <f>EXP(-LN(2)/25)*CL68+(1-EXP(-LN(2)/25))/(LN(2)/25)*Calculateur!CG69*Calculateur!CI69*VLOOKUP('Données projet'!$B$12,Paramètres!$A$1:$I$89,3,0)*0.475*44/12</f>
        <v>6.3880101126050244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40.782338884855271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>
        <f>CT69*VLOOKUP('Données projet'!$B$13,Paramètres!$A$1:$I$89,3,0)*VLOOKUP('Données projet'!$B$13,Paramètres!$A$1:$I$89,5,0)</f>
        <v>0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66.561949299871912</v>
      </c>
      <c r="CZ69" s="62">
        <f t="shared" ref="CZ69:CZ132" si="96">$CZ$3</f>
        <v>382.65744918271389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36.642324116841749</v>
      </c>
      <c r="DG69" s="23">
        <f>EXP(-LN(2)/25)*DG68+(1-EXP(-LN(2)/25))/(LN(2)/25)*Calculateur!DB69*Calculateur!DD69*VLOOKUP('Données projet'!$B$13,Paramètres!$A$1:$I$89,3,0)*0.475*44/12</f>
        <v>6.8055271134288855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43.447851230270636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>
        <f>DO69*VLOOKUP('Données projet'!$B$14,Paramètres!$A$1:$I$89,3,0)*VLOOKUP('Données projet'!$B$14,Paramètres!$A$1:$I$89,5,0)</f>
        <v>0</v>
      </c>
      <c r="DQ69" s="14" t="e">
        <f t="shared" ref="DQ69:DQ132" si="97">EXP(-1.0587+0.8836*LN(DP69)+0.284)</f>
        <v>#NUM!</v>
      </c>
      <c r="DR69" s="22" t="e">
        <f t="shared" si="70"/>
        <v>#NUM!</v>
      </c>
      <c r="DS69" s="62" t="e">
        <f t="shared" si="71"/>
        <v>#NUM!</v>
      </c>
      <c r="DT69" s="62">
        <f ca="1">AVERAGE(OFFSET($DS$3,0,0,'Données projet'!$E$14+1,1))-AVERAGE(OFFSET($H$3,0,0,'Données projet'!$E$14+1,1))</f>
        <v>60.532656778089574</v>
      </c>
      <c r="DU69" s="62">
        <f t="shared" ref="DU69:DU132" si="98">$DU$3</f>
        <v>348.96823267563025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33.519766199833803</v>
      </c>
      <c r="EB69" s="23">
        <f>EXP(-LN(2)/25)*EB68+(1-EXP(-LN(2)/25))/(LN(2)/25)*Calculateur!DW69*Calculateur!DY69*VLOOKUP('Données projet'!$B$14,Paramètres!$A$1:$I$89,3,0)*0.475*44/12</f>
        <v>6.2255788410516359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39.745345040885439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34.282559999999947</v>
      </c>
      <c r="D70" s="12">
        <f t="shared" si="86"/>
        <v>10.469906033612734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345.45763254016805</v>
      </c>
      <c r="H70" s="70">
        <f t="shared" si="56"/>
        <v>371.27721167520872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74.209918391015606</v>
      </c>
      <c r="T70" s="62">
        <f t="shared" si="88"/>
        <v>422.59746235438649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39.560247810113999</v>
      </c>
      <c r="AA70" s="23">
        <f>EXP(-LN(2)/25)*AA69+(1-EXP(-LN(2)/25))/(LN(2)/25)*Calculateur!V70*Calculateur!X70*VLOOKUP('Données projet'!$B$9,Paramètres!$A$1:$I$89,3,0)*0.475*44/12</f>
        <v>7.2894945778171643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46.849742387931165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65.6337514911271</v>
      </c>
      <c r="AO70" s="62">
        <f t="shared" si="90"/>
        <v>377.81060908047425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35.483007785116193</v>
      </c>
      <c r="AV70" s="23">
        <f>EXP(-LN(2)/25)*AV69+(1-EXP(-LN(2)/25))/(LN(2)/25)*Calculateur!AQ70*Calculateur!AS70*VLOOKUP('Données projet'!$B$10,Paramètres!$A$1:$I$89,3,0)*0.475*44/12</f>
        <v>6.5382096213290417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42.021217406445231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66.622529958850123</v>
      </c>
      <c r="BJ70" s="62">
        <f t="shared" si="92"/>
        <v>374.90853633180166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35.21914197379828</v>
      </c>
      <c r="BQ70" s="23">
        <f>EXP(-LN(2)/25)*BQ69+(1-EXP(-LN(2)/25))/(LN(2)/25)*Calculateur!BL70*Calculateur!BN70*VLOOKUP('Données projet'!$B$11,Paramètres!$A$1:$I$89,3,0)*0.475*44/12</f>
        <v>6.4895888844189606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41.708730858217237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projet'!$B$12,Paramètres!$A$1:$I$89,3,0)*VLOOKUP('Données projet'!$B$12,Paramètres!$A$1:$I$89,5,0)</f>
        <v>0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61.91827157428213</v>
      </c>
      <c r="CE70" s="62">
        <f t="shared" si="94"/>
        <v>358.41033295847001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33.719876963495523</v>
      </c>
      <c r="CL70" s="23">
        <f>EXP(-LN(2)/25)*CL69+(1-EXP(-LN(2)/25))/(LN(2)/25)*Calculateur!CG70*Calculateur!CI70*VLOOKUP('Données projet'!$B$12,Paramètres!$A$1:$I$89,3,0)*0.475*44/12</f>
        <v>6.2133296401449885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39.933206603640514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>
        <f>CT70*VLOOKUP('Données projet'!$B$13,Paramètres!$A$1:$I$89,3,0)*VLOOKUP('Données projet'!$B$13,Paramètres!$A$1:$I$89,5,0)</f>
        <v>0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66.561949299871912</v>
      </c>
      <c r="CZ70" s="62">
        <f t="shared" si="96"/>
        <v>382.65744918271389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35.923790490521355</v>
      </c>
      <c r="DG70" s="23">
        <f>EXP(-LN(2)/25)*DG69+(1-EXP(-LN(2)/25))/(LN(2)/25)*Calculateur!DB70*Calculateur!DD70*VLOOKUP('Données projet'!$B$13,Paramètres!$A$1:$I$89,3,0)*0.475*44/12</f>
        <v>6.6194296166250561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42.543220107146411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>
        <f>DO70*VLOOKUP('Données projet'!$B$14,Paramètres!$A$1:$I$89,3,0)*VLOOKUP('Données projet'!$B$14,Paramètres!$A$1:$I$89,5,0)</f>
        <v>0</v>
      </c>
      <c r="DQ70" s="14" t="e">
        <f t="shared" si="97"/>
        <v>#NUM!</v>
      </c>
      <c r="DR70" s="22" t="e">
        <f t="shared" si="70"/>
        <v>#NUM!</v>
      </c>
      <c r="DS70" s="62" t="e">
        <f t="shared" si="71"/>
        <v>#NUM!</v>
      </c>
      <c r="DT70" s="62">
        <f ca="1">AVERAGE(OFFSET($DS$3,0,0,'Données projet'!$E$14+1,1))-AVERAGE(OFFSET($H$3,0,0,'Données projet'!$E$14+1,1))</f>
        <v>60.532656778089574</v>
      </c>
      <c r="DU70" s="62">
        <f t="shared" si="98"/>
        <v>348.96823267563025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32.862464029693662</v>
      </c>
      <c r="EB70" s="23">
        <f>EXP(-LN(2)/25)*EB69+(1-EXP(-LN(2)/25))/(LN(2)/25)*Calculateur!DW70*Calculateur!DY70*VLOOKUP('Données projet'!$B$14,Paramètres!$A$1:$I$89,3,0)*0.475*44/12</f>
        <v>6.0553400602541165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38.917804089947779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34.794239999999945</v>
      </c>
      <c r="D71" s="12">
        <f t="shared" si="86"/>
        <v>10.607864498265494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350.47238560064551</v>
      </c>
      <c r="H71" s="70">
        <f t="shared" si="56"/>
        <v>372.40866533447894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74.209918391015606</v>
      </c>
      <c r="T71" s="62">
        <f t="shared" si="88"/>
        <v>422.59746235438649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38.78449547992625</v>
      </c>
      <c r="AA71" s="23">
        <f>EXP(-LN(2)/25)*AA70+(1-EXP(-LN(2)/25))/(LN(2)/25)*Calculateur!V71*Calculateur!X71*VLOOKUP('Données projet'!$B$9,Paramètres!$A$1:$I$89,3,0)*0.475*44/12</f>
        <v>7.0901629652488944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45.874658445175143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65.6337514911271</v>
      </c>
      <c r="AO71" s="62">
        <f t="shared" si="90"/>
        <v>377.81060908047425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34.787207644947792</v>
      </c>
      <c r="AV71" s="23">
        <f>EXP(-LN(2)/25)*AV70+(1-EXP(-LN(2)/25))/(LN(2)/25)*Calculateur!AQ71*Calculateur!AS71*VLOOKUP('Données projet'!$B$10,Paramètres!$A$1:$I$89,3,0)*0.475*44/12</f>
        <v>6.3594219354042982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41.146629580352091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66.622529958850123</v>
      </c>
      <c r="BJ71" s="62">
        <f t="shared" si="92"/>
        <v>374.90853633180166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34.528516081247574</v>
      </c>
      <c r="BQ71" s="23">
        <f>EXP(-LN(2)/25)*BQ70+(1-EXP(-LN(2)/25))/(LN(2)/25)*Calculateur!BL71*Calculateur!BN71*VLOOKUP('Données projet'!$B$11,Paramètres!$A$1:$I$89,3,0)*0.475*44/12</f>
        <v>6.3121307351018769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40.840646816349448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projet'!$B$12,Paramètres!$A$1:$I$89,3,0)*VLOOKUP('Données projet'!$B$12,Paramètres!$A$1:$I$89,5,0)</f>
        <v>0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61.91827157428213</v>
      </c>
      <c r="CE71" s="62">
        <f t="shared" si="94"/>
        <v>358.41033295847001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33.058650743335491</v>
      </c>
      <c r="CL71" s="23">
        <f>EXP(-LN(2)/25)*CL70+(1-EXP(-LN(2)/25))/(LN(2)/25)*Calculateur!CG71*Calculateur!CI71*VLOOKUP('Données projet'!$B$12,Paramètres!$A$1:$I$89,3,0)*0.475*44/12</f>
        <v>6.0434258143904191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39.102076557725908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>
        <f>CT71*VLOOKUP('Données projet'!$B$13,Paramètres!$A$1:$I$89,3,0)*VLOOKUP('Données projet'!$B$13,Paramètres!$A$1:$I$89,5,0)</f>
        <v>0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66.561949299871912</v>
      </c>
      <c r="CZ71" s="62">
        <f t="shared" si="96"/>
        <v>382.65744918271389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35.219346870350861</v>
      </c>
      <c r="DG71" s="23">
        <f>EXP(-LN(2)/25)*DG70+(1-EXP(-LN(2)/25))/(LN(2)/25)*Calculateur!DB71*Calculateur!DD71*VLOOKUP('Données projet'!$B$13,Paramètres!$A$1:$I$89,3,0)*0.475*44/12</f>
        <v>6.4384209656577696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41.657767836008631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>
        <f>DO71*VLOOKUP('Données projet'!$B$14,Paramètres!$A$1:$I$89,3,0)*VLOOKUP('Données projet'!$B$14,Paramètres!$A$1:$I$89,5,0)</f>
        <v>0</v>
      </c>
      <c r="DQ71" s="14" t="e">
        <f t="shared" si="97"/>
        <v>#NUM!</v>
      </c>
      <c r="DR71" s="22" t="e">
        <f t="shared" si="70"/>
        <v>#NUM!</v>
      </c>
      <c r="DS71" s="62" t="e">
        <f t="shared" si="71"/>
        <v>#NUM!</v>
      </c>
      <c r="DT71" s="62">
        <f ca="1">AVERAGE(OFFSET($DS$3,0,0,'Données projet'!$E$14+1,1))-AVERAGE(OFFSET($H$3,0,0,'Données projet'!$E$14+1,1))</f>
        <v>60.532656778089574</v>
      </c>
      <c r="DU71" s="62">
        <f t="shared" si="98"/>
        <v>348.96823267563025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32.218051154195237</v>
      </c>
      <c r="EB71" s="23">
        <f>EXP(-LN(2)/25)*EB70+(1-EXP(-LN(2)/25))/(LN(2)/25)*Calculateur!DW71*Calculateur!DY71*VLOOKUP('Données projet'!$B$14,Paramètres!$A$1:$I$89,3,0)*0.475*44/12</f>
        <v>5.8897564678699732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38.107807622065209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35.305919999999944</v>
      </c>
      <c r="D72" s="12">
        <f t="shared" si="86"/>
        <v>10.745587003498374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355.48531721998705</v>
      </c>
      <c r="H72" s="70">
        <f t="shared" si="56"/>
        <v>373.53970803109286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74.209918391015606</v>
      </c>
      <c r="T72" s="62">
        <f t="shared" si="88"/>
        <v>422.59746235438649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38.023955179771285</v>
      </c>
      <c r="AA72" s="23">
        <f>EXP(-LN(2)/25)*AA71+(1-EXP(-LN(2)/25))/(LN(2)/25)*Calculateur!V72*Calculateur!X72*VLOOKUP('Données projet'!$B$9,Paramètres!$A$1:$I$89,3,0)*0.475*44/12</f>
        <v>6.8962820861086982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44.920237265879983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65.6337514911271</v>
      </c>
      <c r="AO72" s="62">
        <f t="shared" si="90"/>
        <v>377.81060908047425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34.105051721131915</v>
      </c>
      <c r="AV72" s="23">
        <f>EXP(-LN(2)/25)*AV71+(1-EXP(-LN(2)/25))/(LN(2)/25)*Calculateur!AQ72*Calculateur!AS72*VLOOKUP('Données projet'!$B$10,Paramètres!$A$1:$I$89,3,0)*0.475*44/12</f>
        <v>6.185523208153203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40.290574929285114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66.622529958850123</v>
      </c>
      <c r="BJ72" s="62">
        <f t="shared" si="92"/>
        <v>374.90853633180166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33.851432941209588</v>
      </c>
      <c r="BQ72" s="23">
        <f>EXP(-LN(2)/25)*BQ71+(1-EXP(-LN(2)/25))/(LN(2)/25)*Calculateur!BL72*Calculateur!BN72*VLOOKUP('Données projet'!$B$11,Paramètres!$A$1:$I$89,3,0)*0.475*44/12</f>
        <v>6.139525188209987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39.990958129419575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projet'!$B$12,Paramètres!$A$1:$I$89,3,0)*VLOOKUP('Données projet'!$B$12,Paramètres!$A$1:$I$89,5,0)</f>
        <v>0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61.91827157428213</v>
      </c>
      <c r="CE72" s="62">
        <f t="shared" si="94"/>
        <v>358.41033295847001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32.410390766044628</v>
      </c>
      <c r="CL72" s="23">
        <f>EXP(-LN(2)/25)*CL71+(1-EXP(-LN(2)/25))/(LN(2)/25)*Calculateur!CG72*Calculateur!CI72*VLOOKUP('Données projet'!$B$12,Paramètres!$A$1:$I$89,3,0)*0.475*44/12</f>
        <v>5.8781680176859616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38.288558783730593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>
        <f>CT72*VLOOKUP('Données projet'!$B$13,Paramètres!$A$1:$I$89,3,0)*VLOOKUP('Données projet'!$B$13,Paramètres!$A$1:$I$89,5,0)</f>
        <v>0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66.561949299871912</v>
      </c>
      <c r="CZ72" s="62">
        <f t="shared" si="96"/>
        <v>382.65744918271389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34.528716959903733</v>
      </c>
      <c r="DG72" s="23">
        <f>EXP(-LN(2)/25)*DG71+(1-EXP(-LN(2)/25))/(LN(2)/25)*Calculateur!DB72*Calculateur!DD72*VLOOKUP('Données projet'!$B$13,Paramètres!$A$1:$I$89,3,0)*0.475*44/12</f>
        <v>6.2623620057700142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40.791078965673748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>
        <f>DO72*VLOOKUP('Données projet'!$B$14,Paramètres!$A$1:$I$89,3,0)*VLOOKUP('Données projet'!$B$14,Paramètres!$A$1:$I$89,5,0)</f>
        <v>0</v>
      </c>
      <c r="DQ72" s="14" t="e">
        <f t="shared" si="97"/>
        <v>#NUM!</v>
      </c>
      <c r="DR72" s="22" t="e">
        <f t="shared" si="70"/>
        <v>#NUM!</v>
      </c>
      <c r="DS72" s="62" t="e">
        <f t="shared" si="71"/>
        <v>#NUM!</v>
      </c>
      <c r="DT72" s="62">
        <f ca="1">AVERAGE(OFFSET($DS$3,0,0,'Données projet'!$E$14+1,1))-AVERAGE(OFFSET($H$3,0,0,'Données projet'!$E$14+1,1))</f>
        <v>60.532656778089574</v>
      </c>
      <c r="DU72" s="62">
        <f t="shared" si="98"/>
        <v>348.96823267563025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31.586274822132289</v>
      </c>
      <c r="EB72" s="23">
        <f>EXP(-LN(2)/25)*EB71+(1-EXP(-LN(2)/25))/(LN(2)/25)*Calculateur!DW72*Calculateur!DY72*VLOOKUP('Données projet'!$B$14,Paramètres!$A$1:$I$89,3,0)*0.475*44/12</f>
        <v>5.7287007675272372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37.314975589659525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35.817599999999942</v>
      </c>
      <c r="D73" s="12">
        <f t="shared" si="86"/>
        <v>10.88307736411684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360.49645684581378</v>
      </c>
      <c r="H73" s="70">
        <f t="shared" si="56"/>
        <v>374.67034640917007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74.209918391015606</v>
      </c>
      <c r="T73" s="62">
        <f t="shared" si="88"/>
        <v>422.59746235438649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37.27832861101858</v>
      </c>
      <c r="AA73" s="23">
        <f>EXP(-LN(2)/25)*AA72+(1-EXP(-LN(2)/25))/(LN(2)/25)*Calculateur!V73*Calculateur!X73*VLOOKUP('Données projet'!$B$9,Paramètres!$A$1:$I$89,3,0)*0.475*44/12</f>
        <v>6.7077028898043425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43.986031500822925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65.6337514911271</v>
      </c>
      <c r="AO73" s="62">
        <f t="shared" si="90"/>
        <v>377.81060908047425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33.436272458908036</v>
      </c>
      <c r="AV73" s="23">
        <f>EXP(-LN(2)/25)*AV72+(1-EXP(-LN(2)/25))/(LN(2)/25)*Calculateur!AQ73*Calculateur!AS73*VLOOKUP('Données projet'!$B$10,Paramètres!$A$1:$I$89,3,0)*0.475*44/12</f>
        <v>6.0163797507437256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39.45265220965176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66.622529958850123</v>
      </c>
      <c r="BJ73" s="62">
        <f t="shared" si="92"/>
        <v>374.90853633180166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33.187626988567807</v>
      </c>
      <c r="BQ73" s="23">
        <f>EXP(-LN(2)/25)*BQ72+(1-EXP(-LN(2)/25))/(LN(2)/25)*Calculateur!BL73*Calculateur!BN73*VLOOKUP('Données projet'!$B$11,Paramètres!$A$1:$I$89,3,0)*0.475*44/12</f>
        <v>5.9716395490747871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39.159266537642594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projet'!$B$12,Paramètres!$A$1:$I$89,3,0)*VLOOKUP('Données projet'!$B$12,Paramètres!$A$1:$I$89,5,0)</f>
        <v>0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61.91827157428213</v>
      </c>
      <c r="CE73" s="62">
        <f t="shared" si="94"/>
        <v>358.41033295847001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31.774842771508894</v>
      </c>
      <c r="CL73" s="23">
        <f>EXP(-LN(2)/25)*CL72+(1-EXP(-LN(2)/25))/(LN(2)/25)*Calculateur!CG73*Calculateur!CI73*VLOOKUP('Données projet'!$B$12,Paramètres!$A$1:$I$89,3,0)*0.475*44/12</f>
        <v>5.7174292041229178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37.492271975631809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>
        <f>CT73*VLOOKUP('Données projet'!$B$13,Paramètres!$A$1:$I$89,3,0)*VLOOKUP('Données projet'!$B$13,Paramètres!$A$1:$I$89,5,0)</f>
        <v>0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66.561949299871912</v>
      </c>
      <c r="CZ73" s="62">
        <f t="shared" si="96"/>
        <v>382.65744918271389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33.85162988075782</v>
      </c>
      <c r="DG73" s="23">
        <f>EXP(-LN(2)/25)*DG72+(1-EXP(-LN(2)/25))/(LN(2)/25)*Calculateur!DB73*Calculateur!DD73*VLOOKUP('Données projet'!$B$13,Paramètres!$A$1:$I$89,3,0)*0.475*44/12</f>
        <v>6.0911173873989277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39.942747268156751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>
        <f>DO73*VLOOKUP('Données projet'!$B$14,Paramètres!$A$1:$I$89,3,0)*VLOOKUP('Données projet'!$B$14,Paramètres!$A$1:$I$89,5,0)</f>
        <v>0</v>
      </c>
      <c r="DQ73" s="14" t="e">
        <f t="shared" si="97"/>
        <v>#NUM!</v>
      </c>
      <c r="DR73" s="22" t="e">
        <f t="shared" si="70"/>
        <v>#NUM!</v>
      </c>
      <c r="DS73" s="62" t="e">
        <f t="shared" si="71"/>
        <v>#NUM!</v>
      </c>
      <c r="DT73" s="62">
        <f ca="1">AVERAGE(OFFSET($DS$3,0,0,'Données projet'!$E$14+1,1))-AVERAGE(OFFSET($H$3,0,0,'Données projet'!$E$14+1,1))</f>
        <v>60.532656778089574</v>
      </c>
      <c r="DU73" s="62">
        <f t="shared" si="98"/>
        <v>348.96823267563025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30.966887238595582</v>
      </c>
      <c r="EB73" s="23">
        <f>EXP(-LN(2)/25)*EB72+(1-EXP(-LN(2)/25))/(LN(2)/25)*Calculateur!DW73*Calculateur!DY73*VLOOKUP('Données projet'!$B$14,Paramètres!$A$1:$I$89,3,0)*0.475*44/12</f>
        <v>5.5720491437799247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36.53893638237551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36.32927999999994</v>
      </c>
      <c r="D74" s="12">
        <f t="shared" si="86"/>
        <v>11.020339279672598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365.50583303606868</v>
      </c>
      <c r="H74" s="70">
        <f t="shared" si="56"/>
        <v>375.80058691209632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74.209918391015606</v>
      </c>
      <c r="T74" s="62">
        <f t="shared" si="88"/>
        <v>422.59746235438649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36.547323324491813</v>
      </c>
      <c r="AA74" s="23">
        <f>EXP(-LN(2)/25)*AA73+(1-EXP(-LN(2)/25))/(LN(2)/25)*Calculateur!V74*Calculateur!X74*VLOOKUP('Données projet'!$B$9,Paramètres!$A$1:$I$89,3,0)*0.475*44/12</f>
        <v>6.5242804015398788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43.07160372603169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65.6337514911271</v>
      </c>
      <c r="AO74" s="62">
        <f t="shared" si="90"/>
        <v>377.81060908047425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32.780607550101301</v>
      </c>
      <c r="AV74" s="23">
        <f>EXP(-LN(2)/25)*AV73+(1-EXP(-LN(2)/25))/(LN(2)/25)*Calculateur!AQ74*Calculateur!AS74*VLOOKUP('Données projet'!$B$10,Paramètres!$A$1:$I$89,3,0)*0.475*44/12</f>
        <v>5.8518615300719778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38.63246908017328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66.622529958850123</v>
      </c>
      <c r="BJ74" s="62">
        <f t="shared" si="92"/>
        <v>374.90853633180166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32.536837865775681</v>
      </c>
      <c r="BQ74" s="23">
        <f>EXP(-LN(2)/25)*BQ73+(1-EXP(-LN(2)/25))/(LN(2)/25)*Calculateur!BL74*Calculateur!BN74*VLOOKUP('Données projet'!$B$11,Paramètres!$A$1:$I$89,3,0)*0.475*44/12</f>
        <v>5.8083447515704618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38.34518261734614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projet'!$B$12,Paramètres!$A$1:$I$89,3,0)*VLOOKUP('Données projet'!$B$12,Paramètres!$A$1:$I$89,5,0)</f>
        <v>0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61.91827157428213</v>
      </c>
      <c r="CE74" s="62">
        <f t="shared" si="94"/>
        <v>358.41033295847001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31.151757485500006</v>
      </c>
      <c r="CL74" s="23">
        <f>EXP(-LN(2)/25)*CL73+(1-EXP(-LN(2)/25))/(LN(2)/25)*Calculateur!CG74*Calculateur!CI74*VLOOKUP('Données projet'!$B$12,Paramètres!$A$1:$I$89,3,0)*0.475*44/12</f>
        <v>5.5610858018696421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36.712843287369651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>
        <f>CT74*VLOOKUP('Données projet'!$B$13,Paramètres!$A$1:$I$89,3,0)*VLOOKUP('Données projet'!$B$13,Paramètres!$A$1:$I$89,5,0)</f>
        <v>0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66.561949299871912</v>
      </c>
      <c r="CZ74" s="62">
        <f t="shared" si="96"/>
        <v>382.65744918271389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33.187820066251618</v>
      </c>
      <c r="DG74" s="23">
        <f>EXP(-LN(2)/25)*DG73+(1-EXP(-LN(2)/25))/(LN(2)/25)*Calculateur!DB74*Calculateur!DD74*VLOOKUP('Données projet'!$B$13,Paramètres!$A$1:$I$89,3,0)*0.475*44/12</f>
        <v>5.9245554621225622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39.11237552837418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>
        <f>DO74*VLOOKUP('Données projet'!$B$14,Paramètres!$A$1:$I$89,3,0)*VLOOKUP('Données projet'!$B$14,Paramètres!$A$1:$I$89,5,0)</f>
        <v>0</v>
      </c>
      <c r="DQ74" s="14" t="e">
        <f t="shared" si="97"/>
        <v>#NUM!</v>
      </c>
      <c r="DR74" s="22" t="e">
        <f t="shared" si="70"/>
        <v>#NUM!</v>
      </c>
      <c r="DS74" s="62" t="e">
        <f t="shared" si="71"/>
        <v>#NUM!</v>
      </c>
      <c r="DT74" s="62">
        <f ca="1">AVERAGE(OFFSET($DS$3,0,0,'Données projet'!$E$14+1,1))-AVERAGE(OFFSET($H$3,0,0,'Données projet'!$E$14+1,1))</f>
        <v>60.532656778089574</v>
      </c>
      <c r="DU74" s="62">
        <f t="shared" si="98"/>
        <v>348.96823267563025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30.359645467782908</v>
      </c>
      <c r="EB74" s="23">
        <f>EXP(-LN(2)/25)*EB73+(1-EXP(-LN(2)/25))/(LN(2)/25)*Calculateur!DW74*Calculateur!DY74*VLOOKUP('Données projet'!$B$14,Paramètres!$A$1:$I$89,3,0)*0.475*44/12</f>
        <v>5.4196811669219329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35.779326634704844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36.840959999999939</v>
      </c>
      <c r="D75" s="12">
        <f t="shared" si="86"/>
        <v>11.157376339518924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370.51347349804036</v>
      </c>
      <c r="H75" s="70">
        <f t="shared" si="56"/>
        <v>376.93043579132865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74.209918391015606</v>
      </c>
      <c r="T75" s="62">
        <f t="shared" si="88"/>
        <v>422.59746235438649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35.830652605764641</v>
      </c>
      <c r="AA75" s="23">
        <f>EXP(-LN(2)/25)*AA74+(1-EXP(-LN(2)/25))/(LN(2)/25)*Calculateur!V75*Calculateur!X75*VLOOKUP('Données projet'!$B$9,Paramètres!$A$1:$I$89,3,0)*0.475*44/12</f>
        <v>6.3458736108627756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42.176526216627416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65.6337514911271</v>
      </c>
      <c r="AO75" s="62">
        <f t="shared" si="90"/>
        <v>377.81060908047425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32.137799830240155</v>
      </c>
      <c r="AV75" s="23">
        <f>EXP(-LN(2)/25)*AV74+(1-EXP(-LN(2)/25))/(LN(2)/25)*Calculateur!AQ75*Calculateur!AS75*VLOOKUP('Données projet'!$B$10,Paramètres!$A$1:$I$89,3,0)*0.475*44/12</f>
        <v>5.6918420687961362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37.829641899036289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66.622529958850123</v>
      </c>
      <c r="BJ75" s="62">
        <f t="shared" si="92"/>
        <v>374.90853633180166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31.898810320739337</v>
      </c>
      <c r="BQ75" s="23">
        <f>EXP(-LN(2)/25)*BQ74+(1-EXP(-LN(2)/25))/(LN(2)/25)*Calculateur!BL75*Calculateur!BN75*VLOOKUP('Données projet'!$B$11,Paramètres!$A$1:$I$89,3,0)*0.475*44/12</f>
        <v>5.6495152588911921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37.548325579630529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projet'!$B$12,Paramètres!$A$1:$I$89,3,0)*VLOOKUP('Données projet'!$B$12,Paramètres!$A$1:$I$89,5,0)</f>
        <v>0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61.91827157428213</v>
      </c>
      <c r="CE75" s="62">
        <f t="shared" si="94"/>
        <v>358.41033295847001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30.540890521905254</v>
      </c>
      <c r="CL75" s="23">
        <f>EXP(-LN(2)/25)*CL74+(1-EXP(-LN(2)/25))/(LN(2)/25)*Calculateur!CG75*Calculateur!CI75*VLOOKUP('Données projet'!$B$12,Paramètres!$A$1:$I$89,3,0)*0.475*44/12</f>
        <v>5.4090176181727241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35.94990814007798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>
        <f>CT75*VLOOKUP('Données projet'!$B$13,Paramètres!$A$1:$I$89,3,0)*VLOOKUP('Données projet'!$B$13,Paramètres!$A$1:$I$89,5,0)</f>
        <v>0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66.561949299871912</v>
      </c>
      <c r="CZ75" s="62">
        <f t="shared" si="96"/>
        <v>382.65744918271389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32.537027157323877</v>
      </c>
      <c r="DG75" s="23">
        <f>EXP(-LN(2)/25)*DG74+(1-EXP(-LN(2)/25))/(LN(2)/25)*Calculateur!DB75*Calculateur!DD75*VLOOKUP('Données projet'!$B$13,Paramètres!$A$1:$I$89,3,0)*0.475*44/12</f>
        <v>5.7625481814519901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38.299575338775867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>
        <f>DO75*VLOOKUP('Données projet'!$B$14,Paramètres!$A$1:$I$89,3,0)*VLOOKUP('Données projet'!$B$14,Paramètres!$A$1:$I$89,5,0)</f>
        <v>0</v>
      </c>
      <c r="DQ75" s="14" t="e">
        <f t="shared" si="97"/>
        <v>#NUM!</v>
      </c>
      <c r="DR75" s="22" t="e">
        <f t="shared" si="70"/>
        <v>#NUM!</v>
      </c>
      <c r="DS75" s="62" t="e">
        <f t="shared" si="71"/>
        <v>#NUM!</v>
      </c>
      <c r="DT75" s="62">
        <f ca="1">AVERAGE(OFFSET($DS$3,0,0,'Données projet'!$E$14+1,1))-AVERAGE(OFFSET($H$3,0,0,'Données projet'!$E$14+1,1))</f>
        <v>60.532656778089574</v>
      </c>
      <c r="DU75" s="62">
        <f t="shared" si="98"/>
        <v>348.96823267563025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29.764311337714965</v>
      </c>
      <c r="EB75" s="23">
        <f>EXP(-LN(2)/25)*EB74+(1-EXP(-LN(2)/25))/(LN(2)/25)*Calculateur!DW75*Calculateur!DY75*VLOOKUP('Données projet'!$B$14,Paramètres!$A$1:$I$89,3,0)*0.475*44/12</f>
        <v>5.2714797004038072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35.035791038118774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37.352639999999937</v>
      </c>
      <c r="D76" s="12">
        <f t="shared" si="86"/>
        <v>11.294192027577196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375.51940512515677</v>
      </c>
      <c r="H76" s="70">
        <f t="shared" si="56"/>
        <v>378.0598991146968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74.209918391015606</v>
      </c>
      <c r="T76" s="62">
        <f t="shared" si="88"/>
        <v>422.59746235438649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35.128035362705731</v>
      </c>
      <c r="AA76" s="23">
        <f>EXP(-LN(2)/25)*AA75+(1-EXP(-LN(2)/25))/(LN(2)/25)*Calculateur!V76*Calculateur!X76*VLOOKUP('Données projet'!$B$9,Paramètres!$A$1:$I$89,3,0)*0.475*44/12</f>
        <v>6.1723453632587431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41.300380725964473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65.6337514911271</v>
      </c>
      <c r="AO76" s="62">
        <f t="shared" si="90"/>
        <v>377.81060908047425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31.507597177691494</v>
      </c>
      <c r="AV76" s="23">
        <f>EXP(-LN(2)/25)*AV75+(1-EXP(-LN(2)/25))/(LN(2)/25)*Calculateur!AQ76*Calculateur!AS76*VLOOKUP('Données projet'!$B$10,Paramètres!$A$1:$I$89,3,0)*0.475*44/12</f>
        <v>5.5361983481039401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37.043795525795431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66.622529958850123</v>
      </c>
      <c r="BJ76" s="62">
        <f t="shared" si="92"/>
        <v>374.90853633180166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31.273294106702778</v>
      </c>
      <c r="BQ76" s="23">
        <f>EXP(-LN(2)/25)*BQ75+(1-EXP(-LN(2)/25))/(LN(2)/25)*Calculateur!BL76*Calculateur!BN76*VLOOKUP('Données projet'!$B$11,Paramètres!$A$1:$I$89,3,0)*0.475*44/12</f>
        <v>5.4950289670417174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36.768323073744497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projet'!$B$12,Paramètres!$A$1:$I$89,3,0)*VLOOKUP('Données projet'!$B$12,Paramètres!$A$1:$I$89,5,0)</f>
        <v>0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61.91827157428213</v>
      </c>
      <c r="CE76" s="62">
        <f t="shared" si="94"/>
        <v>358.41033295847001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29.942002286874537</v>
      </c>
      <c r="CL76" s="23">
        <f>EXP(-LN(2)/25)*CL75+(1-EXP(-LN(2)/25))/(LN(2)/25)*Calculateur!CG76*Calculateur!CI76*VLOOKUP('Données projet'!$B$12,Paramètres!$A$1:$I$89,3,0)*0.475*44/12</f>
        <v>5.2611077469559167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35.203110033830455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>
        <f>CT76*VLOOKUP('Données projet'!$B$13,Paramètres!$A$1:$I$89,3,0)*VLOOKUP('Données projet'!$B$13,Paramètres!$A$1:$I$89,5,0)</f>
        <v>0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66.561949299871912</v>
      </c>
      <c r="CZ76" s="62">
        <f t="shared" si="96"/>
        <v>382.65744918271389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31.898995900395729</v>
      </c>
      <c r="DG76" s="23">
        <f>EXP(-LN(2)/25)*DG75+(1-EXP(-LN(2)/25))/(LN(2)/25)*Calculateur!DB76*Calculateur!DD76*VLOOKUP('Données projet'!$B$13,Paramètres!$A$1:$I$89,3,0)*0.475*44/12</f>
        <v>5.6049709983909475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37.503966898786679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>
        <f>DO76*VLOOKUP('Données projet'!$B$14,Paramètres!$A$1:$I$89,3,0)*VLOOKUP('Données projet'!$B$14,Paramètres!$A$1:$I$89,5,0)</f>
        <v>0</v>
      </c>
      <c r="DQ76" s="14" t="e">
        <f t="shared" si="97"/>
        <v>#NUM!</v>
      </c>
      <c r="DR76" s="22" t="e">
        <f t="shared" si="70"/>
        <v>#NUM!</v>
      </c>
      <c r="DS76" s="62" t="e">
        <f t="shared" si="71"/>
        <v>#NUM!</v>
      </c>
      <c r="DT76" s="62">
        <f ca="1">AVERAGE(OFFSET($DS$3,0,0,'Données projet'!$E$14+1,1))-AVERAGE(OFFSET($H$3,0,0,'Données projet'!$E$14+1,1))</f>
        <v>60.532656778089574</v>
      </c>
      <c r="DU76" s="62">
        <f t="shared" si="98"/>
        <v>348.96823267563025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29.180651346819687</v>
      </c>
      <c r="EB76" s="23">
        <f>EXP(-LN(2)/25)*EB75+(1-EXP(-LN(2)/25))/(LN(2)/25)*Calculateur!DW76*Calculateur!DY76*VLOOKUP('Données projet'!$B$14,Paramètres!$A$1:$I$89,3,0)*0.475*44/12</f>
        <v>5.1273308107811957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34.307982157600883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37.864319999999935</v>
      </c>
      <c r="D77" s="12">
        <f t="shared" si="86"/>
        <v>11.430789726834767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380.52365403170649</v>
      </c>
      <c r="H77" s="70">
        <f t="shared" si="56"/>
        <v>379.1889827742371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74.209918391015606</v>
      </c>
      <c r="T77" s="62">
        <f t="shared" si="88"/>
        <v>422.59746235438649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34.439196015229001</v>
      </c>
      <c r="AA77" s="23">
        <f>EXP(-LN(2)/25)*AA76+(1-EXP(-LN(2)/25))/(LN(2)/25)*Calculateur!V77*Calculateur!X77*VLOOKUP('Données projet'!$B$9,Paramètres!$A$1:$I$89,3,0)*0.475*44/12</f>
        <v>6.0035622547108973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40.442758269939901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65.6337514911271</v>
      </c>
      <c r="AO77" s="62">
        <f t="shared" si="90"/>
        <v>377.81060908047425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30.88975241477365</v>
      </c>
      <c r="AV77" s="23">
        <f>EXP(-LN(2)/25)*AV76+(1-EXP(-LN(2)/25))/(LN(2)/25)*Calculateur!AQ77*Calculateur!AS77*VLOOKUP('Données projet'!$B$10,Paramètres!$A$1:$I$89,3,0)*0.475*44/12</f>
        <v>5.3848107131390197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36.274563127912671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66.622529958850123</v>
      </c>
      <c r="BJ77" s="62">
        <f t="shared" si="92"/>
        <v>374.90853633180166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30.660043884096257</v>
      </c>
      <c r="BQ77" s="23">
        <f>EXP(-LN(2)/25)*BQ76+(1-EXP(-LN(2)/25))/(LN(2)/25)*Calculateur!BL77*Calculateur!BN77*VLOOKUP('Données projet'!$B$11,Paramètres!$A$1:$I$89,3,0)*0.475*44/12</f>
        <v>5.3447671109669477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36.004810995063202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projet'!$B$12,Paramètres!$A$1:$I$89,3,0)*VLOOKUP('Données projet'!$B$12,Paramètres!$A$1:$I$89,5,0)</f>
        <v>0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61.91827157428213</v>
      </c>
      <c r="CE77" s="62">
        <f t="shared" si="94"/>
        <v>358.41033295847001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29.354857884847018</v>
      </c>
      <c r="CL77" s="23">
        <f>EXP(-LN(2)/25)*CL76+(1-EXP(-LN(2)/25))/(LN(2)/25)*Calculateur!CG77*Calculateur!CI77*VLOOKUP('Données projet'!$B$12,Paramètres!$A$1:$I$89,3,0)*0.475*44/12</f>
        <v>5.1172424789457756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34.472100363792791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>
        <f>CT77*VLOOKUP('Données projet'!$B$13,Paramètres!$A$1:$I$89,3,0)*VLOOKUP('Données projet'!$B$13,Paramètres!$A$1:$I$89,5,0)</f>
        <v>0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66.561949299871912</v>
      </c>
      <c r="CZ77" s="62">
        <f t="shared" si="96"/>
        <v>382.65744918271389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31.273476047255301</v>
      </c>
      <c r="DG77" s="23">
        <f>EXP(-LN(2)/25)*DG76+(1-EXP(-LN(2)/25))/(LN(2)/25)*Calculateur!DB77*Calculateur!DD77*VLOOKUP('Données projet'!$B$13,Paramètres!$A$1:$I$89,3,0)*0.475*44/12</f>
        <v>5.4517027716873327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36.725178818942631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>
        <f>DO77*VLOOKUP('Données projet'!$B$14,Paramètres!$A$1:$I$89,3,0)*VLOOKUP('Données projet'!$B$14,Paramètres!$A$1:$I$89,5,0)</f>
        <v>0</v>
      </c>
      <c r="DQ77" s="14" t="e">
        <f t="shared" si="97"/>
        <v>#NUM!</v>
      </c>
      <c r="DR77" s="22" t="e">
        <f t="shared" si="70"/>
        <v>#NUM!</v>
      </c>
      <c r="DS77" s="62" t="e">
        <f t="shared" si="71"/>
        <v>#NUM!</v>
      </c>
      <c r="DT77" s="62">
        <f ca="1">AVERAGE(OFFSET($DS$3,0,0,'Données projet'!$E$14+1,1))-AVERAGE(OFFSET($H$3,0,0,'Données projet'!$E$14+1,1))</f>
        <v>60.532656778089574</v>
      </c>
      <c r="DU77" s="62">
        <f t="shared" si="98"/>
        <v>348.96823267563025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28.608436572348424</v>
      </c>
      <c r="EB77" s="23">
        <f>EXP(-LN(2)/25)*EB76+(1-EXP(-LN(2)/25))/(LN(2)/25)*Calculateur!DW77*Calculateur!DY77*VLOOKUP('Données projet'!$B$14,Paramètres!$A$1:$I$89,3,0)*0.475*44/12</f>
        <v>4.9871236801257748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33.595560252474201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38.375999999999934</v>
      </c>
      <c r="D78" s="12">
        <f t="shared" si="86"/>
        <v>11.567172723592845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385.52624558562849</v>
      </c>
      <c r="H78" s="70">
        <f t="shared" si="56"/>
        <v>380.31769249359076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74.209918391015606</v>
      </c>
      <c r="T78" s="62">
        <f t="shared" si="88"/>
        <v>422.59746235438649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33.763864387205778</v>
      </c>
      <c r="AA78" s="23">
        <f>EXP(-LN(2)/25)*AA77+(1-EXP(-LN(2)/25))/(LN(2)/25)*Calculateur!V78*Calculateur!X78*VLOOKUP('Données projet'!$B$9,Paramètres!$A$1:$I$89,3,0)*0.475*44/12</f>
        <v>5.8393945291422105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39.60325891634799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65.6337514911271</v>
      </c>
      <c r="AO78" s="62">
        <f t="shared" si="90"/>
        <v>377.81060908047425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30.284023210808527</v>
      </c>
      <c r="AV78" s="23">
        <f>EXP(-LN(2)/25)*AV77+(1-EXP(-LN(2)/25))/(LN(2)/25)*Calculateur!AQ78*Calculateur!AS78*VLOOKUP('Données projet'!$B$10,Paramètres!$A$1:$I$89,3,0)*0.475*44/12</f>
        <v>5.2375627810133452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35.521585991821873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66.622529958850123</v>
      </c>
      <c r="BJ78" s="62">
        <f t="shared" si="92"/>
        <v>374.90853633180166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30.058819124309352</v>
      </c>
      <c r="BQ78" s="23">
        <f>EXP(-LN(2)/25)*BQ77+(1-EXP(-LN(2)/25))/(LN(2)/25)*Calculateur!BL78*Calculateur!BN78*VLOOKUP('Données projet'!$B$11,Paramètres!$A$1:$I$89,3,0)*0.475*44/12</f>
        <v>5.1986141732484699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35.257433297557824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projet'!$B$12,Paramètres!$A$1:$I$89,3,0)*VLOOKUP('Données projet'!$B$12,Paramètres!$A$1:$I$89,5,0)</f>
        <v>0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61.91827157428213</v>
      </c>
      <c r="CE78" s="62">
        <f t="shared" si="94"/>
        <v>358.41033295847001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28.779227026420536</v>
      </c>
      <c r="CL78" s="23">
        <f>EXP(-LN(2)/25)*CL77+(1-EXP(-LN(2)/25))/(LN(2)/25)*Calculateur!CG78*Calculateur!CI78*VLOOKUP('Données projet'!$B$12,Paramètres!$A$1:$I$89,3,0)*0.475*44/12</f>
        <v>4.9773112142549172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33.756538240675454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>
        <f>CT78*VLOOKUP('Données projet'!$B$13,Paramètres!$A$1:$I$89,3,0)*VLOOKUP('Données projet'!$B$13,Paramètres!$A$1:$I$89,5,0)</f>
        <v>0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66.561949299871912</v>
      </c>
      <c r="CZ78" s="62">
        <f t="shared" si="96"/>
        <v>382.65744918271389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30.66022225690552</v>
      </c>
      <c r="DG78" s="23">
        <f>EXP(-LN(2)/25)*DG77+(1-EXP(-LN(2)/25))/(LN(2)/25)*Calculateur!DB78*Calculateur!DD78*VLOOKUP('Données projet'!$B$13,Paramètres!$A$1:$I$89,3,0)*0.475*44/12</f>
        <v>5.3026256727029537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35.962847929608472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>
        <f>DO78*VLOOKUP('Données projet'!$B$14,Paramètres!$A$1:$I$89,3,0)*VLOOKUP('Données projet'!$B$14,Paramètres!$A$1:$I$89,5,0)</f>
        <v>0</v>
      </c>
      <c r="DQ78" s="14" t="e">
        <f t="shared" si="97"/>
        <v>#NUM!</v>
      </c>
      <c r="DR78" s="22" t="e">
        <f t="shared" si="70"/>
        <v>#NUM!</v>
      </c>
      <c r="DS78" s="62" t="e">
        <f t="shared" si="71"/>
        <v>#NUM!</v>
      </c>
      <c r="DT78" s="62">
        <f ca="1">AVERAGE(OFFSET($DS$3,0,0,'Données projet'!$E$14+1,1))-AVERAGE(OFFSET($H$3,0,0,'Données projet'!$E$14+1,1))</f>
        <v>60.532656778089574</v>
      </c>
      <c r="DU78" s="62">
        <f t="shared" si="98"/>
        <v>348.96823267563025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28.047442580587994</v>
      </c>
      <c r="EB78" s="23">
        <f>EXP(-LN(2)/25)*EB77+(1-EXP(-LN(2)/25))/(LN(2)/25)*Calculateur!DW78*Calculateur!DY78*VLOOKUP('Données projet'!$B$14,Paramètres!$A$1:$I$89,3,0)*0.475*44/12</f>
        <v>4.8507505208312995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32.898193101419295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38.887679999999932</v>
      </c>
      <c r="D79" s="12">
        <f t="shared" si="86"/>
        <v>11.703344211481344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390.52720443950466</v>
      </c>
      <c r="H79" s="70">
        <f t="shared" si="56"/>
        <v>381.44603383499651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74.209918391015606</v>
      </c>
      <c r="T79" s="62">
        <f t="shared" si="88"/>
        <v>422.59746235438649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33.101775600496467</v>
      </c>
      <c r="AA79" s="23">
        <f>EXP(-LN(2)/25)*AA78+(1-EXP(-LN(2)/25))/(LN(2)/25)*Calculateur!V79*Calculateur!X79*VLOOKUP('Données projet'!$B$9,Paramètres!$A$1:$I$89,3,0)*0.475*44/12</f>
        <v>5.6797159786624043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38.781491579158867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65.6337514911271</v>
      </c>
      <c r="AO79" s="62">
        <f t="shared" si="90"/>
        <v>377.81060908047425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29.69017198707483</v>
      </c>
      <c r="AV79" s="23">
        <f>EXP(-LN(2)/25)*AV78+(1-EXP(-LN(2)/25))/(LN(2)/25)*Calculateur!AQ79*Calculateur!AS79*VLOOKUP('Données projet'!$B$10,Paramètres!$A$1:$I$89,3,0)*0.475*44/12</f>
        <v>5.0943413513350793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34.784513338409909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66.622529958850123</v>
      </c>
      <c r="BJ79" s="62">
        <f t="shared" si="92"/>
        <v>374.90853633180166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29.469384015350972</v>
      </c>
      <c r="BQ79" s="23">
        <f>EXP(-LN(2)/25)*BQ78+(1-EXP(-LN(2)/25))/(LN(2)/25)*Calculateur!BL79*Calculateur!BN79*VLOOKUP('Données projet'!$B$11,Paramètres!$A$1:$I$89,3,0)*0.475*44/12</f>
        <v>5.056457795297753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34.525841810648728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projet'!$B$12,Paramètres!$A$1:$I$89,3,0)*VLOOKUP('Données projet'!$B$12,Paramètres!$A$1:$I$89,5,0)</f>
        <v>0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61.91827157428213</v>
      </c>
      <c r="CE79" s="62">
        <f t="shared" si="94"/>
        <v>358.41033295847001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28.21488393802764</v>
      </c>
      <c r="CL79" s="23">
        <f>EXP(-LN(2)/25)*CL78+(1-EXP(-LN(2)/25))/(LN(2)/25)*Calculateur!CG79*Calculateur!CI79*VLOOKUP('Données projet'!$B$12,Paramètres!$A$1:$I$89,3,0)*0.475*44/12</f>
        <v>4.8412063773556957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33.056090315383337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>
        <f>CT79*VLOOKUP('Données projet'!$B$13,Paramètres!$A$1:$I$89,3,0)*VLOOKUP('Données projet'!$B$13,Paramètres!$A$1:$I$89,5,0)</f>
        <v>0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66.561949299871912</v>
      </c>
      <c r="CZ79" s="62">
        <f t="shared" si="96"/>
        <v>382.65744918271389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30.058993999336622</v>
      </c>
      <c r="DG79" s="23">
        <f>EXP(-LN(2)/25)*DG78+(1-EXP(-LN(2)/25))/(LN(2)/25)*Calculateur!DB79*Calculateur!DD79*VLOOKUP('Données projet'!$B$13,Paramètres!$A$1:$I$89,3,0)*0.475*44/12</f>
        <v>5.1576250948299265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35.216619094166546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>
        <f>DO79*VLOOKUP('Données projet'!$B$14,Paramètres!$A$1:$I$89,3,0)*VLOOKUP('Données projet'!$B$14,Paramètres!$A$1:$I$89,5,0)</f>
        <v>0</v>
      </c>
      <c r="DQ79" s="14" t="e">
        <f t="shared" si="97"/>
        <v>#NUM!</v>
      </c>
      <c r="DR79" s="22" t="e">
        <f t="shared" si="70"/>
        <v>#NUM!</v>
      </c>
      <c r="DS79" s="62" t="e">
        <f t="shared" si="71"/>
        <v>#NUM!</v>
      </c>
      <c r="DT79" s="62">
        <f ca="1">AVERAGE(OFFSET($DS$3,0,0,'Données projet'!$E$14+1,1))-AVERAGE(OFFSET($H$3,0,0,'Données projet'!$E$14+1,1))</f>
        <v>60.532656778089574</v>
      </c>
      <c r="DU79" s="62">
        <f t="shared" si="98"/>
        <v>348.96823267563025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27.497449338833437</v>
      </c>
      <c r="EB79" s="23">
        <f>EXP(-LN(2)/25)*EB78+(1-EXP(-LN(2)/25))/(LN(2)/25)*Calculateur!DW79*Calculateur!DY79*VLOOKUP('Données projet'!$B$14,Paramètres!$A$1:$I$89,3,0)*0.475*44/12</f>
        <v>4.7181064927492846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32.215555831582719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39.39935999999993</v>
      </c>
      <c r="D80" s="12">
        <f t="shared" si="86"/>
        <v>11.839307295256422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395.5265545598736</v>
      </c>
      <c r="H80" s="70">
        <f t="shared" si="56"/>
        <v>382.57401220590475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74.209918391015606</v>
      </c>
      <c r="T80" s="62">
        <f t="shared" si="88"/>
        <v>422.59746235438649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32.452669971060239</v>
      </c>
      <c r="AA80" s="23">
        <f>EXP(-LN(2)/25)*AA79+(1-EXP(-LN(2)/25))/(LN(2)/25)*Calculateur!V80*Calculateur!X80*VLOOKUP('Données projet'!$B$9,Paramètres!$A$1:$I$89,3,0)*0.475*44/12</f>
        <v>5.5244038465425991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37.977073817602836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65.6337514911271</v>
      </c>
      <c r="AO80" s="62">
        <f t="shared" si="90"/>
        <v>377.81060908047425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29.107965823625069</v>
      </c>
      <c r="AV80" s="23">
        <f>EXP(-LN(2)/25)*AV79+(1-EXP(-LN(2)/25))/(LN(2)/25)*Calculateur!AQ80*Calculateur!AS80*VLOOKUP('Données projet'!$B$10,Paramètres!$A$1:$I$89,3,0)*0.475*44/12</f>
        <v>4.9550363191830531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34.063002142808124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66.622529958850123</v>
      </c>
      <c r="BJ80" s="62">
        <f t="shared" si="92"/>
        <v>374.90853633180166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28.891507369359349</v>
      </c>
      <c r="BQ80" s="23">
        <f>EXP(-LN(2)/25)*BQ79+(1-EXP(-LN(2)/25))/(LN(2)/25)*Calculateur!BL80*Calculateur!BN80*VLOOKUP('Données projet'!$B$11,Paramètres!$A$1:$I$89,3,0)*0.475*44/12</f>
        <v>4.918188690977777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33.809696060337124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projet'!$B$12,Paramètres!$A$1:$I$89,3,0)*VLOOKUP('Données projet'!$B$12,Paramètres!$A$1:$I$89,5,0)</f>
        <v>0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61.91827157428213</v>
      </c>
      <c r="CE80" s="62">
        <f t="shared" si="94"/>
        <v>358.41033295847001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27.661607273382835</v>
      </c>
      <c r="CL80" s="23">
        <f>EXP(-LN(2)/25)*CL79+(1-EXP(-LN(2)/25))/(LN(2)/25)*Calculateur!CG80*Calculateur!CI80*VLOOKUP('Données projet'!$B$12,Paramètres!$A$1:$I$89,3,0)*0.475*44/12</f>
        <v>4.7088233343789252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32.370430607761762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>
        <f>CT80*VLOOKUP('Données projet'!$B$13,Paramètres!$A$1:$I$89,3,0)*VLOOKUP('Données projet'!$B$13,Paramètres!$A$1:$I$89,5,0)</f>
        <v>0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66.561949299871912</v>
      </c>
      <c r="CZ80" s="62">
        <f t="shared" si="96"/>
        <v>382.65744918271389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29.469555461185621</v>
      </c>
      <c r="DG80" s="23">
        <f>EXP(-LN(2)/25)*DG79+(1-EXP(-LN(2)/25))/(LN(2)/25)*Calculateur!DB80*Calculateur!DD80*VLOOKUP('Données projet'!$B$13,Paramètres!$A$1:$I$89,3,0)*0.475*44/12</f>
        <v>5.016589565384086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34.486145026569709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>
        <f>DO80*VLOOKUP('Données projet'!$B$14,Paramètres!$A$1:$I$89,3,0)*VLOOKUP('Données projet'!$B$14,Paramètres!$A$1:$I$89,5,0)</f>
        <v>0</v>
      </c>
      <c r="DQ80" s="14" t="e">
        <f t="shared" si="97"/>
        <v>#NUM!</v>
      </c>
      <c r="DR80" s="22" t="e">
        <f t="shared" si="70"/>
        <v>#NUM!</v>
      </c>
      <c r="DS80" s="62" t="e">
        <f t="shared" si="71"/>
        <v>#NUM!</v>
      </c>
      <c r="DT80" s="62">
        <f ca="1">AVERAGE(OFFSET($DS$3,0,0,'Données projet'!$E$14+1,1))-AVERAGE(OFFSET($H$3,0,0,'Données projet'!$E$14+1,1))</f>
        <v>60.532656778089574</v>
      </c>
      <c r="DU80" s="62">
        <f t="shared" si="98"/>
        <v>348.96823267563025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26.958241129086932</v>
      </c>
      <c r="EB80" s="23">
        <f>EXP(-LN(2)/25)*EB79+(1-EXP(-LN(2)/25))/(LN(2)/25)*Calculateur!DW80*Calculateur!DY80*VLOOKUP('Données projet'!$B$14,Paramètres!$A$1:$I$89,3,0)*0.475*44/12</f>
        <v>4.5890896225906186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31.547330751677549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39.911039999999929</v>
      </c>
      <c r="D81" s="12">
        <f t="shared" si="86"/>
        <v>11.975064994395105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400.52431925497922</v>
      </c>
      <c r="H81" s="70">
        <f t="shared" si="56"/>
        <v>383.70163286523797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74.209918391015606</v>
      </c>
      <c r="T81" s="62">
        <f t="shared" si="88"/>
        <v>422.59746235438649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31.816292907101918</v>
      </c>
      <c r="AA81" s="23">
        <f>EXP(-LN(2)/25)*AA80+(1-EXP(-LN(2)/25))/(LN(2)/25)*Calculateur!V81*Calculateur!X81*VLOOKUP('Données projet'!$B$9,Paramètres!$A$1:$I$89,3,0)*0.475*44/12</f>
        <v>5.3733387328431199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37.189631639945034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65.6337514911271</v>
      </c>
      <c r="AO81" s="62">
        <f t="shared" si="90"/>
        <v>377.81060908047425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28.53717636792986</v>
      </c>
      <c r="AV81" s="23">
        <f>EXP(-LN(2)/25)*AV80+(1-EXP(-LN(2)/25))/(LN(2)/25)*Calculateur!AQ81*Calculateur!AS81*VLOOKUP('Données projet'!$B$10,Paramètres!$A$1:$I$89,3,0)*0.475*44/12</f>
        <v>4.8195405904609574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33.35671695839082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66.622529958850123</v>
      </c>
      <c r="BJ81" s="62">
        <f t="shared" si="92"/>
        <v>374.90853633180166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28.324962531925671</v>
      </c>
      <c r="BQ81" s="23">
        <f>EXP(-LN(2)/25)*BQ80+(1-EXP(-LN(2)/25))/(LN(2)/25)*Calculateur!BL81*Calculateur!BN81*VLOOKUP('Données projet'!$B$11,Paramètres!$A$1:$I$89,3,0)*0.475*44/12</f>
        <v>4.7837005625866871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33.108663094512359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projet'!$B$12,Paramètres!$A$1:$I$89,3,0)*VLOOKUP('Données projet'!$B$12,Paramètres!$A$1:$I$89,5,0)</f>
        <v>0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61.91827157428213</v>
      </c>
      <c r="CE81" s="62">
        <f t="shared" si="94"/>
        <v>358.41033295847001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27.119180026666271</v>
      </c>
      <c r="CL81" s="23">
        <f>EXP(-LN(2)/25)*CL80+(1-EXP(-LN(2)/25))/(LN(2)/25)*Calculateur!CG81*Calculateur!CI81*VLOOKUP('Données projet'!$B$12,Paramètres!$A$1:$I$89,3,0)*0.475*44/12</f>
        <v>4.5800603126740764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31.699240339340349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>
        <f>CT81*VLOOKUP('Données projet'!$B$13,Paramètres!$A$1:$I$89,3,0)*VLOOKUP('Données projet'!$B$13,Paramètres!$A$1:$I$89,5,0)</f>
        <v>0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66.561949299871912</v>
      </c>
      <c r="CZ81" s="62">
        <f t="shared" si="96"/>
        <v>382.65744918271389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28.891675453245753</v>
      </c>
      <c r="DG81" s="23">
        <f>EXP(-LN(2)/25)*DG80+(1-EXP(-LN(2)/25))/(LN(2)/25)*Calculateur!DB81*Calculateur!DD81*VLOOKUP('Données projet'!$B$13,Paramètres!$A$1:$I$89,3,0)*0.475*44/12</f>
        <v>4.8794106599076787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33.77108611315343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>
        <f>DO81*VLOOKUP('Données projet'!$B$14,Paramètres!$A$1:$I$89,3,0)*VLOOKUP('Données projet'!$B$14,Paramètres!$A$1:$I$89,5,0)</f>
        <v>0</v>
      </c>
      <c r="DQ81" s="14" t="e">
        <f t="shared" si="97"/>
        <v>#NUM!</v>
      </c>
      <c r="DR81" s="22" t="e">
        <f t="shared" si="70"/>
        <v>#NUM!</v>
      </c>
      <c r="DS81" s="62" t="e">
        <f t="shared" si="71"/>
        <v>#NUM!</v>
      </c>
      <c r="DT81" s="62">
        <f ca="1">AVERAGE(OFFSET($DS$3,0,0,'Données projet'!$E$14+1,1))-AVERAGE(OFFSET($H$3,0,0,'Données projet'!$E$14+1,1))</f>
        <v>60.532656778089574</v>
      </c>
      <c r="DU81" s="62">
        <f t="shared" si="98"/>
        <v>348.96823267563025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26.429606463449023</v>
      </c>
      <c r="EB81" s="23">
        <f>EXP(-LN(2)/25)*EB80+(1-EXP(-LN(2)/25))/(LN(2)/25)*Calculateur!DW81*Calculateur!DY81*VLOOKUP('Données projet'!$B$14,Paramètres!$A$1:$I$89,3,0)*0.475*44/12</f>
        <v>4.4636007255311432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30.893207188980167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40.422719999999927</v>
      </c>
      <c r="D82" s="12">
        <f t="shared" si="86"/>
        <v>12.110620246500391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405.52052120105509</v>
      </c>
      <c r="H82" s="70">
        <f t="shared" si="56"/>
        <v>384.82890092932138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74.209918391015606</v>
      </c>
      <c r="T82" s="62">
        <f t="shared" si="88"/>
        <v>422.59746235438649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31.192394809216136</v>
      </c>
      <c r="AA82" s="23">
        <f>EXP(-LN(2)/25)*AA81+(1-EXP(-LN(2)/25))/(LN(2)/25)*Calculateur!V82*Calculateur!X82*VLOOKUP('Données projet'!$B$9,Paramètres!$A$1:$I$89,3,0)*0.475*44/12</f>
        <v>5.2264045026219215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36.418799311838058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65.6337514911271</v>
      </c>
      <c r="AO82" s="62">
        <f t="shared" si="90"/>
        <v>377.81060908047425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27.977579745313644</v>
      </c>
      <c r="AV82" s="23">
        <f>EXP(-LN(2)/25)*AV81+(1-EXP(-LN(2)/25))/(LN(2)/25)*Calculateur!AQ82*Calculateur!AS82*VLOOKUP('Données projet'!$B$10,Paramètres!$A$1:$I$89,3,0)*0.475*44/12</f>
        <v>4.6877499995661784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32.66532974487982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66.622529958850123</v>
      </c>
      <c r="BJ82" s="62">
        <f t="shared" si="92"/>
        <v>374.90853633180166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27.769527293195839</v>
      </c>
      <c r="BQ82" s="23">
        <f>EXP(-LN(2)/25)*BQ81+(1-EXP(-LN(2)/25))/(LN(2)/25)*Calculateur!BL82*Calculateur!BN82*VLOOKUP('Données projet'!$B$11,Paramètres!$A$1:$I$89,3,0)*0.475*44/12</f>
        <v>4.6528900191388747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32.422417312334716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projet'!$B$12,Paramètres!$A$1:$I$89,3,0)*VLOOKUP('Données projet'!$B$12,Paramètres!$A$1:$I$89,5,0)</f>
        <v>0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61.91827157428213</v>
      </c>
      <c r="CE82" s="62">
        <f t="shared" si="94"/>
        <v>358.41033295847001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26.587389447409866</v>
      </c>
      <c r="CL82" s="23">
        <f>EXP(-LN(2)/25)*CL81+(1-EXP(-LN(2)/25))/(LN(2)/25)*Calculateur!CG82*Calculateur!CI82*VLOOKUP('Données projet'!$B$12,Paramètres!$A$1:$I$89,3,0)*0.475*44/12</f>
        <v>4.4548183225690998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31.042207769978965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>
        <f>CT82*VLOOKUP('Données projet'!$B$13,Paramètres!$A$1:$I$89,3,0)*VLOOKUP('Données projet'!$B$13,Paramètres!$A$1:$I$89,5,0)</f>
        <v>0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66.561949299871912</v>
      </c>
      <c r="CZ82" s="62">
        <f t="shared" si="96"/>
        <v>382.65744918271389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28.325127319789583</v>
      </c>
      <c r="DG82" s="23">
        <f>EXP(-LN(2)/25)*DG81+(1-EXP(-LN(2)/25))/(LN(2)/25)*Calculateur!DB82*Calculateur!DD82*VLOOKUP('Données projet'!$B$13,Paramètres!$A$1:$I$89,3,0)*0.475*44/12</f>
        <v>4.7459829188154483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33.07111023860503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>
        <f>DO82*VLOOKUP('Données projet'!$B$14,Paramètres!$A$1:$I$89,3,0)*VLOOKUP('Données projet'!$B$14,Paramètres!$A$1:$I$89,5,0)</f>
        <v>0</v>
      </c>
      <c r="DQ82" s="14" t="e">
        <f t="shared" si="97"/>
        <v>#NUM!</v>
      </c>
      <c r="DR82" s="22" t="e">
        <f t="shared" si="70"/>
        <v>#NUM!</v>
      </c>
      <c r="DS82" s="62" t="e">
        <f t="shared" si="71"/>
        <v>#NUM!</v>
      </c>
      <c r="DT82" s="62">
        <f ca="1">AVERAGE(OFFSET($DS$3,0,0,'Données projet'!$E$14+1,1))-AVERAGE(OFFSET($H$3,0,0,'Données projet'!$E$14+1,1))</f>
        <v>60.532656778089574</v>
      </c>
      <c r="DU82" s="62">
        <f t="shared" si="98"/>
        <v>348.96823267563025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25.911338001168968</v>
      </c>
      <c r="EB82" s="23">
        <f>EXP(-LN(2)/25)*EB81+(1-EXP(-LN(2)/25))/(LN(2)/25)*Calculateur!DW82*Calculateur!DY82*VLOOKUP('Données projet'!$B$14,Paramètres!$A$1:$I$89,3,0)*0.475*44/12</f>
        <v>4.3415433289609338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30.252881330129902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40.934399999999926</v>
      </c>
      <c r="D83" s="12">
        <f t="shared" si="86"/>
        <v>12.245975910528946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410.51518246724049</v>
      </c>
      <c r="H83" s="70">
        <f t="shared" si="56"/>
        <v>385.95582137750444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74.209918391015606</v>
      </c>
      <c r="T83" s="62">
        <f t="shared" si="88"/>
        <v>422.59746235438649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30.580730972489629</v>
      </c>
      <c r="AA83" s="23">
        <f>EXP(-LN(2)/25)*AA82+(1-EXP(-LN(2)/25))/(LN(2)/25)*Calculateur!V83*Calculateur!X83*VLOOKUP('Données projet'!$B$9,Paramètres!$A$1:$I$89,3,0)*0.475*44/12</f>
        <v>5.0834881966530574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35.664219169142683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65.6337514911271</v>
      </c>
      <c r="AO83" s="62">
        <f t="shared" si="90"/>
        <v>377.81060908047425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27.428956471146694</v>
      </c>
      <c r="AV83" s="23">
        <f>EXP(-LN(2)/25)*AV82+(1-EXP(-LN(2)/25))/(LN(2)/25)*Calculateur!AQ83*Calculateur!AS83*VLOOKUP('Données projet'!$B$10,Paramètres!$A$1:$I$89,3,0)*0.475*44/12</f>
        <v>4.5595632293099824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31.988519700456678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66.622529958850123</v>
      </c>
      <c r="BJ83" s="62">
        <f t="shared" si="92"/>
        <v>374.90853633180166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27.224983800715457</v>
      </c>
      <c r="BQ83" s="23">
        <f>EXP(-LN(2)/25)*BQ82+(1-EXP(-LN(2)/25))/(LN(2)/25)*Calculateur!BL83*Calculateur!BN83*VLOOKUP('Données projet'!$B$11,Paramètres!$A$1:$I$89,3,0)*0.475*44/12</f>
        <v>4.5256564968806705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31.750640297596128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projet'!$B$12,Paramètres!$A$1:$I$89,3,0)*VLOOKUP('Données projet'!$B$12,Paramètres!$A$1:$I$89,5,0)</f>
        <v>0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61.91827157428213</v>
      </c>
      <c r="CE83" s="62">
        <f t="shared" si="94"/>
        <v>358.41033295847001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26.066026957052454</v>
      </c>
      <c r="CL83" s="23">
        <f>EXP(-LN(2)/25)*CL82+(1-EXP(-LN(2)/25))/(LN(2)/25)*Calculateur!CG83*Calculateur!CI83*VLOOKUP('Données projet'!$B$12,Paramètres!$A$1:$I$89,3,0)*0.475*44/12</f>
        <v>4.3330010812697335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30.399028038322186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>
        <f>CT83*VLOOKUP('Données projet'!$B$13,Paramètres!$A$1:$I$89,3,0)*VLOOKUP('Données projet'!$B$13,Paramètres!$A$1:$I$89,5,0)</f>
        <v>0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66.561949299871912</v>
      </c>
      <c r="CZ83" s="62">
        <f t="shared" si="96"/>
        <v>382.65744918271389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27.769688849670249</v>
      </c>
      <c r="DG83" s="23">
        <f>EXP(-LN(2)/25)*DG82+(1-EXP(-LN(2)/25))/(LN(2)/25)*Calculateur!DB83*Calculateur!DD83*VLOOKUP('Données projet'!$B$13,Paramètres!$A$1:$I$89,3,0)*0.475*44/12</f>
        <v>4.6162037663200453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32.385892615990294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>
        <f>DO83*VLOOKUP('Données projet'!$B$14,Paramètres!$A$1:$I$89,3,0)*VLOOKUP('Données projet'!$B$14,Paramètres!$A$1:$I$89,5,0)</f>
        <v>0</v>
      </c>
      <c r="DQ83" s="14" t="e">
        <f t="shared" si="97"/>
        <v>#NUM!</v>
      </c>
      <c r="DR83" s="22" t="e">
        <f t="shared" si="70"/>
        <v>#NUM!</v>
      </c>
      <c r="DS83" s="62" t="e">
        <f t="shared" si="71"/>
        <v>#NUM!</v>
      </c>
      <c r="DT83" s="62">
        <f ca="1">AVERAGE(OFFSET($DS$3,0,0,'Données projet'!$E$14+1,1))-AVERAGE(OFFSET($H$3,0,0,'Données projet'!$E$14+1,1))</f>
        <v>60.532656778089574</v>
      </c>
      <c r="DU83" s="62">
        <f t="shared" si="98"/>
        <v>348.96823267563025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25.403232467321676</v>
      </c>
      <c r="EB83" s="23">
        <f>EXP(-LN(2)/25)*EB82+(1-EXP(-LN(2)/25))/(LN(2)/25)*Calculateur!DW83*Calculateur!DY83*VLOOKUP('Données projet'!$B$14,Paramètres!$A$1:$I$89,3,0)*0.475*44/12</f>
        <v>4.2228235983186559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29.626056065640331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41.446079999999924</v>
      </c>
      <c r="D84" s="12">
        <f t="shared" si="86"/>
        <v>12.381134769852867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415.50832453921453</v>
      </c>
      <c r="H84" s="70">
        <f t="shared" si="56"/>
        <v>387.0823990574936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74.209918391015606</v>
      </c>
      <c r="T84" s="62">
        <f t="shared" si="88"/>
        <v>422.59746235438649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29.981061490523228</v>
      </c>
      <c r="AA84" s="23">
        <f>EXP(-LN(2)/25)*AA83+(1-EXP(-LN(2)/25))/(LN(2)/25)*Calculateur!V84*Calculateur!X84*VLOOKUP('Données projet'!$B$9,Paramètres!$A$1:$I$89,3,0)*0.475*44/12</f>
        <v>4.9444799445865542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34.925541435109778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65.6337514911271</v>
      </c>
      <c r="AO84" s="62">
        <f t="shared" si="90"/>
        <v>377.81060908047425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26.891091364759003</v>
      </c>
      <c r="AV84" s="23">
        <f>EXP(-LN(2)/25)*AV83+(1-EXP(-LN(2)/25))/(LN(2)/25)*Calculateur!AQ84*Calculateur!AS84*VLOOKUP('Données projet'!$B$10,Paramètres!$A$1:$I$89,3,0)*0.475*44/12</f>
        <v>4.4348817330274919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31.325973097786495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66.622529958850123</v>
      </c>
      <c r="BJ84" s="62">
        <f t="shared" si="92"/>
        <v>374.90853633180166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26.691118473983877</v>
      </c>
      <c r="BQ84" s="23">
        <f>EXP(-LN(2)/25)*BQ83+(1-EXP(-LN(2)/25))/(LN(2)/25)*Calculateur!BL84*Calculateur!BN84*VLOOKUP('Données projet'!$B$11,Paramètres!$A$1:$I$89,3,0)*0.475*44/12</f>
        <v>4.401902181979537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31.093020655963414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61.91827157428213</v>
      </c>
      <c r="CE84" s="62">
        <f t="shared" si="94"/>
        <v>358.41033295847001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25.554888067131234</v>
      </c>
      <c r="CL84" s="23">
        <f>EXP(-LN(2)/25)*CL83+(1-EXP(-LN(2)/25))/(LN(2)/25)*Calculateur!CG84*Calculateur!CI84*VLOOKUP('Données projet'!$B$12,Paramètres!$A$1:$I$89,3,0)*0.475*44/12</f>
        <v>4.2145149388397893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29.769403005971022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>
        <f>CT84*VLOOKUP('Données projet'!$B$13,Paramètres!$A$1:$I$89,3,0)*VLOOKUP('Données projet'!$B$13,Paramètres!$A$1:$I$89,5,0)</f>
        <v>0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66.561949299871912</v>
      </c>
      <c r="CZ84" s="62">
        <f t="shared" si="96"/>
        <v>382.65744918271389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27.22514218916594</v>
      </c>
      <c r="DG84" s="23">
        <f>EXP(-LN(2)/25)*DG83+(1-EXP(-LN(2)/25))/(LN(2)/25)*Calculateur!DB84*Calculateur!DD84*VLOOKUP('Données projet'!$B$13,Paramètres!$A$1:$I$89,3,0)*0.475*44/12</f>
        <v>4.489973431574418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31.715115620740356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>
        <f>DO84*VLOOKUP('Données projet'!$B$14,Paramètres!$A$1:$I$89,3,0)*VLOOKUP('Données projet'!$B$14,Paramètres!$A$1:$I$89,5,0)</f>
        <v>0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60.532656778089574</v>
      </c>
      <c r="DU84" s="62">
        <f t="shared" si="98"/>
        <v>348.96823267563025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24.905090573079352</v>
      </c>
      <c r="EB84" s="23">
        <f>EXP(-LN(2)/25)*EB83+(1-EXP(-LN(2)/25))/(LN(2)/25)*Calculateur!DW84*Calculateur!DY84*VLOOKUP('Données projet'!$B$14,Paramètres!$A$1:$I$89,3,0)*0.475*44/12</f>
        <v>4.1073502649539906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29.012440838033342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41.957759999999922</v>
      </c>
      <c r="D85" s="12">
        <f t="shared" si="86"/>
        <v>12.51609953516596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420.49996834163147</v>
      </c>
      <c r="H85" s="70">
        <f t="shared" si="56"/>
        <v>388.20863869041392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74.209918391015606</v>
      </c>
      <c r="T85" s="62">
        <f t="shared" si="88"/>
        <v>422.59746235438649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29.393151161335922</v>
      </c>
      <c r="AA85" s="23">
        <f>EXP(-LN(2)/25)*AA84+(1-EXP(-LN(2)/25))/(LN(2)/25)*Calculateur!V85*Calculateur!X85*VLOOKUP('Données projet'!$B$9,Paramètres!$A$1:$I$89,3,0)*0.475*44/12</f>
        <v>4.8092728804829354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34.202424041818858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65.6337514911271</v>
      </c>
      <c r="AO85" s="62">
        <f t="shared" si="90"/>
        <v>377.81060908047425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26.363773465042254</v>
      </c>
      <c r="AV85" s="23">
        <f>EXP(-LN(2)/25)*AV84+(1-EXP(-LN(2)/25))/(LN(2)/25)*Calculateur!AQ85*Calculateur!AS85*VLOOKUP('Données projet'!$B$10,Paramètres!$A$1:$I$89,3,0)*0.475*44/12</f>
        <v>4.313609658817561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30.677383123859816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66.622529958850123</v>
      </c>
      <c r="BJ85" s="62">
        <f t="shared" si="92"/>
        <v>374.90853633180166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26.16772192068381</v>
      </c>
      <c r="BQ85" s="23">
        <f>EXP(-LN(2)/25)*BQ84+(1-EXP(-LN(2)/25))/(LN(2)/25)*Calculateur!BL85*Calculateur!BN85*VLOOKUP('Données projet'!$B$11,Paramètres!$A$1:$I$89,3,0)*0.475*44/12</f>
        <v>4.2815319353273313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30.44925385601114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61.91827157428213</v>
      </c>
      <c r="CE85" s="62">
        <f t="shared" si="94"/>
        <v>358.41033295847001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25.05377229907743</v>
      </c>
      <c r="CL85" s="23">
        <f>EXP(-LN(2)/25)*CL84+(1-EXP(-LN(2)/25))/(LN(2)/25)*Calculateur!CG85*Calculateur!CI85*VLOOKUP('Données projet'!$B$12,Paramètres!$A$1:$I$89,3,0)*0.475*44/12</f>
        <v>4.0992688062055072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29.153041105282938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>
        <f>CT85*VLOOKUP('Données projet'!$B$13,Paramètres!$A$1:$I$89,3,0)*VLOOKUP('Données projet'!$B$13,Paramètres!$A$1:$I$89,5,0)</f>
        <v>0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66.561949299871912</v>
      </c>
      <c r="CZ85" s="62">
        <f t="shared" si="96"/>
        <v>382.65744918271389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26.691273756533455</v>
      </c>
      <c r="DG85" s="23">
        <f>EXP(-LN(2)/25)*DG84+(1-EXP(-LN(2)/25))/(LN(2)/25)*Calculateur!DB85*Calculateur!DD85*VLOOKUP('Données projet'!$B$13,Paramètres!$A$1:$I$89,3,0)*0.475*44/12</f>
        <v>4.3671948719705744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31.058468628504031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>
        <f>DO85*VLOOKUP('Données projet'!$B$14,Paramètres!$A$1:$I$89,3,0)*VLOOKUP('Données projet'!$B$14,Paramètres!$A$1:$I$89,5,0)</f>
        <v>0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60.532656778089574</v>
      </c>
      <c r="DU85" s="62">
        <f t="shared" si="98"/>
        <v>348.96823267563025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24.416716937546568</v>
      </c>
      <c r="EB85" s="23">
        <f>EXP(-LN(2)/25)*EB84+(1-EXP(-LN(2)/25))/(LN(2)/25)*Calculateur!DW85*Calculateur!DY85*VLOOKUP('Données projet'!$B$14,Paramètres!$A$1:$I$89,3,0)*0.475*44/12</f>
        <v>3.9950345559626608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28.411751493509229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42.469439999999921</v>
      </c>
      <c r="D86" s="12">
        <f t="shared" si="86"/>
        <v>12.650872847244136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425.49013425942786</v>
      </c>
      <c r="H86" s="70">
        <f t="shared" si="56"/>
        <v>389.3345448756167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74.209918391015606</v>
      </c>
      <c r="T86" s="62">
        <f t="shared" si="88"/>
        <v>422.59746235438649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28.816769395114086</v>
      </c>
      <c r="AA86" s="23">
        <f>EXP(-LN(2)/25)*AA85+(1-EXP(-LN(2)/25))/(LN(2)/25)*Calculateur!V86*Calculateur!X86*VLOOKUP('Données projet'!$B$9,Paramètres!$A$1:$I$89,3,0)*0.475*44/12</f>
        <v>4.6777630606574609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33.494532455771548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65.6337514911271</v>
      </c>
      <c r="AO86" s="62">
        <f t="shared" si="90"/>
        <v>377.81060908047425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25.846795947706788</v>
      </c>
      <c r="AV86" s="23">
        <f>EXP(-LN(2)/25)*AV85+(1-EXP(-LN(2)/25))/(LN(2)/25)*Calculateur!AQ86*Calculateur!AS86*VLOOKUP('Données projet'!$B$10,Paramètres!$A$1:$I$89,3,0)*0.475*44/12</f>
        <v>4.1956537758543213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30.042449723561109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66.622529958850123</v>
      </c>
      <c r="BJ86" s="62">
        <f t="shared" si="92"/>
        <v>374.90853633180166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25.65458885455358</v>
      </c>
      <c r="BQ86" s="23">
        <f>EXP(-LN(2)/25)*BQ85+(1-EXP(-LN(2)/25))/(LN(2)/25)*Calculateur!BL86*Calculateur!BN86*VLOOKUP('Données projet'!$B$11,Paramètres!$A$1:$I$89,3,0)*0.475*44/12</f>
        <v>4.1644532193998263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29.819042073953405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61.91827157428213</v>
      </c>
      <c r="CE86" s="62">
        <f t="shared" si="94"/>
        <v>358.41033295847001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24.562483105584722</v>
      </c>
      <c r="CL86" s="23">
        <f>EXP(-LN(2)/25)*CL85+(1-EXP(-LN(2)/25))/(LN(2)/25)*Calculateur!CG86*Calculateur!CI86*VLOOKUP('Données projet'!$B$12,Paramètres!$A$1:$I$89,3,0)*0.475*44/12</f>
        <v>3.9871740851286401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28.549657190713361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>
        <f>CT86*VLOOKUP('Données projet'!$B$13,Paramètres!$A$1:$I$89,3,0)*VLOOKUP('Données projet'!$B$13,Paramètres!$A$1:$I$89,5,0)</f>
        <v>0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66.561949299871912</v>
      </c>
      <c r="CZ86" s="62">
        <f t="shared" si="96"/>
        <v>382.65744918271389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26.167874158237304</v>
      </c>
      <c r="DG86" s="23">
        <f>EXP(-LN(2)/25)*DG85+(1-EXP(-LN(2)/25))/(LN(2)/25)*Calculateur!DB86*Calculateur!DD86*VLOOKUP('Données projet'!$B$13,Paramètres!$A$1:$I$89,3,0)*0.475*44/12</f>
        <v>4.2477736985357417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30.415647856773045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>
        <f>DO86*VLOOKUP('Données projet'!$B$14,Paramètres!$A$1:$I$89,3,0)*VLOOKUP('Données projet'!$B$14,Paramètres!$A$1:$I$89,5,0)</f>
        <v>0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60.532656778089574</v>
      </c>
      <c r="DU86" s="62">
        <f t="shared" si="98"/>
        <v>348.96823267563025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23.937920011128078</v>
      </c>
      <c r="EB86" s="23">
        <f>EXP(-LN(2)/25)*EB85+(1-EXP(-LN(2)/25))/(LN(2)/25)*Calculateur!DW86*Calculateur!DY86*VLOOKUP('Données projet'!$B$14,Paramètres!$A$1:$I$89,3,0)*0.475*44/12</f>
        <v>3.8857901259401251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27.823710137068204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42.981119999999919</v>
      </c>
      <c r="D87" s="12">
        <f t="shared" si="86"/>
        <v>12.785457279569069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430.47884215807647</v>
      </c>
      <c r="H87" s="70">
        <f t="shared" si="56"/>
        <v>390.46012209524929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74.209918391015606</v>
      </c>
      <c r="T87" s="62">
        <f t="shared" si="88"/>
        <v>422.59746235438649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28.251690123769695</v>
      </c>
      <c r="AA87" s="23">
        <f>EXP(-LN(2)/25)*AA86+(1-EXP(-LN(2)/25))/(LN(2)/25)*Calculateur!V87*Calculateur!X87*VLOOKUP('Données projet'!$B$9,Paramètres!$A$1:$I$89,3,0)*0.475*44/12</f>
        <v>4.5498493837709146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32.80153950754061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65.6337514911271</v>
      </c>
      <c r="AO87" s="62">
        <f t="shared" si="90"/>
        <v>377.81060908047425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25.339956044161124</v>
      </c>
      <c r="AV87" s="23">
        <f>EXP(-LN(2)/25)*AV86+(1-EXP(-LN(2)/25))/(LN(2)/25)*Calculateur!AQ87*Calculateur!AS87*VLOOKUP('Données projet'!$B$10,Paramètres!$A$1:$I$89,3,0)*0.475*44/12</f>
        <v>4.0809234027137418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29.420879446874864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66.622529958850123</v>
      </c>
      <c r="BJ87" s="62">
        <f t="shared" si="92"/>
        <v>374.90853633180166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25.1515180148699</v>
      </c>
      <c r="BQ87" s="23">
        <f>EXP(-LN(2)/25)*BQ86+(1-EXP(-LN(2)/25))/(LN(2)/25)*Calculateur!BL87*Calculateur!BN87*VLOOKUP('Données projet'!$B$11,Paramètres!$A$1:$I$89,3,0)*0.475*44/12</f>
        <v>4.0505760271162616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29.202094041986161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61.91827157428213</v>
      </c>
      <c r="CE87" s="62">
        <f t="shared" si="94"/>
        <v>358.41033295847001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24.080827793519585</v>
      </c>
      <c r="CL87" s="23">
        <f>EXP(-LN(2)/25)*CL86+(1-EXP(-LN(2)/25))/(LN(2)/25)*Calculateur!CG87*Calculateur!CI87*VLOOKUP('Données projet'!$B$12,Paramètres!$A$1:$I$89,3,0)*0.475*44/12</f>
        <v>3.8781446000944251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27.958972393614012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>
        <f>CT87*VLOOKUP('Données projet'!$B$13,Paramètres!$A$1:$I$89,3,0)*VLOOKUP('Données projet'!$B$13,Paramètres!$A$1:$I$89,5,0)</f>
        <v>0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66.561949299871912</v>
      </c>
      <c r="CZ87" s="62">
        <f t="shared" si="96"/>
        <v>382.65744918271389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25.654738106821505</v>
      </c>
      <c r="DG87" s="23">
        <f>EXP(-LN(2)/25)*DG86+(1-EXP(-LN(2)/25))/(LN(2)/25)*Calculateur!DB87*Calculateur!DD87*VLOOKUP('Données projet'!$B$13,Paramètres!$A$1:$I$89,3,0)*0.475*44/12</f>
        <v>4.131618103368571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29.786356210190075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>
        <f>DO87*VLOOKUP('Données projet'!$B$14,Paramètres!$A$1:$I$89,3,0)*VLOOKUP('Données projet'!$B$14,Paramètres!$A$1:$I$89,5,0)</f>
        <v>0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60.532656778089574</v>
      </c>
      <c r="DU87" s="62">
        <f t="shared" si="98"/>
        <v>348.96823267563025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23.468512000399365</v>
      </c>
      <c r="EB87" s="23">
        <f>EXP(-LN(2)/25)*EB86+(1-EXP(-LN(2)/25))/(LN(2)/25)*Calculateur!DW87*Calculateur!DY87*VLOOKUP('Données projet'!$B$14,Paramètres!$A$1:$I$89,3,0)*0.475*44/12</f>
        <v>3.7795329906014707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27.248044991000835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43.492799999999917</v>
      </c>
      <c r="D88" s="12">
        <f t="shared" si="86"/>
        <v>12.919855340823286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435.46611140284585</v>
      </c>
      <c r="H88" s="70">
        <f t="shared" si="56"/>
        <v>391.58537471860041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74.209918391015606</v>
      </c>
      <c r="T88" s="62">
        <f t="shared" si="88"/>
        <v>422.59746235438649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27.697691712272047</v>
      </c>
      <c r="AA88" s="23">
        <f>EXP(-LN(2)/25)*AA87+(1-EXP(-LN(2)/25))/(LN(2)/25)*Calculateur!V88*Calculateur!X88*VLOOKUP('Données projet'!$B$9,Paramètres!$A$1:$I$89,3,0)*0.475*44/12</f>
        <v>4.4254335131055189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32.123125225377564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65.6337514911271</v>
      </c>
      <c r="AO88" s="62">
        <f t="shared" si="90"/>
        <v>377.81060908047425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24.843054961982173</v>
      </c>
      <c r="AV88" s="23">
        <f>EXP(-LN(2)/25)*AV87+(1-EXP(-LN(2)/25))/(LN(2)/25)*Calculateur!AQ88*Calculateur!AS88*VLOOKUP('Données projet'!$B$10,Paramètres!$A$1:$I$89,3,0)*0.475*44/12</f>
        <v>3.9693303376600997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28.812385299642273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66.622529958850123</v>
      </c>
      <c r="BJ88" s="62">
        <f t="shared" si="92"/>
        <v>374.90853633180166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24.658312087509501</v>
      </c>
      <c r="BQ88" s="23">
        <f>EXP(-LN(2)/25)*BQ87+(1-EXP(-LN(2)/25))/(LN(2)/25)*Calculateur!BL88*Calculateur!BN88*VLOOKUP('Données projet'!$B$11,Paramètres!$A$1:$I$89,3,0)*0.475*44/12</f>
        <v>3.9398128126442318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28.598124900153731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61.91827157428213</v>
      </c>
      <c r="CE88" s="62">
        <f t="shared" si="94"/>
        <v>358.41033295847001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23.608617448343317</v>
      </c>
      <c r="CL88" s="23">
        <f>EXP(-LN(2)/25)*CL87+(1-EXP(-LN(2)/25))/(LN(2)/25)*Calculateur!CG88*Calculateur!CI88*VLOOKUP('Données projet'!$B$12,Paramètres!$A$1:$I$89,3,0)*0.475*44/12</f>
        <v>3.7720965320620823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27.3807139804054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>
        <f>CT88*VLOOKUP('Données projet'!$B$13,Paramètres!$A$1:$I$89,3,0)*VLOOKUP('Données projet'!$B$13,Paramètres!$A$1:$I$89,5,0)</f>
        <v>0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66.561949299871912</v>
      </c>
      <c r="CZ88" s="62">
        <f t="shared" si="96"/>
        <v>382.65744918271389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25.151664340391882</v>
      </c>
      <c r="DG88" s="23">
        <f>EXP(-LN(2)/25)*DG87+(1-EXP(-LN(2)/25))/(LN(2)/25)*Calculateur!DB88*Calculateur!DD88*VLOOKUP('Données projet'!$B$13,Paramètres!$A$1:$I$89,3,0)*0.475*44/12</f>
        <v>4.0186387890596045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29.170303129451487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>
        <f>DO88*VLOOKUP('Données projet'!$B$14,Paramètres!$A$1:$I$89,3,0)*VLOOKUP('Données projet'!$B$14,Paramètres!$A$1:$I$89,5,0)</f>
        <v>0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60.532656778089574</v>
      </c>
      <c r="DU88" s="62">
        <f t="shared" si="98"/>
        <v>348.96823267563025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23.008308794450425</v>
      </c>
      <c r="EB88" s="23">
        <f>EXP(-LN(2)/25)*EB87+(1-EXP(-LN(2)/25))/(LN(2)/25)*Calculateur!DW88*Calculateur!DY88*VLOOKUP('Données projet'!$B$14,Paramètres!$A$1:$I$89,3,0)*0.475*44/12</f>
        <v>3.6761814622164719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26.684490256666898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44.004479999999916</v>
      </c>
      <c r="D89" s="12">
        <f t="shared" si="86"/>
        <v>13.054069477264541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440.45196087712912</v>
      </c>
      <c r="H89" s="70">
        <f t="shared" si="56"/>
        <v>392.71030700623555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74.209918391015606</v>
      </c>
      <c r="T89" s="62">
        <f t="shared" si="88"/>
        <v>422.59746235438649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27.154556871718199</v>
      </c>
      <c r="AA89" s="23">
        <f>EXP(-LN(2)/25)*AA88+(1-EXP(-LN(2)/25))/(LN(2)/25)*Calculateur!V89*Calculateur!X89*VLOOKUP('Données projet'!$B$9,Paramètres!$A$1:$I$89,3,0)*0.475*44/12</f>
        <v>4.3044198009662145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31.458976672684415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65.6337514911271</v>
      </c>
      <c r="AO89" s="62">
        <f t="shared" si="90"/>
        <v>377.81060908047425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24.355897806945016</v>
      </c>
      <c r="AV89" s="23">
        <f>EXP(-LN(2)/25)*AV88+(1-EXP(-LN(2)/25))/(LN(2)/25)*Calculateur!AQ89*Calculateur!AS89*VLOOKUP('Données projet'!$B$10,Paramètres!$A$1:$I$89,3,0)*0.475*44/12</f>
        <v>3.8607887908387739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28.216686597783792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66.622529958850123</v>
      </c>
      <c r="BJ89" s="62">
        <f t="shared" si="92"/>
        <v>374.90853633180166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24.174777627558729</v>
      </c>
      <c r="BQ89" s="23">
        <f>EXP(-LN(2)/25)*BQ88+(1-EXP(-LN(2)/25))/(LN(2)/25)*Calculateur!BL89*Calculateur!BN89*VLOOKUP('Données projet'!$B$11,Paramètres!$A$1:$I$89,3,0)*0.475*44/12</f>
        <v>3.8320784240967241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28.006856051655454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61.91827157428213</v>
      </c>
      <c r="CE89" s="62">
        <f t="shared" si="94"/>
        <v>358.41033295847001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23.145666860016082</v>
      </c>
      <c r="CL89" s="23">
        <f>EXP(-LN(2)/25)*CL88+(1-EXP(-LN(2)/25))/(LN(2)/25)*Calculateur!CG89*Calculateur!CI89*VLOOKUP('Données projet'!$B$12,Paramètres!$A$1:$I$89,3,0)*0.475*44/12</f>
        <v>3.6689483540269094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26.814615214042991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>
        <f>CT89*VLOOKUP('Données projet'!$B$13,Paramètres!$A$1:$I$89,3,0)*VLOOKUP('Données projet'!$B$13,Paramètres!$A$1:$I$89,5,0)</f>
        <v>0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66.561949299871912</v>
      </c>
      <c r="CZ89" s="62">
        <f t="shared" si="96"/>
        <v>382.65744918271389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24.658455543677245</v>
      </c>
      <c r="DG89" s="23">
        <f>EXP(-LN(2)/25)*DG88+(1-EXP(-LN(2)/25))/(LN(2)/25)*Calculateur!DB89*Calculateur!DD89*VLOOKUP('Données projet'!$B$13,Paramètres!$A$1:$I$89,3,0)*0.475*44/12</f>
        <v>3.9087489000417404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28.567204443718985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>
        <f>DO89*VLOOKUP('Données projet'!$B$14,Paramètres!$A$1:$I$89,3,0)*VLOOKUP('Données projet'!$B$14,Paramètres!$A$1:$I$89,5,0)</f>
        <v>0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60.532656778089574</v>
      </c>
      <c r="DU89" s="62">
        <f t="shared" si="98"/>
        <v>348.96823267563025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22.557129892673906</v>
      </c>
      <c r="EB89" s="23">
        <f>EXP(-LN(2)/25)*EB88+(1-EXP(-LN(2)/25))/(LN(2)/25)*Calculateur!DW89*Calculateur!DY89*VLOOKUP('Données projet'!$B$14,Paramètres!$A$1:$I$89,3,0)*0.475*44/12</f>
        <v>3.5756560868101812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26.132785979484087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44.516159999999914</v>
      </c>
      <c r="D90" s="12">
        <f t="shared" si="86"/>
        <v>13.18810207498659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445.43640899989583</v>
      </c>
      <c r="H90" s="70">
        <f t="shared" si="56"/>
        <v>393.83492311393479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74.209918391015606</v>
      </c>
      <c r="T90" s="62">
        <f t="shared" si="88"/>
        <v>422.59746235438649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26.622072574108071</v>
      </c>
      <c r="AA90" s="23">
        <f>EXP(-LN(2)/25)*AA89+(1-EXP(-LN(2)/25))/(LN(2)/25)*Calculateur!V90*Calculateur!X90*VLOOKUP('Données projet'!$B$9,Paramètres!$A$1:$I$89,3,0)*0.475*44/12</f>
        <v>4.186715215149194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30.808787789257266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65.6337514911271</v>
      </c>
      <c r="AO90" s="62">
        <f t="shared" si="90"/>
        <v>377.81060908047425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23.878293506581613</v>
      </c>
      <c r="AV90" s="23">
        <f>EXP(-LN(2)/25)*AV89+(1-EXP(-LN(2)/25))/(LN(2)/25)*Calculateur!AQ90*Calculateur!AS90*VLOOKUP('Données projet'!$B$10,Paramètres!$A$1:$I$89,3,0)*0.475*44/12</f>
        <v>3.7552153183232293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27.633508824904844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66.622529958850123</v>
      </c>
      <c r="BJ90" s="62">
        <f t="shared" si="92"/>
        <v>374.90853633180166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23.700724983440693</v>
      </c>
      <c r="BQ90" s="23">
        <f>EXP(-LN(2)/25)*BQ89+(1-EXP(-LN(2)/25))/(LN(2)/25)*Calculateur!BL90*Calculateur!BN90*VLOOKUP('Données projet'!$B$11,Paramètres!$A$1:$I$89,3,0)*0.475*44/12</f>
        <v>3.7272900380695533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27.428015021510248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61.91827157428213</v>
      </c>
      <c r="CE90" s="62">
        <f t="shared" si="94"/>
        <v>358.41033295847001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22.691794450353967</v>
      </c>
      <c r="CL90" s="23">
        <f>EXP(-LN(2)/25)*CL89+(1-EXP(-LN(2)/25))/(LN(2)/25)*Calculateur!CG90*Calculateur!CI90*VLOOKUP('Données projet'!$B$12,Paramètres!$A$1:$I$89,3,0)*0.475*44/12</f>
        <v>3.5686207683444353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26.260415218698402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>
        <f>CT90*VLOOKUP('Données projet'!$B$13,Paramètres!$A$1:$I$89,3,0)*VLOOKUP('Données projet'!$B$13,Paramètres!$A$1:$I$89,5,0)</f>
        <v>0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66.561949299871912</v>
      </c>
      <c r="CZ90" s="62">
        <f t="shared" si="96"/>
        <v>382.65744918271389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24.174918270638521</v>
      </c>
      <c r="DG90" s="23">
        <f>EXP(-LN(2)/25)*DG89+(1-EXP(-LN(2)/25))/(LN(2)/25)*Calculateur!DB90*Calculateur!DD90*VLOOKUP('Données projet'!$B$13,Paramètres!$A$1:$I$89,3,0)*0.475*44/12</f>
        <v>3.8018639558179279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27.97678222645645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>
        <f>DO90*VLOOKUP('Données projet'!$B$14,Paramètres!$A$1:$I$89,3,0)*VLOOKUP('Données projet'!$B$14,Paramètres!$A$1:$I$89,5,0)</f>
        <v>0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60.532656778089574</v>
      </c>
      <c r="DU90" s="62">
        <f t="shared" si="98"/>
        <v>348.96823267563025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22.114798333969269</v>
      </c>
      <c r="EB90" s="23">
        <f>EXP(-LN(2)/25)*EB89+(1-EXP(-LN(2)/25))/(LN(2)/25)*Calculateur!DW90*Calculateur!DY90*VLOOKUP('Données projet'!$B$14,Paramètres!$A$1:$I$89,3,0)*0.475*44/12</f>
        <v>3.4778795830807754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25.592677917050043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45.027839999999912</v>
      </c>
      <c r="D91" s="12">
        <f t="shared" si="86"/>
        <v>13.32195546207303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450.41947374231745</v>
      </c>
      <c r="H91" s="70">
        <f t="shared" si="56"/>
        <v>394.95922709644367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74.209918391015606</v>
      </c>
      <c r="T91" s="62">
        <f t="shared" si="88"/>
        <v>422.59746235438649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26.100029968790725</v>
      </c>
      <c r="AA91" s="23">
        <f>EXP(-LN(2)/25)*AA90+(1-EXP(-LN(2)/25))/(LN(2)/25)*Calculateur!V91*Calculateur!X91*VLOOKUP('Données projet'!$B$9,Paramètres!$A$1:$I$89,3,0)*0.475*44/12</f>
        <v>4.0722292674211547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30.172259236211879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65.6337514911271</v>
      </c>
      <c r="AO91" s="62">
        <f t="shared" si="90"/>
        <v>377.81060908047425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23.410054735238479</v>
      </c>
      <c r="AV91" s="23">
        <f>EXP(-LN(2)/25)*AV90+(1-EXP(-LN(2)/25))/(LN(2)/25)*Calculateur!AQ91*Calculateur!AS91*VLOOKUP('Données projet'!$B$10,Paramètres!$A$1:$I$89,3,0)*0.475*44/12</f>
        <v>3.6525287579654897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27.062583493203967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66.622529958850123</v>
      </c>
      <c r="BJ91" s="62">
        <f t="shared" si="92"/>
        <v>374.90853633180166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23.23596822253025</v>
      </c>
      <c r="BQ91" s="23">
        <f>EXP(-LN(2)/25)*BQ90+(1-EXP(-LN(2)/25))/(LN(2)/25)*Calculateur!BL91*Calculateur!BN91*VLOOKUP('Données projet'!$B$11,Paramètres!$A$1:$I$89,3,0)*0.475*44/12</f>
        <v>3.6253670959688771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26.861335318499126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61.91827157428213</v>
      </c>
      <c r="CE91" s="62">
        <f t="shared" si="94"/>
        <v>358.41033295847001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22.246822201810492</v>
      </c>
      <c r="CL91" s="23">
        <f>EXP(-LN(2)/25)*CL90+(1-EXP(-LN(2)/25))/(LN(2)/25)*Calculateur!CG91*Calculateur!CI91*VLOOKUP('Données projet'!$B$12,Paramètres!$A$1:$I$89,3,0)*0.475*44/12</f>
        <v>3.4710366457684465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25.717858847578938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>
        <f>CT91*VLOOKUP('Données projet'!$B$13,Paramètres!$A$1:$I$89,3,0)*VLOOKUP('Données projet'!$B$13,Paramètres!$A$1:$I$89,5,0)</f>
        <v>0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66.561949299871912</v>
      </c>
      <c r="CZ91" s="62">
        <f t="shared" si="96"/>
        <v>382.65744918271389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23.700862868595472</v>
      </c>
      <c r="DG91" s="23">
        <f>EXP(-LN(2)/25)*DG90+(1-EXP(-LN(2)/25))/(LN(2)/25)*Calculateur!DB91*Calculateur!DD91*VLOOKUP('Données projet'!$B$13,Paramètres!$A$1:$I$89,3,0)*0.475*44/12</f>
        <v>3.6979017860147505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27.398764654610222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>
        <f>DO91*VLOOKUP('Données projet'!$B$14,Paramètres!$A$1:$I$89,3,0)*VLOOKUP('Données projet'!$B$14,Paramètres!$A$1:$I$89,5,0)</f>
        <v>0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60.532656778089574</v>
      </c>
      <c r="DU91" s="62">
        <f t="shared" si="98"/>
        <v>348.96823267563025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21.681140627335218</v>
      </c>
      <c r="EB91" s="23">
        <f>EXP(-LN(2)/25)*EB90+(1-EXP(-LN(2)/25))/(LN(2)/25)*Calculateur!DW91*Calculateur!DY91*VLOOKUP('Données projet'!$B$14,Paramètres!$A$1:$I$89,3,0)*0.475*44/12</f>
        <v>3.3827767829876931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25.063917410322912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45.539519999999911</v>
      </c>
      <c r="D92" s="12">
        <f t="shared" si="86"/>
        <v>13.455631910650482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455.40117264361703</v>
      </c>
      <c r="H92" s="70">
        <f t="shared" si="56"/>
        <v>396.0832229110494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74.209918391015606</v>
      </c>
      <c r="T92" s="62">
        <f t="shared" si="88"/>
        <v>422.59746235438649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25.588224300549104</v>
      </c>
      <c r="AA92" s="23">
        <f>EXP(-LN(2)/25)*AA91+(1-EXP(-LN(2)/25))/(LN(2)/25)*Calculateur!V92*Calculateur!X92*VLOOKUP('Données projet'!$B$9,Paramètres!$A$1:$I$89,3,0)*0.475*44/12</f>
        <v>3.9608739439542933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29.549098244503398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65.6337514911271</v>
      </c>
      <c r="AO92" s="62">
        <f t="shared" si="90"/>
        <v>377.81060908047425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22.950997840603932</v>
      </c>
      <c r="AV92" s="23">
        <f>EXP(-LN(2)/25)*AV91+(1-EXP(-LN(2)/25))/(LN(2)/25)*Calculateur!AQ92*Calculateur!AS92*VLOOKUP('Données projet'!$B$10,Paramètres!$A$1:$I$89,3,0)*0.475*44/12</f>
        <v>3.5526501670007842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26.503648007604717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66.622529958850123</v>
      </c>
      <c r="BJ92" s="62">
        <f t="shared" si="92"/>
        <v>374.90853633180166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22.780325058227625</v>
      </c>
      <c r="BQ92" s="23">
        <f>EXP(-LN(2)/25)*BQ91+(1-EXP(-LN(2)/25))/(LN(2)/25)*Calculateur!BL92*Calculateur!BN92*VLOOKUP('Données projet'!$B$11,Paramètres!$A$1:$I$89,3,0)*0.475*44/12</f>
        <v>3.5262312420798385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26.306556300307463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61.91827157428213</v>
      </c>
      <c r="CE92" s="62">
        <f t="shared" si="94"/>
        <v>358.41033295847001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21.810575587654682</v>
      </c>
      <c r="CL92" s="23">
        <f>EXP(-LN(2)/25)*CL91+(1-EXP(-LN(2)/25))/(LN(2)/25)*Calculateur!CG92*Calculateur!CI92*VLOOKUP('Données projet'!$B$12,Paramètres!$A$1:$I$89,3,0)*0.475*44/12</f>
        <v>3.3761209661560243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25.186696553810705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>
        <f>CT92*VLOOKUP('Données projet'!$B$13,Paramètres!$A$1:$I$89,3,0)*VLOOKUP('Données projet'!$B$13,Paramètres!$A$1:$I$89,5,0)</f>
        <v>0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66.561949299871912</v>
      </c>
      <c r="CZ92" s="62">
        <f t="shared" si="96"/>
        <v>382.65744918271389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23.236103403841245</v>
      </c>
      <c r="DG92" s="23">
        <f>EXP(-LN(2)/25)*DG91+(1-EXP(-LN(2)/25))/(LN(2)/25)*Calculateur!DB92*Calculateur!DD92*VLOOKUP('Données projet'!$B$13,Paramètres!$A$1:$I$89,3,0)*0.475*44/12</f>
        <v>3.5967824672119737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26.832885871053218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>
        <f>DO92*VLOOKUP('Données projet'!$B$14,Paramètres!$A$1:$I$89,3,0)*VLOOKUP('Données projet'!$B$14,Paramètres!$A$1:$I$89,5,0)</f>
        <v>0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60.532656778089574</v>
      </c>
      <c r="DU92" s="62">
        <f t="shared" si="98"/>
        <v>348.96823267563025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21.255986683823178</v>
      </c>
      <c r="EB92" s="23">
        <f>EXP(-LN(2)/25)*EB91+(1-EXP(-LN(2)/25))/(LN(2)/25)*Calculateur!DW92*Calculateur!DY92*VLOOKUP('Données projet'!$B$14,Paramètres!$A$1:$I$89,3,0)*0.475*44/12</f>
        <v>3.2902745739643953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24.546261257787574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46.051199999999909</v>
      </c>
      <c r="D93" s="12">
        <f t="shared" si="86"/>
        <v>13.58913363884685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460.38152282618552</v>
      </c>
      <c r="H93" s="70">
        <f t="shared" si="56"/>
        <v>397.20691442099138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74.209918391015606</v>
      </c>
      <c r="T93" s="62">
        <f t="shared" si="88"/>
        <v>422.59746235438649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25.086454829291068</v>
      </c>
      <c r="AA93" s="23">
        <f>EXP(-LN(2)/25)*AA92+(1-EXP(-LN(2)/25))/(LN(2)/25)*Calculateur!V93*Calculateur!X93*VLOOKUP('Données projet'!$B$9,Paramètres!$A$1:$I$89,3,0)*0.475*44/12</f>
        <v>3.8525636376635553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28.939018466954622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65.6337514911271</v>
      </c>
      <c r="AO93" s="62">
        <f t="shared" si="90"/>
        <v>377.81060908047425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22.500942771676112</v>
      </c>
      <c r="AV93" s="23">
        <f>EXP(-LN(2)/25)*AV92+(1-EXP(-LN(2)/25))/(LN(2)/25)*Calculateur!AQ93*Calculateur!AS93*VLOOKUP('Données projet'!$B$10,Paramètres!$A$1:$I$89,3,0)*0.475*44/12</f>
        <v>3.4555027613583951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25.956445533034508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66.622529958850123</v>
      </c>
      <c r="BJ93" s="62">
        <f t="shared" si="92"/>
        <v>374.90853633180166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22.333616778462087</v>
      </c>
      <c r="BQ93" s="23">
        <f>EXP(-LN(2)/25)*BQ92+(1-EXP(-LN(2)/25))/(LN(2)/25)*Calculateur!BL93*Calculateur!BN93*VLOOKUP('Données projet'!$B$11,Paramètres!$A$1:$I$89,3,0)*0.475*44/12</f>
        <v>3.4298062633287234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25.763423041790809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61.91827157428213</v>
      </c>
      <c r="CE93" s="62">
        <f t="shared" si="94"/>
        <v>358.41033295847001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21.382883503518308</v>
      </c>
      <c r="CL93" s="23">
        <f>EXP(-LN(2)/25)*CL92+(1-EXP(-LN(2)/25))/(LN(2)/25)*Calculateur!CG93*Calculateur!CI93*VLOOKUP('Données projet'!$B$12,Paramètres!$A$1:$I$89,3,0)*0.475*44/12</f>
        <v>3.2838007607940023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24.666684264312309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>
        <f>CT93*VLOOKUP('Données projet'!$B$13,Paramètres!$A$1:$I$89,3,0)*VLOOKUP('Données projet'!$B$13,Paramètres!$A$1:$I$89,5,0)</f>
        <v>0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66.561949299871912</v>
      </c>
      <c r="CZ93" s="62">
        <f t="shared" si="96"/>
        <v>382.65744918271389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22.780457588715564</v>
      </c>
      <c r="DG93" s="23">
        <f>EXP(-LN(2)/25)*DG92+(1-EXP(-LN(2)/25))/(LN(2)/25)*Calculateur!DB93*Calculateur!DD93*VLOOKUP('Données projet'!$B$13,Paramètres!$A$1:$I$89,3,0)*0.475*44/12</f>
        <v>3.4984282614994928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26.278885850215055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>
        <f>DO93*VLOOKUP('Données projet'!$B$14,Paramètres!$A$1:$I$89,3,0)*VLOOKUP('Données projet'!$B$14,Paramètres!$A$1:$I$89,5,0)</f>
        <v>0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60.532656778089574</v>
      </c>
      <c r="DU93" s="62">
        <f t="shared" si="98"/>
        <v>348.96823267563025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20.839169749825107</v>
      </c>
      <c r="EB93" s="23">
        <f>EXP(-LN(2)/25)*EB92+(1-EXP(-LN(2)/25))/(LN(2)/25)*Calculateur!DW93*Calculateur!DY93*VLOOKUP('Données projet'!$B$14,Paramètres!$A$1:$I$89,3,0)*0.475*44/12</f>
        <v>3.200301842711319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24.039471592536426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46.562879999999907</v>
      </c>
      <c r="D94" s="12">
        <f t="shared" si="86"/>
        <v>13.722462812660055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465.36054101000673</v>
      </c>
      <c r="H94" s="70">
        <f t="shared" si="56"/>
        <v>398.33030539871606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74.209918391015606</v>
      </c>
      <c r="T94" s="62">
        <f t="shared" si="88"/>
        <v>422.59746235438649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24.594524751315245</v>
      </c>
      <c r="AA94" s="23">
        <f>EXP(-LN(2)/25)*AA93+(1-EXP(-LN(2)/25))/(LN(2)/25)*Calculateur!V94*Calculateur!X94*VLOOKUP('Données projet'!$B$9,Paramètres!$A$1:$I$89,3,0)*0.475*44/12</f>
        <v>3.7472150823941286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28.341739833709372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65.6337514911271</v>
      </c>
      <c r="AO94" s="62">
        <f t="shared" si="90"/>
        <v>377.81060908047425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22.059713008143479</v>
      </c>
      <c r="AV94" s="23">
        <f>EXP(-LN(2)/25)*AV93+(1-EXP(-LN(2)/25))/(LN(2)/25)*Calculateur!AQ94*Calculateur!AS94*VLOOKUP('Données projet'!$B$10,Paramètres!$A$1:$I$89,3,0)*0.475*44/12</f>
        <v>3.3610118566320573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25.420724864775536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66.622529958850123</v>
      </c>
      <c r="BJ94" s="62">
        <f t="shared" si="92"/>
        <v>374.90853633180166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21.895668175597603</v>
      </c>
      <c r="BQ94" s="23">
        <f>EXP(-LN(2)/25)*BQ93+(1-EXP(-LN(2)/25))/(LN(2)/25)*Calculateur!BL94*Calculateur!BN94*VLOOKUP('Données projet'!$B$11,Paramètres!$A$1:$I$89,3,0)*0.475*44/12</f>
        <v>3.3360180306923271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25.231686206289929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61.91827157428213</v>
      </c>
      <c r="CE94" s="62">
        <f t="shared" si="94"/>
        <v>358.41033295847001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20.963578200285433</v>
      </c>
      <c r="CL94" s="23">
        <f>EXP(-LN(2)/25)*CL93+(1-EXP(-LN(2)/25))/(LN(2)/25)*Calculateur!CG94*Calculateur!CI94*VLOOKUP('Données projet'!$B$12,Paramètres!$A$1:$I$89,3,0)*0.475*44/12</f>
        <v>3.1940050563025135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24.157583256587948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>
        <f>CT94*VLOOKUP('Données projet'!$B$13,Paramètres!$A$1:$I$89,3,0)*VLOOKUP('Données projet'!$B$13,Paramètres!$A$1:$I$89,5,0)</f>
        <v>0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66.561949299871912</v>
      </c>
      <c r="CZ94" s="62">
        <f t="shared" si="96"/>
        <v>382.65744918271389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22.333746710107992</v>
      </c>
      <c r="DG94" s="23">
        <f>EXP(-LN(2)/25)*DG93+(1-EXP(-LN(2)/25))/(LN(2)/25)*Calculateur!DB94*Calculateur!DD94*VLOOKUP('Données projet'!$B$13,Paramètres!$A$1:$I$89,3,0)*0.475*44/12</f>
        <v>3.4027635567144427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25.736510266822435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>
        <f>DO94*VLOOKUP('Données projet'!$B$14,Paramètres!$A$1:$I$89,3,0)*VLOOKUP('Données projet'!$B$14,Paramètres!$A$1:$I$89,5,0)</f>
        <v>0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60.532656778089574</v>
      </c>
      <c r="DU94" s="62">
        <f t="shared" si="98"/>
        <v>348.96823267563025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20.430526341669513</v>
      </c>
      <c r="EB94" s="23">
        <f>EXP(-LN(2)/25)*EB93+(1-EXP(-LN(2)/25))/(LN(2)/25)*Calculateur!DW94*Calculateur!DY94*VLOOKUP('Données projet'!$B$14,Paramètres!$A$1:$I$89,3,0)*0.475*44/12</f>
        <v>3.1127894205258184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23.543315762195331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47.074559999999906</v>
      </c>
      <c r="D95" s="12">
        <f t="shared" si="86"/>
        <v>13.855621547742276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470.33824352643086</v>
      </c>
      <c r="H95" s="70">
        <f t="shared" si="56"/>
        <v>399.45339952898428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74.209918391015606</v>
      </c>
      <c r="T95" s="62">
        <f t="shared" si="88"/>
        <v>422.59746235438649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24.112241122120807</v>
      </c>
      <c r="AA95" s="23">
        <f>EXP(-LN(2)/25)*AA94+(1-EXP(-LN(2)/25))/(LN(2)/25)*Calculateur!V95*Calculateur!X95*VLOOKUP('Données projet'!$B$9,Paramètres!$A$1:$I$89,3,0)*0.475*44/12</f>
        <v>3.6447472889085843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27.75698841102939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65.6337514911271</v>
      </c>
      <c r="AO95" s="62">
        <f t="shared" si="90"/>
        <v>377.81060908047425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21.627135491150138</v>
      </c>
      <c r="AV95" s="23">
        <f>EXP(-LN(2)/25)*AV94+(1-EXP(-LN(2)/25))/(LN(2)/25)*Calculateur!AQ95*Calculateur!AS95*VLOOKUP('Données projet'!$B$10,Paramètres!$A$1:$I$89,3,0)*0.475*44/12</f>
        <v>3.2691048106645217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24.896240301814661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66.622529958850123</v>
      </c>
      <c r="BJ95" s="62">
        <f t="shared" si="92"/>
        <v>374.90853633180166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21.46630747771302</v>
      </c>
      <c r="BQ95" s="23">
        <f>EXP(-LN(2)/25)*BQ94+(1-EXP(-LN(2)/25))/(LN(2)/25)*Calculateur!BL95*Calculateur!BN95*VLOOKUP('Données projet'!$B$11,Paramètres!$A$1:$I$89,3,0)*0.475*44/12</f>
        <v>3.2447944422094817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24.711101919922502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61.91827157428213</v>
      </c>
      <c r="CE95" s="62">
        <f t="shared" si="94"/>
        <v>358.41033295847001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20.552495218297974</v>
      </c>
      <c r="CL95" s="23">
        <f>EXP(-LN(2)/25)*CL94+(1-EXP(-LN(2)/25))/(LN(2)/25)*Calculateur!CG95*Calculateur!CI95*VLOOKUP('Données projet'!$B$12,Paramètres!$A$1:$I$89,3,0)*0.475*44/12</f>
        <v>3.1066648200724956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23.659160038370469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>
        <f>CT95*VLOOKUP('Données projet'!$B$13,Paramètres!$A$1:$I$89,3,0)*VLOOKUP('Données projet'!$B$13,Paramètres!$A$1:$I$89,5,0)</f>
        <v>0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66.561949299871912</v>
      </c>
      <c r="CZ95" s="62">
        <f t="shared" si="96"/>
        <v>382.65744918271389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21.895795559363183</v>
      </c>
      <c r="DG95" s="23">
        <f>EXP(-LN(2)/25)*DG94+(1-EXP(-LN(2)/25))/(LN(2)/25)*Calculateur!DB95*Calculateur!DD95*VLOOKUP('Données projet'!$B$13,Paramètres!$A$1:$I$89,3,0)*0.475*44/12</f>
        <v>3.3097148083125281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25.205510367675711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>
        <f>DO95*VLOOKUP('Données projet'!$B$14,Paramètres!$A$1:$I$89,3,0)*VLOOKUP('Données projet'!$B$14,Paramètres!$A$1:$I$89,5,0)</f>
        <v>0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60.532656778089574</v>
      </c>
      <c r="DU95" s="62">
        <f t="shared" si="98"/>
        <v>348.96823267563025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20.029896181499982</v>
      </c>
      <c r="EB95" s="23">
        <f>EXP(-LN(2)/25)*EB94+(1-EXP(-LN(2)/25))/(LN(2)/25)*Calculateur!DW95*Calculateur!DY95*VLOOKUP('Données projet'!$B$14,Paramètres!$A$1:$I$89,3,0)*0.475*44/12</f>
        <v>3.0276700301270587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23.057566211627041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47.586239999999904</v>
      </c>
      <c r="D96" s="12">
        <f t="shared" si="86"/>
        <v>13.988611911104435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475.31464633133174</v>
      </c>
      <c r="H96" s="70">
        <f t="shared" si="56"/>
        <v>400.57620041184003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74.209918391015606</v>
      </c>
      <c r="T96" s="62">
        <f t="shared" si="88"/>
        <v>422.59746235438649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23.639414780730906</v>
      </c>
      <c r="AA96" s="23">
        <f>EXP(-LN(2)/25)*AA95+(1-EXP(-LN(2)/25))/(LN(2)/25)*Calculateur!V96*Calculateur!X96*VLOOKUP('Données projet'!$B$9,Paramètres!$A$1:$I$89,3,0)*0.475*44/12</f>
        <v>3.5450814826244494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27.184496263355356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65.6337514911271</v>
      </c>
      <c r="AO96" s="62">
        <f t="shared" si="90"/>
        <v>377.81060908047425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21.203040555418806</v>
      </c>
      <c r="AV96" s="23">
        <f>EXP(-LN(2)/25)*AV95+(1-EXP(-LN(2)/25))/(LN(2)/25)*Calculateur!AQ96*Calculateur!AS96*VLOOKUP('Données projet'!$B$10,Paramètres!$A$1:$I$89,3,0)*0.475*44/12</f>
        <v>3.17971096770215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24.382751523120955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66.622529958850123</v>
      </c>
      <c r="BJ96" s="62">
        <f t="shared" si="92"/>
        <v>374.90853633180166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21.045366281229786</v>
      </c>
      <c r="BQ96" s="23">
        <f>EXP(-LN(2)/25)*BQ95+(1-EXP(-LN(2)/25))/(LN(2)/25)*Calculateur!BL96*Calculateur!BN96*VLOOKUP('Données projet'!$B$11,Paramètres!$A$1:$I$89,3,0)*0.475*44/12</f>
        <v>3.1560653675509398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24.201431648780726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61.91827157428213</v>
      </c>
      <c r="CE96" s="62">
        <f t="shared" si="94"/>
        <v>358.41033295847001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20.149473322851428</v>
      </c>
      <c r="CL96" s="23">
        <f>EXP(-LN(2)/25)*CL95+(1-EXP(-LN(2)/25))/(LN(2)/25)*Calculateur!CG96*Calculateur!CI96*VLOOKUP('Données projet'!$B$12,Paramètres!$A$1:$I$89,3,0)*0.475*44/12</f>
        <v>3.0217129071952105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23.171186230046636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>
        <f>CT96*VLOOKUP('Données projet'!$B$13,Paramètres!$A$1:$I$89,3,0)*VLOOKUP('Données projet'!$B$13,Paramètres!$A$1:$I$89,5,0)</f>
        <v>0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66.561949299871912</v>
      </c>
      <c r="CZ96" s="62">
        <f t="shared" si="96"/>
        <v>382.65744918271389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21.466432363560653</v>
      </c>
      <c r="DG96" s="23">
        <f>EXP(-LN(2)/25)*DG95+(1-EXP(-LN(2)/25))/(LN(2)/25)*Calculateur!DB96*Calculateur!DD96*VLOOKUP('Données projet'!$B$13,Paramètres!$A$1:$I$89,3,0)*0.475*44/12</f>
        <v>3.2192104828288848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24.685642846389538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>
        <f>DO96*VLOOKUP('Données projet'!$B$14,Paramètres!$A$1:$I$89,3,0)*VLOOKUP('Données projet'!$B$14,Paramètres!$A$1:$I$89,5,0)</f>
        <v>0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60.532656778089574</v>
      </c>
      <c r="DU96" s="62">
        <f t="shared" si="98"/>
        <v>348.96823267563025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19.637122134411108</v>
      </c>
      <c r="EB96" s="23">
        <f>EXP(-LN(2)/25)*EB95+(1-EXP(-LN(2)/25))/(LN(2)/25)*Calculateur!DW96*Calculateur!DY96*VLOOKUP('Données projet'!$B$14,Paramètres!$A$1:$I$89,3,0)*0.475*44/12</f>
        <v>2.944878233934987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22.582000368346094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48.097919999999903</v>
      </c>
      <c r="D97" s="12">
        <f t="shared" si="86"/>
        <v>14.121435922745237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480.28976501768176</v>
      </c>
      <c r="H97" s="70">
        <f t="shared" si="56"/>
        <v>401.69871156544775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74.209918391015606</v>
      </c>
      <c r="T97" s="62">
        <f t="shared" si="88"/>
        <v>422.59746235438649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23.175860275500067</v>
      </c>
      <c r="AA97" s="23">
        <f>EXP(-LN(2)/25)*AA96+(1-EXP(-LN(2)/25))/(LN(2)/25)*Calculateur!V97*Calculateur!X97*VLOOKUP('Données projet'!$B$9,Paramètres!$A$1:$I$89,3,0)*0.475*44/12</f>
        <v>3.4481410430543509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26.62400131855442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65.6337514911271</v>
      </c>
      <c r="AO97" s="62">
        <f t="shared" si="90"/>
        <v>377.81060908047425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20.787261862704796</v>
      </c>
      <c r="AV97" s="23">
        <f>EXP(-LN(2)/25)*AV96+(1-EXP(-LN(2)/25))/(LN(2)/25)*Calculateur!AQ97*Calculateur!AS97*VLOOKUP('Données projet'!$B$10,Paramètres!$A$1:$I$89,3,0)*0.475*44/12</f>
        <v>3.0927616040766024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23.880023466781399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66.622529958850123</v>
      </c>
      <c r="BJ97" s="62">
        <f t="shared" si="92"/>
        <v>374.90853633180166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20.632679484860812</v>
      </c>
      <c r="BQ97" s="23">
        <f>EXP(-LN(2)/25)*BQ96+(1-EXP(-LN(2)/25))/(LN(2)/25)*Calculateur!BL97*Calculateur!BN97*VLOOKUP('Données projet'!$B$11,Paramètres!$A$1:$I$89,3,0)*0.475*44/12</f>
        <v>3.0697625941049949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23.702442078965806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61.91827157428213</v>
      </c>
      <c r="CE97" s="62">
        <f t="shared" si="94"/>
        <v>358.41033295847001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19.754354440955506</v>
      </c>
      <c r="CL97" s="23">
        <f>EXP(-LN(2)/25)*CL96+(1-EXP(-LN(2)/25))/(LN(2)/25)*Calculateur!CG97*Calculateur!CI97*VLOOKUP('Données projet'!$B$12,Paramètres!$A$1:$I$89,3,0)*0.475*44/12</f>
        <v>2.9390840088429817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22.693438449798489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>
        <f>CT97*VLOOKUP('Données projet'!$B$13,Paramètres!$A$1:$I$89,3,0)*VLOOKUP('Données projet'!$B$13,Paramètres!$A$1:$I$89,5,0)</f>
        <v>0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66.561949299871912</v>
      </c>
      <c r="CZ97" s="62">
        <f t="shared" si="96"/>
        <v>382.65744918271389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21.045488718142121</v>
      </c>
      <c r="DG97" s="23">
        <f>EXP(-LN(2)/25)*DG96+(1-EXP(-LN(2)/25))/(LN(2)/25)*Calculateur!DB97*Calculateur!DD97*VLOOKUP('Données projet'!$B$13,Paramètres!$A$1:$I$89,3,0)*0.475*44/12</f>
        <v>3.1311810028850071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24.176669721027128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>
        <f>DO97*VLOOKUP('Données projet'!$B$14,Paramètres!$A$1:$I$89,3,0)*VLOOKUP('Données projet'!$B$14,Paramètres!$A$1:$I$89,5,0)</f>
        <v>0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60.532656778089574</v>
      </c>
      <c r="DU97" s="62">
        <f t="shared" si="98"/>
        <v>348.96823267563025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19.252050146817133</v>
      </c>
      <c r="EB97" s="23">
        <f>EXP(-LN(2)/25)*EB96+(1-EXP(-LN(2)/25))/(LN(2)/25)*Calculateur!DW97*Calculateur!DY97*VLOOKUP('Données projet'!$B$14,Paramètres!$A$1:$I$89,3,0)*0.475*44/12</f>
        <v>2.8643503837636191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22.116400530580751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48.609599999999901</v>
      </c>
      <c r="D98" s="12">
        <f t="shared" si="86"/>
        <v>14.254095557208926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485.26361482757693</v>
      </c>
      <c r="H98" s="70">
        <f t="shared" si="56"/>
        <v>402.82093642880534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74.209918391015606</v>
      </c>
      <c r="T98" s="62">
        <f t="shared" si="88"/>
        <v>422.59746235438649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22.721395791376477</v>
      </c>
      <c r="AA98" s="23">
        <f>EXP(-LN(2)/25)*AA97+(1-EXP(-LN(2)/25))/(LN(2)/25)*Calculateur!V98*Calculateur!X98*VLOOKUP('Données projet'!$B$9,Paramètres!$A$1:$I$89,3,0)*0.475*44/12</f>
        <v>3.353851444902173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26.075247236278649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65.6337514911271</v>
      </c>
      <c r="AO98" s="62">
        <f t="shared" si="90"/>
        <v>377.81060908047425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20.379636336554945</v>
      </c>
      <c r="AV98" s="23">
        <f>EXP(-LN(2)/25)*AV97+(1-EXP(-LN(2)/25))/(LN(2)/25)*Calculateur!AQ98*Calculateur!AS98*VLOOKUP('Données projet'!$B$10,Paramètres!$A$1:$I$89,3,0)*0.475*44/12</f>
        <v>3.0081898753718637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23.387826211926807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66.622529958850123</v>
      </c>
      <c r="BJ98" s="62">
        <f t="shared" si="92"/>
        <v>374.90853633180166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20.228085224854542</v>
      </c>
      <c r="BQ98" s="23">
        <f>EXP(-LN(2)/25)*BQ97+(1-EXP(-LN(2)/25))/(LN(2)/25)*Calculateur!BL98*Calculateur!BN98*VLOOKUP('Données projet'!$B$11,Paramètres!$A$1:$I$89,3,0)*0.475*44/12</f>
        <v>2.9858197745373949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23.213904999391936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61.91827157428213</v>
      </c>
      <c r="CE98" s="62">
        <f t="shared" si="94"/>
        <v>358.41033295847001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19.366983599334841</v>
      </c>
      <c r="CL98" s="23">
        <f>EXP(-LN(2)/25)*CL97+(1-EXP(-LN(2)/25))/(LN(2)/25)*Calculateur!CG98*Calculateur!CI98*VLOOKUP('Données projet'!$B$12,Paramètres!$A$1:$I$89,3,0)*0.475*44/12</f>
        <v>2.8587146020614598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22.225698201396302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>
        <f>CT98*VLOOKUP('Données projet'!$B$13,Paramètres!$A$1:$I$89,3,0)*VLOOKUP('Données projet'!$B$13,Paramètres!$A$1:$I$89,5,0)</f>
        <v>0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66.561949299871912</v>
      </c>
      <c r="CZ98" s="62">
        <f t="shared" si="96"/>
        <v>382.65744918271389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20.632799520859976</v>
      </c>
      <c r="DG98" s="23">
        <f>EXP(-LN(2)/25)*DG97+(1-EXP(-LN(2)/25))/(LN(2)/25)*Calculateur!DB98*Calculateur!DD98*VLOOKUP('Données projet'!$B$13,Paramètres!$A$1:$I$89,3,0)*0.475*44/12</f>
        <v>3.0455586936994639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23.678358214559438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>
        <f>DO98*VLOOKUP('Données projet'!$B$14,Paramètres!$A$1:$I$89,3,0)*VLOOKUP('Données projet'!$B$14,Paramètres!$A$1:$I$89,5,0)</f>
        <v>0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60.532656778089574</v>
      </c>
      <c r="DU98" s="62">
        <f t="shared" si="98"/>
        <v>348.96823267563025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18.874529186029154</v>
      </c>
      <c r="EB98" s="23">
        <f>EXP(-LN(2)/25)*EB97+(1-EXP(-LN(2)/25))/(LN(2)/25)*Calculateur!DW98*Calculateur!DY98*VLOOKUP('Données projet'!$B$14,Paramètres!$A$1:$I$89,3,0)*0.475*44/12</f>
        <v>2.7860245718899628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21.660553757919118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49.121279999999899</v>
      </c>
      <c r="D99" s="12">
        <f t="shared" si="86"/>
        <v>14.386592745075589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490.23621066374062</v>
      </c>
      <c r="H99" s="70">
        <f t="shared" si="56"/>
        <v>403.94287836433978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74.209918391015606</v>
      </c>
      <c r="T99" s="62">
        <f t="shared" si="88"/>
        <v>422.59746235438649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22.275843078590587</v>
      </c>
      <c r="AA99" s="23">
        <f>EXP(-LN(2)/25)*AA98+(1-EXP(-LN(2)/25))/(LN(2)/25)*Calculateur!V99*Calculateur!X99*VLOOKUP('Données projet'!$B$9,Paramètres!$A$1:$I$89,3,0)*0.475*44/12</f>
        <v>3.2621402007699412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25.537983279360528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65.6337514911271</v>
      </c>
      <c r="AO99" s="62">
        <f t="shared" si="90"/>
        <v>377.81060908047425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19.980004098345873</v>
      </c>
      <c r="AV99" s="23">
        <f>EXP(-LN(2)/25)*AV98+(1-EXP(-LN(2)/25))/(LN(2)/25)*Calculateur!AQ99*Calculateur!AS99*VLOOKUP('Données projet'!$B$10,Paramètres!$A$1:$I$89,3,0)*0.475*44/12</f>
        <v>2.9259307650359898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22.905934863381862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66.622529958850123</v>
      </c>
      <c r="BJ99" s="62">
        <f t="shared" si="92"/>
        <v>374.90853633180166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19.831424811508864</v>
      </c>
      <c r="BQ99" s="23">
        <f>EXP(-LN(2)/25)*BQ98+(1-EXP(-LN(2)/25))/(LN(2)/25)*Calculateur!BL99*Calculateur!BN99*VLOOKUP('Données projet'!$B$11,Paramètres!$A$1:$I$89,3,0)*0.475*44/12</f>
        <v>2.9041723757852322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22.735597187294097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61.91827157428213</v>
      </c>
      <c r="CE99" s="62">
        <f t="shared" si="94"/>
        <v>358.41033295847001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18.987208863645474</v>
      </c>
      <c r="CL99" s="23">
        <f>EXP(-LN(2)/25)*CL98+(1-EXP(-LN(2)/25))/(LN(2)/25)*Calculateur!CG99*Calculateur!CI99*VLOOKUP('Données projet'!$B$12,Paramètres!$A$1:$I$89,3,0)*0.475*44/12</f>
        <v>2.7805429009348219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21.767751764580296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>
        <f>CT99*VLOOKUP('Données projet'!$B$13,Paramètres!$A$1:$I$89,3,0)*VLOOKUP('Données projet'!$B$13,Paramètres!$A$1:$I$89,5,0)</f>
        <v>0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66.561949299871912</v>
      </c>
      <c r="CZ99" s="62">
        <f t="shared" si="96"/>
        <v>382.65744918271389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20.228202907020979</v>
      </c>
      <c r="DG99" s="23">
        <f>EXP(-LN(2)/25)*DG98+(1-EXP(-LN(2)/25))/(LN(2)/25)*Calculateur!DB99*Calculateur!DD99*VLOOKUP('Données projet'!$B$13,Paramètres!$A$1:$I$89,3,0)*0.475*44/12</f>
        <v>2.9622777310612811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23.19048063808226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>
        <f>DO99*VLOOKUP('Données projet'!$B$14,Paramètres!$A$1:$I$89,3,0)*VLOOKUP('Données projet'!$B$14,Paramètres!$A$1:$I$89,5,0)</f>
        <v>0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60.532656778089574</v>
      </c>
      <c r="DU99" s="62">
        <f t="shared" si="98"/>
        <v>348.96823267563025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18.504411181017179</v>
      </c>
      <c r="EB99" s="23">
        <f>EXP(-LN(2)/25)*EB98+(1-EXP(-LN(2)/25))/(LN(2)/25)*Calculateur!DW99*Calculateur!DY99*VLOOKUP('Données projet'!$B$14,Paramètres!$A$1:$I$89,3,0)*0.475*44/12</f>
        <v>2.7098405834609669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21.214251764478146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49.632959999999898</v>
      </c>
      <c r="D100" s="12">
        <f t="shared" si="86"/>
        <v>14.518929374387568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495.20756710053479</v>
      </c>
      <c r="H100" s="70">
        <f t="shared" si="56"/>
        <v>405.06454066039146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74.209918391015606</v>
      </c>
      <c r="T100" s="62">
        <f t="shared" si="88"/>
        <v>422.59746235438649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21.839027382742106</v>
      </c>
      <c r="AA100" s="23">
        <f>EXP(-LN(2)/25)*AA99+(1-EXP(-LN(2)/25))/(LN(2)/25)*Calculateur!V100*Calculateur!X100*VLOOKUP('Données projet'!$B$9,Paramètres!$A$1:$I$89,3,0)*0.475*44/12</f>
        <v>3.1729368054313896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25.011964188173497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65.6337514911271</v>
      </c>
      <c r="AO100" s="62">
        <f t="shared" si="90"/>
        <v>377.81060908047425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19.588208404576484</v>
      </c>
      <c r="AV100" s="23">
        <f>EXP(-LN(2)/25)*AV99+(1-EXP(-LN(2)/25))/(LN(2)/25)*Calculateur!AQ100*Calculateur!AS100*VLOOKUP('Données projet'!$B$10,Paramètres!$A$1:$I$89,3,0)*0.475*44/12</f>
        <v>2.845921034398069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22.434129438974551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66.622529958850123</v>
      </c>
      <c r="BJ100" s="62">
        <f t="shared" si="92"/>
        <v>374.90853633180166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19.442542666929931</v>
      </c>
      <c r="BQ100" s="23">
        <f>EXP(-LN(2)/25)*BQ99+(1-EXP(-LN(2)/25))/(LN(2)/25)*Calculateur!BL100*Calculateur!BN100*VLOOKUP('Données projet'!$B$11,Paramètres!$A$1:$I$89,3,0)*0.475*44/12</f>
        <v>2.8247576294455974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22.267300296375527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61.91827157428213</v>
      </c>
      <c r="CE100" s="62">
        <f t="shared" si="94"/>
        <v>358.41033295847001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18.61488127888326</v>
      </c>
      <c r="CL100" s="23">
        <f>EXP(-LN(2)/25)*CL99+(1-EXP(-LN(2)/25))/(LN(2)/25)*Calculateur!CG100*Calculateur!CI100*VLOOKUP('Données projet'!$B$12,Paramètres!$A$1:$I$89,3,0)*0.475*44/12</f>
        <v>2.7045088090863629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21.319390087969623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>
        <f>CT100*VLOOKUP('Données projet'!$B$13,Paramètres!$A$1:$I$89,3,0)*VLOOKUP('Données projet'!$B$13,Paramètres!$A$1:$I$89,5,0)</f>
        <v>0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66.561949299871912</v>
      </c>
      <c r="CZ100" s="62">
        <f t="shared" si="96"/>
        <v>382.65744918271389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19.831540185999796</v>
      </c>
      <c r="DG100" s="23">
        <f>EXP(-LN(2)/25)*DG99+(1-EXP(-LN(2)/25))/(LN(2)/25)*Calculateur!DB100*Calculateur!DD100*VLOOKUP('Données projet'!$B$13,Paramètres!$A$1:$I$89,3,0)*0.475*44/12</f>
        <v>2.8812740907259951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22.712814276725791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>
        <f>DO100*VLOOKUP('Données projet'!$B$14,Paramètres!$A$1:$I$89,3,0)*VLOOKUP('Données projet'!$B$14,Paramètres!$A$1:$I$89,5,0)</f>
        <v>0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60.532656778089574</v>
      </c>
      <c r="DU100" s="62">
        <f t="shared" si="98"/>
        <v>348.96823267563025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18.141550964333796</v>
      </c>
      <c r="EB100" s="23">
        <f>EXP(-LN(2)/25)*EB99+(1-EXP(-LN(2)/25))/(LN(2)/25)*Calculateur!DW100*Calculateur!DY100*VLOOKUP('Données projet'!$B$14,Paramètres!$A$1:$I$89,3,0)*0.475*44/12</f>
        <v>2.635739850201904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20.7772908145357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50.144639999999896</v>
      </c>
      <c r="D101" s="12">
        <f t="shared" si="86"/>
        <v>14.651107292015382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500.17769839450392</v>
      </c>
      <c r="H101" s="70">
        <f t="shared" si="56"/>
        <v>406.18592653359326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74.209918391015606</v>
      </c>
      <c r="T101" s="62">
        <f t="shared" si="88"/>
        <v>422.59746235438649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21.410777376257947</v>
      </c>
      <c r="AA101" s="23">
        <f>EXP(-LN(2)/25)*AA100+(1-EXP(-LN(2)/25))/(LN(2)/25)*Calculateur!V101*Calculateur!X101*VLOOKUP('Données projet'!$B$9,Paramètres!$A$1:$I$89,3,0)*0.475*44/12</f>
        <v>3.0861726816293733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24.496950057887322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65.6337514911271</v>
      </c>
      <c r="AO101" s="62">
        <f t="shared" si="90"/>
        <v>377.81060908047425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19.204095585390135</v>
      </c>
      <c r="AV101" s="23">
        <f>EXP(-LN(2)/25)*AV100+(1-EXP(-LN(2)/25))/(LN(2)/25)*Calculateur!AQ101*Calculateur!AS101*VLOOKUP('Données projet'!$B$10,Paramètres!$A$1:$I$89,3,0)*0.475*44/12</f>
        <v>2.7680991740519709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21.972194759442107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66.622529958850123</v>
      </c>
      <c r="BJ101" s="62">
        <f t="shared" si="92"/>
        <v>374.90853633180166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19.061286264011503</v>
      </c>
      <c r="BQ101" s="23">
        <f>EXP(-LN(2)/25)*BQ100+(1-EXP(-LN(2)/25))/(LN(2)/25)*Calculateur!BL101*Calculateur!BN101*VLOOKUP('Données projet'!$B$11,Paramètres!$A$1:$I$89,3,0)*0.475*44/12</f>
        <v>2.74751448352086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21.808800747532363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61.91827157428213</v>
      </c>
      <c r="CE101" s="62">
        <f t="shared" si="94"/>
        <v>358.41033295847001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18.24985481096083</v>
      </c>
      <c r="CL101" s="23">
        <f>EXP(-LN(2)/25)*CL100+(1-EXP(-LN(2)/25))/(LN(2)/25)*Calculateur!CG101*Calculateur!CI101*VLOOKUP('Données projet'!$B$12,Paramètres!$A$1:$I$89,3,0)*0.475*44/12</f>
        <v>2.6305538734779592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20.880408684438791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>
        <f>CT101*VLOOKUP('Données projet'!$B$13,Paramètres!$A$1:$I$89,3,0)*VLOOKUP('Données projet'!$B$13,Paramètres!$A$1:$I$89,5,0)</f>
        <v>0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66.561949299871912</v>
      </c>
      <c r="CZ101" s="62">
        <f t="shared" si="96"/>
        <v>382.65744918271389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19.442655778997469</v>
      </c>
      <c r="DG101" s="23">
        <f>EXP(-LN(2)/25)*DG100+(1-EXP(-LN(2)/25))/(LN(2)/25)*Calculateur!DB101*Calculateur!DD101*VLOOKUP('Données projet'!$B$13,Paramètres!$A$1:$I$89,3,0)*0.475*44/12</f>
        <v>2.8024854991954737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22.245141278192943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>
        <f>DO101*VLOOKUP('Données projet'!$B$14,Paramètres!$A$1:$I$89,3,0)*VLOOKUP('Données projet'!$B$14,Paramètres!$A$1:$I$89,5,0)</f>
        <v>0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60.532656778089574</v>
      </c>
      <c r="DU101" s="62">
        <f t="shared" si="98"/>
        <v>348.96823267563025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17.785806215176695</v>
      </c>
      <c r="EB101" s="23">
        <f>EXP(-LN(2)/25)*EB100+(1-EXP(-LN(2)/25))/(LN(2)/25)*Calculateur!DW101*Calculateur!DY101*VLOOKUP('Données projet'!$B$14,Paramètres!$A$1:$I$89,3,0)*0.475*44/12</f>
        <v>2.5636654053905983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20.349471620567293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50.656319999999894</v>
      </c>
      <c r="D102" s="12">
        <f t="shared" si="86"/>
        <v>14.783128304966317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505.14661849447606</v>
      </c>
      <c r="H102" s="70">
        <f t="shared" si="56"/>
        <v>407.30703913114945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74.209918391015606</v>
      </c>
      <c r="T102" s="62">
        <f t="shared" si="88"/>
        <v>422.59746235438649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20.990925091194232</v>
      </c>
      <c r="AA102" s="23">
        <f>EXP(-LN(2)/25)*AA101+(1-EXP(-LN(2)/25))/(LN(2)/25)*Calculateur!V102*Calculateur!X102*VLOOKUP('Données projet'!$B$9,Paramètres!$A$1:$I$89,3,0)*0.475*44/12</f>
        <v>3.0017811273554504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23.992706218549682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65.6337514911271</v>
      </c>
      <c r="AO102" s="62">
        <f t="shared" si="90"/>
        <v>377.81060908047425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18.827514984302347</v>
      </c>
      <c r="AV102" s="23">
        <f>EXP(-LN(2)/25)*AV101+(1-EXP(-LN(2)/25))/(LN(2)/25)*Calculateur!AQ102*Calculateur!AS102*VLOOKUP('Données projet'!$B$10,Paramètres!$A$1:$I$89,3,0)*0.475*44/12</f>
        <v>2.6924053565695107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21.519920340871856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66.622529958850123</v>
      </c>
      <c r="BJ102" s="62">
        <f t="shared" si="92"/>
        <v>374.90853633180166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18.687506066610862</v>
      </c>
      <c r="BQ102" s="23">
        <f>EXP(-LN(2)/25)*BQ101+(1-EXP(-LN(2)/25))/(LN(2)/25)*Calculateur!BL102*Calculateur!BN102*VLOOKUP('Données projet'!$B$11,Paramètres!$A$1:$I$89,3,0)*0.475*44/12</f>
        <v>2.6723835554834752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21.359889622094336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61.91827157428213</v>
      </c>
      <c r="CE102" s="62">
        <f t="shared" si="94"/>
        <v>358.41033295847001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17.891986289430196</v>
      </c>
      <c r="CL102" s="23">
        <f>EXP(-LN(2)/25)*CL101+(1-EXP(-LN(2)/25))/(LN(2)/25)*Calculateur!CG102*Calculateur!CI102*VLOOKUP('Données projet'!$B$12,Paramètres!$A$1:$I$89,3,0)*0.475*44/12</f>
        <v>2.5586212394728882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20.450607528903085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>
        <f>CT102*VLOOKUP('Données projet'!$B$13,Paramètres!$A$1:$I$89,3,0)*VLOOKUP('Données projet'!$B$13,Paramètres!$A$1:$I$89,5,0)</f>
        <v>0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66.561949299871912</v>
      </c>
      <c r="CZ102" s="62">
        <f t="shared" si="96"/>
        <v>382.65744918271389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19.061397158020391</v>
      </c>
      <c r="DG102" s="23">
        <f>EXP(-LN(2)/25)*DG101+(1-EXP(-LN(2)/25))/(LN(2)/25)*Calculateur!DB102*Calculateur!DD102*VLOOKUP('Données projet'!$B$13,Paramètres!$A$1:$I$89,3,0)*0.475*44/12</f>
        <v>2.7258513858436664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21.787248543864056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>
        <f>DO102*VLOOKUP('Données projet'!$B$14,Paramètres!$A$1:$I$89,3,0)*VLOOKUP('Données projet'!$B$14,Paramètres!$A$1:$I$89,5,0)</f>
        <v>0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60.532656778089574</v>
      </c>
      <c r="DU102" s="62">
        <f t="shared" si="98"/>
        <v>348.96823267563025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17.437037403567693</v>
      </c>
      <c r="EB102" s="23">
        <f>EXP(-LN(2)/25)*EB101+(1-EXP(-LN(2)/25))/(LN(2)/25)*Calculateur!DW102*Calculateur!DY102*VLOOKUP('Données projet'!$B$14,Paramètres!$A$1:$I$89,3,0)*0.475*44/12</f>
        <v>2.4935618400628878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19.930599243630581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51.167999999999893</v>
      </c>
      <c r="D103" s="12">
        <f t="shared" si="86"/>
        <v>14.91499418163861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510.11434105124454</v>
      </c>
      <c r="H103" s="70">
        <f t="shared" si="56"/>
        <v>408.42788153302035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74.209918391015606</v>
      </c>
      <c r="T103" s="62">
        <f t="shared" si="88"/>
        <v>422.59746235438649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20.579305853356008</v>
      </c>
      <c r="AA103" s="23">
        <f>EXP(-LN(2)/25)*AA102+(1-EXP(-LN(2)/25))/(LN(2)/25)*Calculateur!V103*Calculateur!X103*VLOOKUP('Données projet'!$B$9,Paramètres!$A$1:$I$89,3,0)*0.475*44/12</f>
        <v>2.919697264571107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23.499003117927113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65.6337514911271</v>
      </c>
      <c r="AO103" s="62">
        <f t="shared" si="90"/>
        <v>377.81060908047425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18.458318899110402</v>
      </c>
      <c r="AV103" s="23">
        <f>EXP(-LN(2)/25)*AV102+(1-EXP(-LN(2)/25))/(LN(2)/25)*Calculateur!AQ103*Calculateur!AS103*VLOOKUP('Données projet'!$B$10,Paramètres!$A$1:$I$89,3,0)*0.475*44/12</f>
        <v>2.6187813905066735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21.077100289617075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66.622529958850123</v>
      </c>
      <c r="BJ103" s="62">
        <f t="shared" si="92"/>
        <v>374.90853633180166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18.321055470897839</v>
      </c>
      <c r="BQ103" s="23">
        <f>EXP(-LN(2)/25)*BQ102+(1-EXP(-LN(2)/25))/(LN(2)/25)*Calculateur!BL103*Calculateur!BN103*VLOOKUP('Données projet'!$B$11,Paramètres!$A$1:$I$89,3,0)*0.475*44/12</f>
        <v>2.5993070866242363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20.920362557522076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61.91827157428213</v>
      </c>
      <c r="CE103" s="62">
        <f t="shared" si="94"/>
        <v>358.41033295847001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17.541135351328535</v>
      </c>
      <c r="CL103" s="23">
        <f>EXP(-LN(2)/25)*CL102+(1-EXP(-LN(2)/25))/(LN(2)/25)*Calculateur!CG103*Calculateur!CI103*VLOOKUP('Données projet'!$B$12,Paramètres!$A$1:$I$89,3,0)*0.475*44/12</f>
        <v>2.488655607127459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20.029790958455994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>
        <f>CT103*VLOOKUP('Données projet'!$B$13,Paramètres!$A$1:$I$89,3,0)*VLOOKUP('Données projet'!$B$13,Paramètres!$A$1:$I$89,5,0)</f>
        <v>0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66.561949299871912</v>
      </c>
      <c r="CZ103" s="62">
        <f t="shared" si="96"/>
        <v>382.65744918271389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18.687614786055875</v>
      </c>
      <c r="DG103" s="23">
        <f>EXP(-LN(2)/25)*DG102+(1-EXP(-LN(2)/25))/(LN(2)/25)*Calculateur!DB103*Calculateur!DD103*VLOOKUP('Données projet'!$B$13,Paramètres!$A$1:$I$89,3,0)*0.475*44/12</f>
        <v>2.6513128363514769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21.338927622407351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>
        <f>DO103*VLOOKUP('Données projet'!$B$14,Paramètres!$A$1:$I$89,3,0)*VLOOKUP('Données projet'!$B$14,Paramètres!$A$1:$I$89,5,0)</f>
        <v>0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60.532656778089574</v>
      </c>
      <c r="DU103" s="62">
        <f t="shared" si="98"/>
        <v>348.96823267563025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17.095107735626375</v>
      </c>
      <c r="EB103" s="23">
        <f>EXP(-LN(2)/25)*EB102+(1-EXP(-LN(2)/25))/(LN(2)/25)*Calculateur!DW103*Calculateur!DY103*VLOOKUP('Données projet'!$B$14,Paramètres!$A$1:$I$89,3,0)*0.475*44/12</f>
        <v>2.4253752604156502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19.520482996042023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51.679679999999891</v>
      </c>
      <c r="D104" s="12">
        <f t="shared" si="86"/>
        <v>15.046706653024026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515.08087942685131</v>
      </c>
      <c r="H104" s="70">
        <f t="shared" si="56"/>
        <v>409.54845675401663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74.209918391015606</v>
      </c>
      <c r="T104" s="62">
        <f t="shared" si="88"/>
        <v>422.59746235438649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20.175758217708847</v>
      </c>
      <c r="AA104" s="23">
        <f>EXP(-LN(2)/25)*AA103+(1-EXP(-LN(2)/25))/(LN(2)/25)*Calculateur!V104*Calculateur!X104*VLOOKUP('Données projet'!$B$9,Paramètres!$A$1:$I$89,3,0)*0.475*44/12</f>
        <v>2.8398579893312039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23.015616207040051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65.6337514911271</v>
      </c>
      <c r="AO104" s="62">
        <f t="shared" si="90"/>
        <v>377.81060908047425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18.096362523961695</v>
      </c>
      <c r="AV104" s="23">
        <f>EXP(-LN(2)/25)*AV103+(1-EXP(-LN(2)/25))/(LN(2)/25)*Calculateur!AQ104*Calculateur!AS104*VLOOKUP('Données projet'!$B$10,Paramètres!$A$1:$I$89,3,0)*0.475*44/12</f>
        <v>2.5471706756675405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20.643533199629235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66.622529958850123</v>
      </c>
      <c r="BJ104" s="62">
        <f t="shared" si="92"/>
        <v>374.90853633180166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17.961790747853957</v>
      </c>
      <c r="BQ104" s="23">
        <f>EXP(-LN(2)/25)*BQ103+(1-EXP(-LN(2)/25))/(LN(2)/25)*Calculateur!BL104*Calculateur!BN104*VLOOKUP('Données projet'!$B$11,Paramètres!$A$1:$I$89,3,0)*0.475*44/12</f>
        <v>2.5282288976488778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20.490019645502834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61.91827157428213</v>
      </c>
      <c r="CE104" s="62">
        <f t="shared" si="94"/>
        <v>358.41033295847001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17.197164386125106</v>
      </c>
      <c r="CL104" s="23">
        <f>EXP(-LN(2)/25)*CL103+(1-EXP(-LN(2)/25))/(LN(2)/25)*Calculateur!CG104*Calculateur!CI104*VLOOKUP('Données projet'!$B$12,Paramètres!$A$1:$I$89,3,0)*0.475*44/12</f>
        <v>2.4206031886778483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19.617767574802954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>
        <f>CT104*VLOOKUP('Données projet'!$B$13,Paramètres!$A$1:$I$89,3,0)*VLOOKUP('Données projet'!$B$13,Paramètres!$A$1:$I$89,5,0)</f>
        <v>0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66.561949299871912</v>
      </c>
      <c r="CZ104" s="62">
        <f t="shared" si="96"/>
        <v>382.65744918271389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18.321162058420846</v>
      </c>
      <c r="DG104" s="23">
        <f>EXP(-LN(2)/25)*DG103+(1-EXP(-LN(2)/25))/(LN(2)/25)*Calculateur!DB104*Calculateur!DD104*VLOOKUP('Données projet'!$B$13,Paramètres!$A$1:$I$89,3,0)*0.475*44/12</f>
        <v>2.5788125474149632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20.899974605835808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>
        <f>DO104*VLOOKUP('Données projet'!$B$14,Paramètres!$A$1:$I$89,3,0)*VLOOKUP('Données projet'!$B$14,Paramètres!$A$1:$I$89,5,0)</f>
        <v>0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60.532656778089574</v>
      </c>
      <c r="DU104" s="62">
        <f t="shared" si="98"/>
        <v>348.96823267563025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16.75988309991688</v>
      </c>
      <c r="EB104" s="23">
        <f>EXP(-LN(2)/25)*EB103+(1-EXP(-LN(2)/25))/(LN(2)/25)*Calculateur!DW104*Calculateur!DY104*VLOOKUP('Données projet'!$B$14,Paramètres!$A$1:$I$89,3,0)*0.475*44/12</f>
        <v>2.3590532463746428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19.118936346291523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52.191359999999889</v>
      </c>
      <c r="D105" s="12">
        <f t="shared" si="86"/>
        <v>15.178267413861498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520.04624670349142</v>
      </c>
      <c r="H105" s="70">
        <f t="shared" si="56"/>
        <v>410.66876774580857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74.209918391015606</v>
      </c>
      <c r="T105" s="62">
        <f t="shared" si="88"/>
        <v>422.59746235438649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19.780123905056971</v>
      </c>
      <c r="AA105" s="23">
        <f>EXP(-LN(2)/25)*AA104+(1-EXP(-LN(2)/25))/(LN(2)/25)*Calculateur!V105*Calculateur!X105*VLOOKUP('Données projet'!$B$9,Paramètres!$A$1:$I$89,3,0)*0.475*44/12</f>
        <v>2.7622019232713009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22.542325828328273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65.6337514911271</v>
      </c>
      <c r="AO105" s="62">
        <f t="shared" si="90"/>
        <v>377.81060908047425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17.741503892558065</v>
      </c>
      <c r="AV105" s="23">
        <f>EXP(-LN(2)/25)*AV104+(1-EXP(-LN(2)/25))/(LN(2)/25)*Calculateur!AQ105*Calculateur!AS105*VLOOKUP('Données projet'!$B$10,Paramètres!$A$1:$I$89,3,0)*0.475*44/12</f>
        <v>2.4775181595915274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20.21902205214959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66.622529958850123</v>
      </c>
      <c r="BJ105" s="62">
        <f t="shared" si="92"/>
        <v>374.90853633180166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17.609570986899122</v>
      </c>
      <c r="BQ105" s="23">
        <f>EXP(-LN(2)/25)*BQ104+(1-EXP(-LN(2)/25))/(LN(2)/25)*Calculateur!BL105*Calculateur!BN105*VLOOKUP('Données projet'!$B$11,Paramètres!$A$1:$I$89,3,0)*0.475*44/12</f>
        <v>2.4590943454888898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20.068665332388012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61.91827157428213</v>
      </c>
      <c r="CE105" s="62">
        <f t="shared" si="94"/>
        <v>358.41033295847001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16.859938481747744</v>
      </c>
      <c r="CL105" s="23">
        <f>EXP(-LN(2)/25)*CL104+(1-EXP(-LN(2)/25))/(LN(2)/25)*Calculateur!CG105*Calculateur!CI105*VLOOKUP('Données projet'!$B$12,Paramètres!$A$1:$I$89,3,0)*0.475*44/12</f>
        <v>2.354411667189463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19.214350148937207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>
        <f>CT105*VLOOKUP('Données projet'!$B$13,Paramètres!$A$1:$I$89,3,0)*VLOOKUP('Données projet'!$B$13,Paramètres!$A$1:$I$89,5,0)</f>
        <v>0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66.561949299871912</v>
      </c>
      <c r="CZ105" s="62">
        <f t="shared" si="96"/>
        <v>382.65744918271389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17.961895245260649</v>
      </c>
      <c r="DG105" s="23">
        <f>EXP(-LN(2)/25)*DG104+(1-EXP(-LN(2)/25))/(LN(2)/25)*Calculateur!DB105*Calculateur!DD105*VLOOKUP('Données projet'!$B$13,Paramètres!$A$1:$I$89,3,0)*0.475*44/12</f>
        <v>2.508294782692043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20.470190027952693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>
        <f>DO105*VLOOKUP('Données projet'!$B$14,Paramètres!$A$1:$I$89,3,0)*VLOOKUP('Données projet'!$B$14,Paramètres!$A$1:$I$89,5,0)</f>
        <v>0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60.532656778089574</v>
      </c>
      <c r="DU105" s="62">
        <f t="shared" si="98"/>
        <v>348.96823267563025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16.43123201484681</v>
      </c>
      <c r="EB105" s="23">
        <f>EXP(-LN(2)/25)*EB104+(1-EXP(-LN(2)/25))/(LN(2)/25)*Calculateur!DW105*Calculateur!DY105*VLOOKUP('Données projet'!$B$14,Paramètres!$A$1:$I$89,3,0)*0.475*44/12</f>
        <v>2.2945448112953097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18.72577682614212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52.703039999999888</v>
      </c>
      <c r="D106" s="12">
        <f t="shared" si="86"/>
        <v>15.309678123744137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525.01045569205905</v>
      </c>
      <c r="H106" s="70">
        <f t="shared" si="56"/>
        <v>411.78881739885412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74.209918391015606</v>
      </c>
      <c r="T106" s="62">
        <f t="shared" si="88"/>
        <v>422.59746235438649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19.392247739963096</v>
      </c>
      <c r="AA106" s="23">
        <f>EXP(-LN(2)/25)*AA105+(1-EXP(-LN(2)/25))/(LN(2)/25)*Calculateur!V106*Calculateur!X106*VLOOKUP('Données projet'!$B$9,Paramètres!$A$1:$I$89,3,0)*0.475*44/12</f>
        <v>2.6866693664215613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22.078917106384658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65.6337514911271</v>
      </c>
      <c r="AO106" s="62">
        <f t="shared" si="90"/>
        <v>377.81060908047425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17.393603822473867</v>
      </c>
      <c r="AV106" s="23">
        <f>EXP(-LN(2)/25)*AV105+(1-EXP(-LN(2)/25))/(LN(2)/25)*Calculateur!AQ106*Calculateur!AS106*VLOOKUP('Données projet'!$B$10,Paramètres!$A$1:$I$89,3,0)*0.475*44/12</f>
        <v>2.4097702952304796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19.803374117704347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66.622529958850123</v>
      </c>
      <c r="BJ106" s="62">
        <f t="shared" si="92"/>
        <v>374.90853633180166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17.264258040623769</v>
      </c>
      <c r="BQ106" s="23">
        <f>EXP(-LN(2)/25)*BQ105+(1-EXP(-LN(2)/25))/(LN(2)/25)*Calculateur!BL106*Calculateur!BN106*VLOOKUP('Données projet'!$B$11,Paramètres!$A$1:$I$89,3,0)*0.475*44/12</f>
        <v>2.3918502812933449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19.656108321917113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61.91827157428213</v>
      </c>
      <c r="CE106" s="62">
        <f t="shared" si="94"/>
        <v>358.41033295847001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16.529325371667728</v>
      </c>
      <c r="CL106" s="23">
        <f>EXP(-LN(2)/25)*CL105+(1-EXP(-LN(2)/25))/(LN(2)/25)*Calculateur!CG106*Calculateur!CI106*VLOOKUP('Données projet'!$B$12,Paramètres!$A$1:$I$89,3,0)*0.475*44/12</f>
        <v>2.2900301563370387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18.819355528004767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>
        <f>CT106*VLOOKUP('Données projet'!$B$13,Paramètres!$A$1:$I$89,3,0)*VLOOKUP('Données projet'!$B$13,Paramètres!$A$1:$I$89,5,0)</f>
        <v>0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66.561949299871912</v>
      </c>
      <c r="CZ106" s="62">
        <f t="shared" si="96"/>
        <v>382.65744918271389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17.609673435175406</v>
      </c>
      <c r="DG106" s="23">
        <f>EXP(-LN(2)/25)*DG105+(1-EXP(-LN(2)/25))/(LN(2)/25)*Calculateur!DB106*Calculateur!DD106*VLOOKUP('Données projet'!$B$13,Paramètres!$A$1:$I$89,3,0)*0.475*44/12</f>
        <v>2.4397053299538394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20.049378765129244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>
        <f>DO106*VLOOKUP('Données projet'!$B$14,Paramètres!$A$1:$I$89,3,0)*VLOOKUP('Données projet'!$B$14,Paramètres!$A$1:$I$89,5,0)</f>
        <v>0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60.532656778089574</v>
      </c>
      <c r="DU106" s="62">
        <f t="shared" si="98"/>
        <v>348.96823267563025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16.109025577097597</v>
      </c>
      <c r="EB106" s="23">
        <f>EXP(-LN(2)/25)*EB105+(1-EXP(-LN(2)/25))/(LN(2)/25)*Calculateur!DW106*Calculateur!DY106*VLOOKUP('Données projet'!$B$14,Paramètres!$A$1:$I$89,3,0)*0.475*44/12</f>
        <v>2.231800362765572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18.340825939863169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53.214719999999886</v>
      </c>
      <c r="D107" s="12">
        <f t="shared" si="86"/>
        <v>15.440940408182154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529.97351894035262</v>
      </c>
      <c r="H107" s="70">
        <f t="shared" si="56"/>
        <v>412.90860854425034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74.209918391015606</v>
      </c>
      <c r="T107" s="62">
        <f t="shared" si="88"/>
        <v>422.59746235438649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19.011977589885614</v>
      </c>
      <c r="AA107" s="23">
        <f>EXP(-LN(2)/25)*AA106+(1-EXP(-LN(2)/25))/(LN(2)/25)*Calculateur!V107*Calculateur!X107*VLOOKUP('Données projet'!$B$9,Paramètres!$A$1:$I$89,3,0)*0.475*44/12</f>
        <v>2.6132022513109621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21.625179841196577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65.6337514911271</v>
      </c>
      <c r="AO107" s="62">
        <f t="shared" si="90"/>
        <v>377.81060908047425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17.052525860565929</v>
      </c>
      <c r="AV107" s="23">
        <f>EXP(-LN(2)/25)*AV106+(1-EXP(-LN(2)/25))/(LN(2)/25)*Calculateur!AQ107*Calculateur!AS107*VLOOKUP('Données projet'!$B$10,Paramètres!$A$1:$I$89,3,0)*0.475*44/12</f>
        <v>2.3438749997830901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19.396400860349019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66.622529958850123</v>
      </c>
      <c r="BJ107" s="62">
        <f t="shared" si="92"/>
        <v>374.90853633180166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16.925716470604776</v>
      </c>
      <c r="BQ107" s="23">
        <f>EXP(-LN(2)/25)*BQ106+(1-EXP(-LN(2)/25))/(LN(2)/25)*Calculateur!BL107*Calculateur!BN107*VLOOKUP('Données projet'!$B$11,Paramètres!$A$1:$I$89,3,0)*0.475*44/12</f>
        <v>2.3264450095694387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19.252161480174216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61.91827157428213</v>
      </c>
      <c r="CE107" s="62">
        <f t="shared" si="94"/>
        <v>358.41033295847001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16.205195383022296</v>
      </c>
      <c r="CL107" s="23">
        <f>EXP(-LN(2)/25)*CL106+(1-EXP(-LN(2)/25))/(LN(2)/25)*Calculateur!CG107*Calculateur!CI107*VLOOKUP('Données projet'!$B$12,Paramètres!$A$1:$I$89,3,0)*0.475*44/12</f>
        <v>2.2274091612845504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18.432604544306848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>
        <f>CT107*VLOOKUP('Données projet'!$B$13,Paramètres!$A$1:$I$89,3,0)*VLOOKUP('Données projet'!$B$13,Paramètres!$A$1:$I$89,5,0)</f>
        <v>0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66.561949299871912</v>
      </c>
      <c r="CZ107" s="62">
        <f t="shared" si="96"/>
        <v>382.65744918271389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17.264358479951841</v>
      </c>
      <c r="DG107" s="23">
        <f>EXP(-LN(2)/25)*DG106+(1-EXP(-LN(2)/25))/(LN(2)/25)*Calculateur!DB107*Calculateur!DD107*VLOOKUP('Données projet'!$B$13,Paramètres!$A$1:$I$89,3,0)*0.475*44/12</f>
        <v>2.3729914594077242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19.637349939359567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>
        <f>DO107*VLOOKUP('Données projet'!$B$14,Paramètres!$A$1:$I$89,3,0)*VLOOKUP('Données projet'!$B$14,Paramètres!$A$1:$I$89,5,0)</f>
        <v>0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60.532656778089574</v>
      </c>
      <c r="DU107" s="62">
        <f t="shared" si="98"/>
        <v>348.96823267563025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15.793137411066125</v>
      </c>
      <c r="EB107" s="23">
        <f>EXP(-LN(2)/25)*EB106+(1-EXP(-LN(2)/25))/(LN(2)/25)*Calculateur!DW107*Calculateur!DY107*VLOOKUP('Données projet'!$B$14,Paramètres!$A$1:$I$89,3,0)*0.475*44/12</f>
        <v>2.1707716644804673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17.963909075546592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53.726399999999884</v>
      </c>
      <c r="D108" s="12">
        <f t="shared" si="86"/>
        <v>15.572055859623591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534.93544874095312</v>
      </c>
      <c r="H108" s="70">
        <f t="shared" si="56"/>
        <v>414.02814395551087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74.209918391015606</v>
      </c>
      <c r="T108" s="62">
        <f t="shared" si="88"/>
        <v>422.59746235438649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18.639164305509262</v>
      </c>
      <c r="AA108" s="23">
        <f>EXP(-LN(2)/25)*AA107+(1-EXP(-LN(2)/25))/(LN(2)/25)*Calculateur!V108*Calculateur!X108*VLOOKUP('Données projet'!$B$9,Paramètres!$A$1:$I$89,3,0)*0.475*44/12</f>
        <v>2.54174409832653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21.18090840383579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65.6337514911271</v>
      </c>
      <c r="AO108" s="62">
        <f t="shared" si="90"/>
        <v>377.81060908047425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16.718136229453989</v>
      </c>
      <c r="AV108" s="23">
        <f>EXP(-LN(2)/25)*AV107+(1-EXP(-LN(2)/25))/(LN(2)/25)*Calculateur!AQ108*Calculateur!AS108*VLOOKUP('Données projet'!$B$10,Paramètres!$A$1:$I$89,3,0)*0.475*44/12</f>
        <v>2.2797816146549921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18.997917844108983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66.622529958850123</v>
      </c>
      <c r="BJ108" s="62">
        <f t="shared" si="92"/>
        <v>374.90853633180166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16.593813494283886</v>
      </c>
      <c r="BQ108" s="23">
        <f>EXP(-LN(2)/25)*BQ107+(1-EXP(-LN(2)/25))/(LN(2)/25)*Calculateur!BL108*Calculateur!BN108*VLOOKUP('Données projet'!$B$11,Paramètres!$A$1:$I$89,3,0)*0.475*44/12</f>
        <v>2.2628282484403366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18.856641742724221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61.91827157428213</v>
      </c>
      <c r="CE108" s="62">
        <f t="shared" si="94"/>
        <v>358.41033295847001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15.887421385754429</v>
      </c>
      <c r="CL108" s="23">
        <f>EXP(-LN(2)/25)*CL107+(1-EXP(-LN(2)/25))/(LN(2)/25)*Calculateur!CG108*Calculateur!CI108*VLOOKUP('Données projet'!$B$12,Paramètres!$A$1:$I$89,3,0)*0.475*44/12</f>
        <v>2.1665005406348672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18.053921926389297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>
        <f>CT108*VLOOKUP('Données projet'!$B$13,Paramètres!$A$1:$I$89,3,0)*VLOOKUP('Données projet'!$B$13,Paramètres!$A$1:$I$89,5,0)</f>
        <v>0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66.561949299871912</v>
      </c>
      <c r="CZ108" s="62">
        <f t="shared" si="96"/>
        <v>382.65744918271389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16.925814940378885</v>
      </c>
      <c r="DG108" s="23">
        <f>EXP(-LN(2)/25)*DG107+(1-EXP(-LN(2)/25))/(LN(2)/25)*Calculateur!DB108*Calculateur!DD108*VLOOKUP('Données projet'!$B$13,Paramètres!$A$1:$I$89,3,0)*0.475*44/12</f>
        <v>2.3081018831600226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19.233916823538909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>
        <f>DO108*VLOOKUP('Données projet'!$B$14,Paramètres!$A$1:$I$89,3,0)*VLOOKUP('Données projet'!$B$14,Paramètres!$A$1:$I$89,5,0)</f>
        <v>0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60.532656778089574</v>
      </c>
      <c r="DU108" s="62">
        <f t="shared" si="98"/>
        <v>348.96823267563025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15.483443619297773</v>
      </c>
      <c r="EB108" s="23">
        <f>EXP(-LN(2)/25)*EB107+(1-EXP(-LN(2)/25))/(LN(2)/25)*Calculateur!DW108*Calculateur!DY108*VLOOKUP('Données projet'!$B$14,Paramètres!$A$1:$I$89,3,0)*0.475*44/12</f>
        <v>2.1114117991593284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17.594855418457101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54.238079999999883</v>
      </c>
      <c r="D109" s="12">
        <f t="shared" si="86"/>
        <v>15.703026038435169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539.89625713879695</v>
      </c>
      <c r="H109" s="70">
        <f t="shared" si="56"/>
        <v>415.14742635027437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74.209918391015606</v>
      </c>
      <c r="T109" s="62">
        <f t="shared" si="88"/>
        <v>422.59746235438649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18.273661662245878</v>
      </c>
      <c r="AA109" s="23">
        <f>EXP(-LN(2)/25)*AA108+(1-EXP(-LN(2)/25))/(LN(2)/25)*Calculateur!V109*Calculateur!X109*VLOOKUP('Données projet'!$B$9,Paramètres!$A$1:$I$89,3,0)*0.475*44/12</f>
        <v>2.472239972293278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20.745901634539155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65.6337514911271</v>
      </c>
      <c r="AO109" s="62">
        <f t="shared" si="90"/>
        <v>377.81060908047425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16.390303775050622</v>
      </c>
      <c r="AV109" s="23">
        <f>EXP(-LN(2)/25)*AV108+(1-EXP(-LN(2)/25))/(LN(2)/25)*Calculateur!AQ109*Calculateur!AS109*VLOOKUP('Données projet'!$B$10,Paramètres!$A$1:$I$89,3,0)*0.475*44/12</f>
        <v>2.2174408665137468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18.60774464156437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66.622529958850123</v>
      </c>
      <c r="BJ109" s="62">
        <f t="shared" si="92"/>
        <v>374.90853633180166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16.268418932887823</v>
      </c>
      <c r="BQ109" s="23">
        <f>EXP(-LN(2)/25)*BQ108+(1-EXP(-LN(2)/25))/(LN(2)/25)*Calculateur!BL109*Calculateur!BN109*VLOOKUP('Données projet'!$B$11,Paramètres!$A$1:$I$89,3,0)*0.475*44/12</f>
        <v>2.2009510909897698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18.469370023877591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61.91827157428213</v>
      </c>
      <c r="CE109" s="62">
        <f t="shared" si="94"/>
        <v>358.41033295847001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15.575878742749985</v>
      </c>
      <c r="CL109" s="23">
        <f>EXP(-LN(2)/25)*CL108+(1-EXP(-LN(2)/25))/(LN(2)/25)*Calculateur!CG109*Calculateur!CI109*VLOOKUP('Données projet'!$B$12,Paramètres!$A$1:$I$89,3,0)*0.475*44/12</f>
        <v>2.1072574694198951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17.683136212169881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>
        <f>CT109*VLOOKUP('Données projet'!$B$13,Paramètres!$A$1:$I$89,3,0)*VLOOKUP('Données projet'!$B$13,Paramètres!$A$1:$I$89,5,0)</f>
        <v>0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66.561949299871912</v>
      </c>
      <c r="CZ109" s="62">
        <f t="shared" si="96"/>
        <v>382.65744918271389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16.593910033125784</v>
      </c>
      <c r="DG109" s="23">
        <f>EXP(-LN(2)/25)*DG108+(1-EXP(-LN(2)/25))/(LN(2)/25)*Calculateur!DB109*Calculateur!DD109*VLOOKUP('Données projet'!$B$13,Paramètres!$A$1:$I$89,3,0)*0.475*44/12</f>
        <v>2.244986715787209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18.838896748912994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>
        <f>DO109*VLOOKUP('Données projet'!$B$14,Paramètres!$A$1:$I$89,3,0)*VLOOKUP('Données projet'!$B$14,Paramètres!$A$1:$I$89,5,0)</f>
        <v>0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60.532656778089574</v>
      </c>
      <c r="DU109" s="62">
        <f t="shared" si="98"/>
        <v>348.96823267563025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15.179822733891438</v>
      </c>
      <c r="EB109" s="23">
        <f>EXP(-LN(2)/25)*EB108+(1-EXP(-LN(2)/25))/(LN(2)/25)*Calculateur!DW109*Calculateur!DY109*VLOOKUP('Données projet'!$B$14,Paramètres!$A$1:$I$89,3,0)*0.475*44/12</f>
        <v>2.0536751324769957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17.233497866368435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54.749759999999881</v>
      </c>
      <c r="D110" s="12">
        <f t="shared" si="86"/>
        <v>15.833852473844976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544.85595593845153</v>
      </c>
      <c r="H110" s="70">
        <f t="shared" si="56"/>
        <v>416.26645839194646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74.209918391015606</v>
      </c>
      <c r="T110" s="62">
        <f t="shared" si="88"/>
        <v>422.59746235438649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17.915326302882292</v>
      </c>
      <c r="AA110" s="23">
        <f>EXP(-LN(2)/25)*AA109+(1-EXP(-LN(2)/25))/(LN(2)/25)*Calculateur!V110*Calculateur!X110*VLOOKUP('Données projet'!$B$9,Paramètres!$A$1:$I$89,3,0)*0.475*44/12</f>
        <v>2.4046364402414686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20.31996274312376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65.6337514911271</v>
      </c>
      <c r="AO110" s="62">
        <f t="shared" si="90"/>
        <v>377.81060908047425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16.068899915120049</v>
      </c>
      <c r="AV110" s="23">
        <f>EXP(-LN(2)/25)*AV109+(1-EXP(-LN(2)/25))/(LN(2)/25)*Calculateur!AQ110*Calculateur!AS110*VLOOKUP('Données projet'!$B$10,Paramètres!$A$1:$I$89,3,0)*0.475*44/12</f>
        <v>2.1568048294087814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18.22570474452883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66.622529958850123</v>
      </c>
      <c r="BJ110" s="62">
        <f t="shared" si="92"/>
        <v>374.90853633180166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15.949405160369651</v>
      </c>
      <c r="BQ110" s="23">
        <f>EXP(-LN(2)/25)*BQ109+(1-EXP(-LN(2)/25))/(LN(2)/25)*Calculateur!BL110*Calculateur!BN110*VLOOKUP('Données projet'!$B$11,Paramètres!$A$1:$I$89,3,0)*0.475*44/12</f>
        <v>2.140765967663667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18.090171128033319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61.91827157428213</v>
      </c>
      <c r="CE110" s="62">
        <f t="shared" si="94"/>
        <v>358.41033295847001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15.270445260952609</v>
      </c>
      <c r="CL110" s="23">
        <f>EXP(-LN(2)/25)*CL109+(1-EXP(-LN(2)/25))/(LN(2)/25)*Calculateur!CG110*Calculateur!CI110*VLOOKUP('Données projet'!$B$12,Paramètres!$A$1:$I$89,3,0)*0.475*44/12</f>
        <v>2.049634403102754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17.320079664055363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>
        <f>CT110*VLOOKUP('Données projet'!$B$13,Paramètres!$A$1:$I$89,3,0)*VLOOKUP('Données projet'!$B$13,Paramètres!$A$1:$I$89,5,0)</f>
        <v>0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66.561949299871912</v>
      </c>
      <c r="CZ110" s="62">
        <f t="shared" si="96"/>
        <v>382.65744918271389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16.268513578661913</v>
      </c>
      <c r="DG110" s="23">
        <f>EXP(-LN(2)/25)*DG109+(1-EXP(-LN(2)/25))/(LN(2)/25)*Calculateur!DB110*Calculateur!DD110*VLOOKUP('Données projet'!$B$13,Paramètres!$A$1:$I$89,3,0)*0.475*44/12</f>
        <v>2.1835974359852872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18.452111014647201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>
        <f>DO110*VLOOKUP('Données projet'!$B$14,Paramètres!$A$1:$I$89,3,0)*VLOOKUP('Données projet'!$B$14,Paramètres!$A$1:$I$89,5,0)</f>
        <v>0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60.532656778089574</v>
      </c>
      <c r="DU110" s="62">
        <f t="shared" si="98"/>
        <v>348.96823267563025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14.882155668857466</v>
      </c>
      <c r="EB110" s="23">
        <f>EXP(-LN(2)/25)*EB109+(1-EXP(-LN(2)/25))/(LN(2)/25)*Calculateur!DW110*Calculateur!DY110*VLOOKUP('Données projet'!$B$14,Paramètres!$A$1:$I$89,3,0)*0.475*44/12</f>
        <v>1.9975172779813308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16.879672946838799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55.26143999999988</v>
      </c>
      <c r="D111" s="12">
        <f t="shared" si="86"/>
        <v>15.96453666484898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549.81455671111405</v>
      </c>
      <c r="H111" s="70">
        <f t="shared" si="56"/>
        <v>417.38524269127839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74.209918391015606</v>
      </c>
      <c r="T111" s="62">
        <f t="shared" si="88"/>
        <v>422.59746235438649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17.564017681352837</v>
      </c>
      <c r="AA111" s="23">
        <f>EXP(-LN(2)/25)*AA110+(1-EXP(-LN(2)/25))/(LN(2)/25)*Calculateur!V111*Calculateur!X111*VLOOKUP('Données projet'!$B$9,Paramètres!$A$1:$I$89,3,0)*0.475*44/12</f>
        <v>2.3388815303287309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19.902899211681568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65.6337514911271</v>
      </c>
      <c r="AO111" s="62">
        <f t="shared" si="90"/>
        <v>377.81060908047425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15.753798588845719</v>
      </c>
      <c r="AV111" s="23">
        <f>EXP(-LN(2)/25)*AV110+(1-EXP(-LN(2)/25))/(LN(2)/25)*Calculateur!AQ111*Calculateur!AS111*VLOOKUP('Données projet'!$B$10,Paramètres!$A$1:$I$89,3,0)*0.475*44/12</f>
        <v>2.0978268879271615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17.851625476772881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66.622529958850123</v>
      </c>
      <c r="BJ111" s="62">
        <f t="shared" si="92"/>
        <v>374.90853633180166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15.636647053351371</v>
      </c>
      <c r="BQ111" s="23">
        <f>EXP(-LN(2)/25)*BQ110+(1-EXP(-LN(2)/25))/(LN(2)/25)*Calculateur!BL111*Calculateur!BN111*VLOOKUP('Données projet'!$B$11,Paramètres!$A$1:$I$89,3,0)*0.475*44/12</f>
        <v>2.0822266096999145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17.718873663051287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61.91827157428213</v>
      </c>
      <c r="CE111" s="62">
        <f t="shared" si="94"/>
        <v>358.41033295847001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14.971001143437251</v>
      </c>
      <c r="CL111" s="23">
        <f>EXP(-LN(2)/25)*CL110+(1-EXP(-LN(2)/25))/(LN(2)/25)*Calculateur!CG111*Calculateur!CI111*VLOOKUP('Données projet'!$B$12,Paramètres!$A$1:$I$89,3,0)*0.475*44/12</f>
        <v>1.9935870425643205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16.964588186001571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>
        <f>CT111*VLOOKUP('Données projet'!$B$13,Paramètres!$A$1:$I$89,3,0)*VLOOKUP('Données projet'!$B$13,Paramètres!$A$1:$I$89,5,0)</f>
        <v>0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66.561949299871912</v>
      </c>
      <c r="CZ111" s="62">
        <f t="shared" si="96"/>
        <v>382.65744918271389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15.94949795019784</v>
      </c>
      <c r="DG111" s="23">
        <f>EXP(-LN(2)/25)*DG110+(1-EXP(-LN(2)/25))/(LN(2)/25)*Calculateur!DB111*Calculateur!DD111*VLOOKUP('Données projet'!$B$13,Paramètres!$A$1:$I$89,3,0)*0.475*44/12</f>
        <v>2.1238868492678709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18.07338479946571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>
        <f>DO111*VLOOKUP('Données projet'!$B$14,Paramètres!$A$1:$I$89,3,0)*VLOOKUP('Données projet'!$B$14,Paramètres!$A$1:$I$89,5,0)</f>
        <v>0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60.532656778089574</v>
      </c>
      <c r="DU111" s="62">
        <f t="shared" si="98"/>
        <v>348.96823267563025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14.590325673409829</v>
      </c>
      <c r="EB111" s="23">
        <f>EXP(-LN(2)/25)*EB110+(1-EXP(-LN(2)/25))/(LN(2)/25)*Calculateur!DW111*Calculateur!DY111*VLOOKUP('Données projet'!$B$14,Paramètres!$A$1:$I$89,3,0)*0.475*44/12</f>
        <v>1.942895062970063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16.533220736379892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55.773119999999878</v>
      </c>
      <c r="D112" s="12">
        <f t="shared" si="86"/>
        <v>16.095080081082966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554.77207080134121</v>
      </c>
      <c r="H112" s="70">
        <f t="shared" si="56"/>
        <v>418.5037818078859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74.209918391015606</v>
      </c>
      <c r="T112" s="62">
        <f t="shared" si="88"/>
        <v>422.59746235438649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17.219598007614472</v>
      </c>
      <c r="AA112" s="23">
        <f>EXP(-LN(2)/25)*AA111+(1-EXP(-LN(2)/25))/(LN(2)/25)*Calculateur!V112*Calculateur!X112*VLOOKUP('Données projet'!$B$9,Paramètres!$A$1:$I$89,3,0)*0.475*44/12</f>
        <v>2.2749246918854578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19.494522699499932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65.6337514911271</v>
      </c>
      <c r="AO112" s="62">
        <f t="shared" si="90"/>
        <v>377.81060908047425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15.444876207386796</v>
      </c>
      <c r="AV112" s="23">
        <f>EXP(-LN(2)/25)*AV111+(1-EXP(-LN(2)/25))/(LN(2)/25)*Calculateur!AQ112*Calculateur!AS112*VLOOKUP('Données projet'!$B$10,Paramètres!$A$1:$I$89,3,0)*0.475*44/12</f>
        <v>2.0404617013568718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17.485337908743666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66.622529958850123</v>
      </c>
      <c r="BJ112" s="62">
        <f t="shared" si="92"/>
        <v>374.90853633180166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15.330021942048113</v>
      </c>
      <c r="BQ112" s="23">
        <f>EXP(-LN(2)/25)*BQ111+(1-EXP(-LN(2)/25))/(LN(2)/25)*Calculateur!BL112*Calculateur!BN112*VLOOKUP('Données projet'!$B$11,Paramètres!$A$1:$I$89,3,0)*0.475*44/12</f>
        <v>2.0252880135581317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17.355309955606245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61.91827157428213</v>
      </c>
      <c r="CE112" s="62">
        <f t="shared" si="94"/>
        <v>358.41033295847001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14.677428942423491</v>
      </c>
      <c r="CL112" s="23">
        <f>EXP(-LN(2)/25)*CL111+(1-EXP(-LN(2)/25))/(LN(2)/25)*Calculateur!CG112*Calculateur!CI112*VLOOKUP('Données projet'!$B$12,Paramètres!$A$1:$I$89,3,0)*0.475*44/12</f>
        <v>1.939072300047213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16.616501242470704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>
        <f>CT112*VLOOKUP('Données projet'!$B$13,Paramètres!$A$1:$I$89,3,0)*VLOOKUP('Données projet'!$B$13,Paramètres!$A$1:$I$89,5,0)</f>
        <v>0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66.561949299871912</v>
      </c>
      <c r="CZ112" s="62">
        <f t="shared" si="96"/>
        <v>382.65744918271389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15.636738023627625</v>
      </c>
      <c r="DG112" s="23">
        <f>EXP(-LN(2)/25)*DG111+(1-EXP(-LN(2)/25))/(LN(2)/25)*Calculateur!DB112*Calculateur!DD112*VLOOKUP('Données projet'!$B$13,Paramètres!$A$1:$I$89,3,0)*0.475*44/12</f>
        <v>2.0658090516842855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17.702547075311912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>
        <f>DO112*VLOOKUP('Données projet'!$B$14,Paramètres!$A$1:$I$89,3,0)*VLOOKUP('Données projet'!$B$14,Paramètres!$A$1:$I$89,5,0)</f>
        <v>0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60.532656778089574</v>
      </c>
      <c r="DU112" s="62">
        <f t="shared" si="98"/>
        <v>348.96823267563025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14.304218286174198</v>
      </c>
      <c r="EB112" s="23">
        <f>EXP(-LN(2)/25)*EB111+(1-EXP(-LN(2)/25))/(LN(2)/25)*Calculateur!DW112*Calculateur!DY112*VLOOKUP('Données projet'!$B$14,Paramètres!$A$1:$I$89,3,0)*0.475*44/12</f>
        <v>1.8897664953007358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16.193984781474935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56.284799999999876</v>
      </c>
      <c r="D113" s="12">
        <f t="shared" si="86"/>
        <v>16.225484163661527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559.72850933352663</v>
      </c>
      <c r="H113" s="70">
        <f t="shared" si="56"/>
        <v>419.62207825171021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74.209918391015606</v>
      </c>
      <c r="T113" s="62">
        <f t="shared" si="88"/>
        <v>422.59746235438649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16.881932193602861</v>
      </c>
      <c r="AA113" s="23">
        <f>EXP(-LN(2)/25)*AA112+(1-EXP(-LN(2)/25))/(LN(2)/25)*Calculateur!V113*Calculateur!X113*VLOOKUP('Données projet'!$B$9,Paramètres!$A$1:$I$89,3,0)*0.475*44/12</f>
        <v>2.2127167565527599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19.094648950155619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65.6337514911271</v>
      </c>
      <c r="AO113" s="62">
        <f t="shared" si="90"/>
        <v>377.81060908047425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15.142011605404237</v>
      </c>
      <c r="AV113" s="23">
        <f>EXP(-LN(2)/25)*AV112+(1-EXP(-LN(2)/25))/(LN(2)/25)*Calculateur!AQ113*Calculateur!AS113*VLOOKUP('Données projet'!$B$10,Paramètres!$A$1:$I$89,3,0)*0.475*44/12</f>
        <v>1.9846651688300507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17.126676774234287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66.622529958850123</v>
      </c>
      <c r="BJ113" s="62">
        <f t="shared" si="92"/>
        <v>374.90853633180166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15.02940956215466</v>
      </c>
      <c r="BQ113" s="23">
        <f>EXP(-LN(2)/25)*BQ112+(1-EXP(-LN(2)/25))/(LN(2)/25)*Calculateur!BL113*Calculateur!BN113*VLOOKUP('Données projet'!$B$11,Paramètres!$A$1:$I$89,3,0)*0.475*44/12</f>
        <v>1.9699064063221168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16.999315968476775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61.91827157428213</v>
      </c>
      <c r="CE113" s="62">
        <f t="shared" si="94"/>
        <v>358.41033295847001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14.38961351321025</v>
      </c>
      <c r="CL113" s="23">
        <f>EXP(-LN(2)/25)*CL112+(1-EXP(-LN(2)/25))/(LN(2)/25)*Calculateur!CG113*Calculateur!CI113*VLOOKUP('Données projet'!$B$12,Paramètres!$A$1:$I$89,3,0)*0.475*44/12</f>
        <v>1.8860482660310416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16.275661779241293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>
        <f>CT113*VLOOKUP('Données projet'!$B$13,Paramètres!$A$1:$I$89,3,0)*VLOOKUP('Données projet'!$B$13,Paramètres!$A$1:$I$89,5,0)</f>
        <v>0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66.561949299871912</v>
      </c>
      <c r="CZ113" s="62">
        <f t="shared" si="96"/>
        <v>382.65744918271389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15.330111128452735</v>
      </c>
      <c r="DG113" s="23">
        <f>EXP(-LN(2)/25)*DG112+(1-EXP(-LN(2)/25))/(LN(2)/25)*Calculateur!DB113*Calculateur!DD113*VLOOKUP('Données projet'!$B$13,Paramètres!$A$1:$I$89,3,0)*0.475*44/12</f>
        <v>2.0093193945298022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17.339430522982539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>
        <f>DO113*VLOOKUP('Données projet'!$B$14,Paramètres!$A$1:$I$89,3,0)*VLOOKUP('Données projet'!$B$14,Paramètres!$A$1:$I$89,5,0)</f>
        <v>0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60.532656778089574</v>
      </c>
      <c r="DU113" s="62">
        <f t="shared" si="98"/>
        <v>348.96823267563025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14.023721290293983</v>
      </c>
      <c r="EB113" s="23">
        <f>EXP(-LN(2)/25)*EB112+(1-EXP(-LN(2)/25))/(LN(2)/25)*Calculateur!DW113*Calculateur!DY113*VLOOKUP('Données projet'!$B$14,Paramètres!$A$1:$I$89,3,0)*0.475*44/12</f>
        <v>1.8380907311082364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15.861812021402219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56.796479999999875</v>
      </c>
      <c r="D114" s="12">
        <f t="shared" si="86"/>
        <v>16.355750325985774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564.68388321813484</v>
      </c>
      <c r="H114" s="70">
        <f t="shared" si="56"/>
        <v>420.74013448442497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74.209918391015606</v>
      </c>
      <c r="T114" s="62">
        <f t="shared" si="88"/>
        <v>422.59746235438649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16.550887800248205</v>
      </c>
      <c r="AA114" s="23">
        <f>EXP(-LN(2)/25)*AA113+(1-EXP(-LN(2)/25))/(LN(2)/25)*Calculateur!V114*Calculateur!X114*VLOOKUP('Données projet'!$B$9,Paramètres!$A$1:$I$89,3,0)*0.475*44/12</f>
        <v>2.1522099004831077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18.703097700731313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65.6337514911271</v>
      </c>
      <c r="AO114" s="62">
        <f t="shared" si="90"/>
        <v>377.81060908047425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14.845085993537388</v>
      </c>
      <c r="AV114" s="23">
        <f>EXP(-LN(2)/25)*AV113+(1-EXP(-LN(2)/25))/(LN(2)/25)*Calculateur!AQ114*Calculateur!AS114*VLOOKUP('Données projet'!$B$10,Paramètres!$A$1:$I$89,3,0)*0.475*44/12</f>
        <v>1.9303943954193878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16.775480388956776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66.622529958850123</v>
      </c>
      <c r="BJ114" s="62">
        <f t="shared" si="92"/>
        <v>374.90853633180166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14.73469200767547</v>
      </c>
      <c r="BQ114" s="23">
        <f>EXP(-LN(2)/25)*BQ113+(1-EXP(-LN(2)/25))/(LN(2)/25)*Calculateur!BL114*Calculateur!BN114*VLOOKUP('Données projet'!$B$11,Paramètres!$A$1:$I$89,3,0)*0.475*44/12</f>
        <v>1.9160392120483629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16.650731219723834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61.91827157428213</v>
      </c>
      <c r="CE114" s="62">
        <f t="shared" si="94"/>
        <v>358.41033295847001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14.107441969013804</v>
      </c>
      <c r="CL114" s="23">
        <f>EXP(-LN(2)/25)*CL113+(1-EXP(-LN(2)/25))/(LN(2)/25)*Calculateur!CG114*Calculateur!CI114*VLOOKUP('Données projet'!$B$12,Paramètres!$A$1:$I$89,3,0)*0.475*44/12</f>
        <v>1.8344741770134552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15.941916146027259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>
        <f>CT114*VLOOKUP('Données projet'!$B$13,Paramètres!$A$1:$I$89,3,0)*VLOOKUP('Données projet'!$B$13,Paramètres!$A$1:$I$89,5,0)</f>
        <v>0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66.561949299871912</v>
      </c>
      <c r="CZ114" s="62">
        <f t="shared" si="96"/>
        <v>382.65744918271389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15.029496999668286</v>
      </c>
      <c r="DG114" s="23">
        <f>EXP(-LN(2)/25)*DG113+(1-EXP(-LN(2)/25))/(LN(2)/25)*Calculateur!DB114*Calculateur!DD114*VLOOKUP('Données projet'!$B$13,Paramètres!$A$1:$I$89,3,0)*0.475*44/12</f>
        <v>1.9543744500208702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16.983871449689158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>
        <f>DO114*VLOOKUP('Données projet'!$B$14,Paramètres!$A$1:$I$89,3,0)*VLOOKUP('Données projet'!$B$14,Paramètres!$A$1:$I$89,5,0)</f>
        <v>0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60.532656778089574</v>
      </c>
      <c r="DU114" s="62">
        <f t="shared" si="98"/>
        <v>348.96823267563025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13.748724669416704</v>
      </c>
      <c r="EB114" s="23">
        <f>EXP(-LN(2)/25)*EB113+(1-EXP(-LN(2)/25))/(LN(2)/25)*Calculateur!DW114*Calculateur!DY114*VLOOKUP('Données projet'!$B$14,Paramètres!$A$1:$I$89,3,0)*0.475*44/12</f>
        <v>1.787828043405091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15.536552712821795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57.308159999999873</v>
      </c>
      <c r="D115" s="12">
        <f t="shared" si="86"/>
        <v>16.485879954521028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569.63820315770511</v>
      </c>
      <c r="H115" s="70">
        <f t="shared" si="56"/>
        <v>421.85795292079058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74.209918391015606</v>
      </c>
      <c r="T115" s="62">
        <f t="shared" si="88"/>
        <v>422.59746235438649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16.226334985530094</v>
      </c>
      <c r="AA115" s="23">
        <f>EXP(-LN(2)/25)*AA114+(1-EXP(-LN(2)/25))/(LN(2)/25)*Calculateur!V115*Calculateur!X115*VLOOKUP('Données projet'!$B$9,Paramètres!$A$1:$I$89,3,0)*0.475*44/12</f>
        <v>2.0933576075745974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18.319692593104691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65.6337514911271</v>
      </c>
      <c r="AO115" s="62">
        <f t="shared" si="90"/>
        <v>377.81060908047425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14.553982911812508</v>
      </c>
      <c r="AV115" s="23">
        <f>EXP(-LN(2)/25)*AV114+(1-EXP(-LN(2)/25))/(LN(2)/25)*Calculateur!AQ115*Calculateur!AS115*VLOOKUP('Données projet'!$B$10,Paramètres!$A$1:$I$89,3,0)*0.475*44/12</f>
        <v>1.8776076591616153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16.431590570974123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66.622529958850123</v>
      </c>
      <c r="BJ115" s="62">
        <f t="shared" si="92"/>
        <v>374.90853633180166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14.445753684679659</v>
      </c>
      <c r="BQ115" s="23">
        <f>EXP(-LN(2)/25)*BQ114+(1-EXP(-LN(2)/25))/(LN(2)/25)*Calculateur!BL115*Calculateur!BN115*VLOOKUP('Données projet'!$B$11,Paramètres!$A$1:$I$89,3,0)*0.475*44/12</f>
        <v>1.8636450190347775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16.309398703714436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61.91827157428213</v>
      </c>
      <c r="CE115" s="62">
        <f t="shared" si="94"/>
        <v>358.41033295847001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13.830803636691401</v>
      </c>
      <c r="CL115" s="23">
        <f>EXP(-LN(2)/25)*CL114+(1-EXP(-LN(2)/25))/(LN(2)/25)*Calculateur!CG115*Calculateur!CI115*VLOOKUP('Données projet'!$B$12,Paramètres!$A$1:$I$89,3,0)*0.475*44/12</f>
        <v>1.7843103841722181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15.615114020863619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>
        <f>CT115*VLOOKUP('Données projet'!$B$13,Paramètres!$A$1:$I$89,3,0)*VLOOKUP('Données projet'!$B$13,Paramètres!$A$1:$I$89,5,0)</f>
        <v>0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66.561949299871912</v>
      </c>
      <c r="CZ115" s="62">
        <f t="shared" si="96"/>
        <v>382.65744918271389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14.734777730592786</v>
      </c>
      <c r="DG115" s="23">
        <f>EXP(-LN(2)/25)*DG114+(1-EXP(-LN(2)/25))/(LN(2)/25)*Calculateur!DB115*Calculateur!DD115*VLOOKUP('Données projet'!$B$13,Paramètres!$A$1:$I$89,3,0)*0.475*44/12</f>
        <v>1.900931977908964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16.63570970850175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>
        <f>DO115*VLOOKUP('Données projet'!$B$14,Paramètres!$A$1:$I$89,3,0)*VLOOKUP('Données projet'!$B$14,Paramètres!$A$1:$I$89,5,0)</f>
        <v>0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60.532656778089574</v>
      </c>
      <c r="DU115" s="62">
        <f t="shared" si="98"/>
        <v>348.96823267563025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13.479120564543454</v>
      </c>
      <c r="EB115" s="23">
        <f>EXP(-LN(2)/25)*EB114+(1-EXP(-LN(2)/25))/(LN(2)/25)*Calculateur!DW115*Calculateur!DY115*VLOOKUP('Données projet'!$B$14,Paramètres!$A$1:$I$89,3,0)*0.475*44/12</f>
        <v>1.7389397915403881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15.218060356083843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57.819839999999871</v>
      </c>
      <c r="D116" s="12">
        <f t="shared" si="86"/>
        <v>16.615874409545881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574.59147965263389</v>
      </c>
      <c r="H116" s="70">
        <f t="shared" si="56"/>
        <v>422.97553592995882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74.209918391015606</v>
      </c>
      <c r="T116" s="62">
        <f t="shared" si="88"/>
        <v>422.59746235438649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15.908146453550934</v>
      </c>
      <c r="AA116" s="23">
        <f>EXP(-LN(2)/25)*AA115+(1-EXP(-LN(2)/25))/(LN(2)/25)*Calculateur!V116*Calculateur!X116*VLOOKUP('Données projet'!$B$9,Paramètres!$A$1:$I$89,3,0)*0.475*44/12</f>
        <v>2.0361146337105778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17.944261087261513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65.6337514911271</v>
      </c>
      <c r="AO116" s="62">
        <f t="shared" si="90"/>
        <v>377.81060908047425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14.268588183964905</v>
      </c>
      <c r="AV116" s="23">
        <f>EXP(-LN(2)/25)*AV115+(1-EXP(-LN(2)/25))/(LN(2)/25)*Calculateur!AQ116*Calculateur!AS116*VLOOKUP('Données projet'!$B$10,Paramètres!$A$1:$I$89,3,0)*0.475*44/12</f>
        <v>1.8262643789827455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16.094852562947651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66.622529958850123</v>
      </c>
      <c r="BJ116" s="62">
        <f t="shared" si="92"/>
        <v>374.90853633180166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14.162481265962819</v>
      </c>
      <c r="BQ116" s="23">
        <f>EXP(-LN(2)/25)*BQ115+(1-EXP(-LN(2)/25))/(LN(2)/25)*Calculateur!BL116*Calculateur!BN116*VLOOKUP('Données projet'!$B$11,Paramètres!$A$1:$I$89,3,0)*0.475*44/12</f>
        <v>1.8126835479844394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15.975164813947259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61.91827157428213</v>
      </c>
      <c r="CE116" s="62">
        <f t="shared" si="94"/>
        <v>358.41033295847001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13.55959001333312</v>
      </c>
      <c r="CL116" s="23">
        <f>EXP(-LN(2)/25)*CL115+(1-EXP(-LN(2)/25))/(LN(2)/25)*Calculateur!CG116*Calculateur!CI116*VLOOKUP('Données projet'!$B$12,Paramètres!$A$1:$I$89,3,0)*0.475*44/12</f>
        <v>1.7355183228842237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15.295108336217343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>
        <f>CT116*VLOOKUP('Données projet'!$B$13,Paramètres!$A$1:$I$89,3,0)*VLOOKUP('Données projet'!$B$13,Paramètres!$A$1:$I$89,5,0)</f>
        <v>0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66.561949299871912</v>
      </c>
      <c r="CZ116" s="62">
        <f t="shared" si="96"/>
        <v>382.65744918271389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14.445837726622852</v>
      </c>
      <c r="DG116" s="23">
        <f>EXP(-LN(2)/25)*DG115+(1-EXP(-LN(2)/25))/(LN(2)/25)*Calculateur!DB116*Calculateur!DD116*VLOOKUP('Données projet'!$B$13,Paramètres!$A$1:$I$89,3,0)*0.475*44/12</f>
        <v>1.8489508930073753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16.294788619630229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>
        <f>DO116*VLOOKUP('Données projet'!$B$14,Paramètres!$A$1:$I$89,3,0)*VLOOKUP('Données projet'!$B$14,Paramètres!$A$1:$I$89,5,0)</f>
        <v>0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60.532656778089574</v>
      </c>
      <c r="DU116" s="62">
        <f t="shared" si="98"/>
        <v>348.96823267563025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13.214803231724501</v>
      </c>
      <c r="EB116" s="23">
        <f>EXP(-LN(2)/25)*EB115+(1-EXP(-LN(2)/25))/(LN(2)/25)*Calculateur!DW116*Calculateur!DY116*VLOOKUP('Données projet'!$B$14,Paramètres!$A$1:$I$89,3,0)*0.475*44/12</f>
        <v>1.691388391493847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14.906191623218348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58.33151999999987</v>
      </c>
      <c r="D117" s="12">
        <f t="shared" si="86"/>
        <v>16.74573502587419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579.54372300674697</v>
      </c>
      <c r="H117" s="70">
        <f t="shared" si="56"/>
        <v>424.0928858367306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74.209918391015606</v>
      </c>
      <c r="T117" s="62">
        <f t="shared" si="88"/>
        <v>422.59746235438649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15.596197404608045</v>
      </c>
      <c r="AA117" s="23">
        <f>EXP(-LN(2)/25)*AA116+(1-EXP(-LN(2)/25))/(LN(2)/25)*Calculateur!V117*Calculateur!X117*VLOOKUP('Données projet'!$B$9,Paramètres!$A$1:$I$89,3,0)*0.475*44/12</f>
        <v>1.9804369719771471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17.576634376585194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65.6337514911271</v>
      </c>
      <c r="AO117" s="62">
        <f t="shared" si="90"/>
        <v>377.81060908047425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13.988789872656797</v>
      </c>
      <c r="AV117" s="23">
        <f>EXP(-LN(2)/25)*AV116+(1-EXP(-LN(2)/25))/(LN(2)/25)*Calculateur!AQ117*Calculateur!AS117*VLOOKUP('Données projet'!$B$10,Paramètres!$A$1:$I$89,3,0)*0.475*44/12</f>
        <v>1.7763250835003925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15.765114956157189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66.622529958850123</v>
      </c>
      <c r="BJ117" s="62">
        <f t="shared" si="92"/>
        <v>374.90853633180166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13.884763646597904</v>
      </c>
      <c r="BQ117" s="23">
        <f>EXP(-LN(2)/25)*BQ116+(1-EXP(-LN(2)/25))/(LN(2)/25)*Calculateur!BL117*Calculateur!BN117*VLOOKUP('Données projet'!$B$11,Paramètres!$A$1:$I$89,3,0)*0.475*44/12</f>
        <v>1.7631156210399201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15.647879267637824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61.91827157428213</v>
      </c>
      <c r="CE117" s="62">
        <f t="shared" si="94"/>
        <v>358.41033295847001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13.293694723704919</v>
      </c>
      <c r="CL117" s="23">
        <f>EXP(-LN(2)/25)*CL116+(1-EXP(-LN(2)/25))/(LN(2)/25)*Calculateur!CG117*Calculateur!CI117*VLOOKUP('Données projet'!$B$12,Paramètres!$A$1:$I$89,3,0)*0.475*44/12</f>
        <v>1.6880604830780126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14.981755206782932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>
        <f>CT117*VLOOKUP('Données projet'!$B$13,Paramètres!$A$1:$I$89,3,0)*VLOOKUP('Données projet'!$B$13,Paramètres!$A$1:$I$89,5,0)</f>
        <v>0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66.561949299871912</v>
      </c>
      <c r="CZ117" s="62">
        <f t="shared" si="96"/>
        <v>382.65744918271389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14.162563659894769</v>
      </c>
      <c r="DG117" s="23">
        <f>EXP(-LN(2)/25)*DG116+(1-EXP(-LN(2)/25))/(LN(2)/25)*Calculateur!DB117*Calculateur!DD117*VLOOKUP('Données projet'!$B$13,Paramètres!$A$1:$I$89,3,0)*0.475*44/12</f>
        <v>1.7983912336059868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15.960954893500755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>
        <f>DO117*VLOOKUP('Données projet'!$B$14,Paramètres!$A$1:$I$89,3,0)*VLOOKUP('Données projet'!$B$14,Paramètres!$A$1:$I$89,5,0)</f>
        <v>0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60.532656778089574</v>
      </c>
      <c r="DU117" s="62">
        <f t="shared" si="98"/>
        <v>348.96823267563025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12.955669000584473</v>
      </c>
      <c r="EB117" s="23">
        <f>EXP(-LN(2)/25)*EB116+(1-EXP(-LN(2)/25))/(LN(2)/25)*Calculateur!DW117*Calculateur!DY117*VLOOKUP('Données projet'!$B$14,Paramètres!$A$1:$I$89,3,0)*0.475*44/12</f>
        <v>1.6451372869821981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14.600806287566671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58.843199999999868</v>
      </c>
      <c r="D118" s="12">
        <f t="shared" si="86"/>
        <v>16.875463113550776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584.4949433326716</v>
      </c>
      <c r="H118" s="70">
        <f t="shared" si="56"/>
        <v>425.21000492276733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74.209918391015606</v>
      </c>
      <c r="T118" s="62">
        <f t="shared" si="88"/>
        <v>422.59746235438649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15.290365486244793</v>
      </c>
      <c r="AA118" s="23">
        <f>EXP(-LN(2)/25)*AA117+(1-EXP(-LN(2)/25))/(LN(2)/25)*Calculateur!V118*Calculateur!X118*VLOOKUP('Données projet'!$B$9,Paramètres!$A$1:$I$89,3,0)*0.475*44/12</f>
        <v>1.9262818188317781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17.21664730507657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65.6337514911271</v>
      </c>
      <c r="AO118" s="62">
        <f t="shared" si="90"/>
        <v>377.81060908047425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13.714478235573322</v>
      </c>
      <c r="AV118" s="23">
        <f>EXP(-LN(2)/25)*AV117+(1-EXP(-LN(2)/25))/(LN(2)/25)*Calculateur!AQ118*Calculateur!AS118*VLOOKUP('Données projet'!$B$10,Paramètres!$A$1:$I$89,3,0)*0.475*44/12</f>
        <v>1.727751380679198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15.44222961625252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66.622529958850123</v>
      </c>
      <c r="BJ118" s="62">
        <f t="shared" si="92"/>
        <v>374.90853633180166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13.612491900357712</v>
      </c>
      <c r="BQ118" s="23">
        <f>EXP(-LN(2)/25)*BQ117+(1-EXP(-LN(2)/25))/(LN(2)/25)*Calculateur!BL118*Calculateur!BN118*VLOOKUP('Données projet'!$B$11,Paramètres!$A$1:$I$89,3,0)*0.475*44/12</f>
        <v>1.7149031316643626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15.327395032022075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61.91827157428213</v>
      </c>
      <c r="CE118" s="62">
        <f t="shared" si="94"/>
        <v>358.41033295847001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13.033013478526213</v>
      </c>
      <c r="CL118" s="23">
        <f>EXP(-LN(2)/25)*CL117+(1-EXP(-LN(2)/25))/(LN(2)/25)*Calculateur!CG118*Calculateur!CI118*VLOOKUP('Données projet'!$B$12,Paramètres!$A$1:$I$89,3,0)*0.475*44/12</f>
        <v>1.6419003803970016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14.674913858923215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>
        <f>CT118*VLOOKUP('Données projet'!$B$13,Paramètres!$A$1:$I$89,3,0)*VLOOKUP('Données projet'!$B$13,Paramètres!$A$1:$I$89,5,0)</f>
        <v>0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66.561949299871912</v>
      </c>
      <c r="CZ118" s="62">
        <f t="shared" si="96"/>
        <v>382.65744918271389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13.884844424835102</v>
      </c>
      <c r="DG118" s="23">
        <f>EXP(-LN(2)/25)*DG117+(1-EXP(-LN(2)/25))/(LN(2)/25)*Calculateur!DB118*Calculateur!DD118*VLOOKUP('Données projet'!$B$13,Paramètres!$A$1:$I$89,3,0)*0.475*44/12</f>
        <v>1.7492141307497464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15.634058555584847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>
        <f>DO118*VLOOKUP('Données projet'!$B$14,Paramètres!$A$1:$I$89,3,0)*VLOOKUP('Données projet'!$B$14,Paramètres!$A$1:$I$89,5,0)</f>
        <v>0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60.532656778089574</v>
      </c>
      <c r="DU118" s="62">
        <f t="shared" si="98"/>
        <v>348.96823267563025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12.701616233660827</v>
      </c>
      <c r="EB118" s="23">
        <f>EXP(-LN(2)/25)*EB117+(1-EXP(-LN(2)/25))/(LN(2)/25)*Calculateur!DW118*Calculateur!DY118*VLOOKUP('Données projet'!$B$14,Paramètres!$A$1:$I$89,3,0)*0.475*44/12</f>
        <v>1.6001509213556599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14.301767155016487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59.354879999999866</v>
      </c>
      <c r="D119" s="12">
        <f t="shared" si="86"/>
        <v>17.005059958522384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589.4451505570139</v>
      </c>
      <c r="H119" s="70">
        <f t="shared" si="56"/>
        <v>426.32689542775955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74.209918391015606</v>
      </c>
      <c r="T119" s="62">
        <f t="shared" si="88"/>
        <v>422.59746235438649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14.990530745261594</v>
      </c>
      <c r="AA119" s="23">
        <f>EXP(-LN(2)/25)*AA118+(1-EXP(-LN(2)/25))/(LN(2)/25)*Calculateur!V119*Calculateur!X119*VLOOKUP('Données projet'!$B$9,Paramètres!$A$1:$I$89,3,0)*0.475*44/12</f>
        <v>1.8736075411970647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16.864138286458658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65.6337514911271</v>
      </c>
      <c r="AO119" s="62">
        <f t="shared" si="90"/>
        <v>377.81060908047425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13.445545682379478</v>
      </c>
      <c r="AV119" s="23">
        <f>EXP(-LN(2)/25)*AV118+(1-EXP(-LN(2)/25))/(LN(2)/25)*Calculateur!AQ119*Calculateur!AS119*VLOOKUP('Données projet'!$B$10,Paramètres!$A$1:$I$89,3,0)*0.475*44/12</f>
        <v>1.6805059283160291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15.126051610695507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66.622529958850123</v>
      </c>
      <c r="BJ119" s="62">
        <f t="shared" si="92"/>
        <v>374.90853633180166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13.345559236991923</v>
      </c>
      <c r="BQ119" s="23">
        <f>EXP(-LN(2)/25)*BQ118+(1-EXP(-LN(2)/25))/(LN(2)/25)*Calculateur!BL119*Calculateur!BN119*VLOOKUP('Données projet'!$B$11,Paramètres!$A$1:$I$89,3,0)*0.475*44/12</f>
        <v>1.6680090153461644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15.013568252338088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61.91827157428213</v>
      </c>
      <c r="CE119" s="62">
        <f t="shared" si="94"/>
        <v>358.41033295847001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12.777444033565603</v>
      </c>
      <c r="CL119" s="23">
        <f>EXP(-LN(2)/25)*CL118+(1-EXP(-LN(2)/25))/(LN(2)/25)*Calculateur!CG119*Calculateur!CI119*VLOOKUP('Données projet'!$B$12,Paramètres!$A$1:$I$89,3,0)*0.475*44/12</f>
        <v>1.5970025281512572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14.37444656171686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66.561949299871912</v>
      </c>
      <c r="CZ119" s="62">
        <f t="shared" si="96"/>
        <v>382.65744918271389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13.612571094582949</v>
      </c>
      <c r="DG119" s="23">
        <f>EXP(-LN(2)/25)*DG118+(1-EXP(-LN(2)/25))/(LN(2)/25)*Calculateur!DB119*Calculateur!DD119*VLOOKUP('Données projet'!$B$13,Paramètres!$A$1:$I$89,3,0)*0.475*44/12</f>
        <v>1.7013817783572214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15.31395287294017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>
        <f>DO119*VLOOKUP('Données projet'!$B$14,Paramètres!$A$1:$I$89,3,0)*VLOOKUP('Données projet'!$B$14,Paramètres!$A$1:$I$89,5,0)</f>
        <v>0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60.532656778089574</v>
      </c>
      <c r="DU119" s="62">
        <f t="shared" si="98"/>
        <v>348.96823267563025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12.452545286539666</v>
      </c>
      <c r="EB119" s="23">
        <f>EXP(-LN(2)/25)*EB118+(1-EXP(-LN(2)/25))/(LN(2)/25)*Calculateur!DW119*Calculateur!DY119*VLOOKUP('Données projet'!$B$14,Paramètres!$A$1:$I$89,3,0)*0.475*44/12</f>
        <v>1.5563947102629097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14.008939996802575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59.866559999999865</v>
      </c>
      <c r="D120" s="12">
        <f t="shared" si="86"/>
        <v>17.134526823284808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594.39435442535546</v>
      </c>
      <c r="H120" s="70">
        <f t="shared" si="56"/>
        <v>427.44355955055414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74.209918391015606</v>
      </c>
      <c r="T120" s="62">
        <f t="shared" si="88"/>
        <v>422.59746235438649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14.696575580667941</v>
      </c>
      <c r="AA120" s="23">
        <f>EXP(-LN(2)/25)*AA119+(1-EXP(-LN(2)/25))/(LN(2)/25)*Calculateur!V120*Calculateur!X120*VLOOKUP('Données projet'!$B$9,Paramètres!$A$1:$I$89,3,0)*0.475*44/12</f>
        <v>1.8223736444542926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16.518949225122235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65.6337514911271</v>
      </c>
      <c r="AO120" s="62">
        <f t="shared" si="90"/>
        <v>377.81060908047425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13.181886732521104</v>
      </c>
      <c r="AV120" s="23">
        <f>EXP(-LN(2)/25)*AV119+(1-EXP(-LN(2)/25))/(LN(2)/25)*Calculateur!AQ120*Calculateur!AS120*VLOOKUP('Données projet'!$B$10,Paramètres!$A$1:$I$89,3,0)*0.475*44/12</f>
        <v>1.6345524053322613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14.816439137853365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66.622529958850123</v>
      </c>
      <c r="BJ120" s="62">
        <f t="shared" si="92"/>
        <v>374.90853633180166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13.083860960341889</v>
      </c>
      <c r="BQ120" s="23">
        <f>EXP(-LN(2)/25)*BQ119+(1-EXP(-LN(2)/25))/(LN(2)/25)*Calculateur!BL120*Calculateur!BN120*VLOOKUP('Données projet'!$B$11,Paramètres!$A$1:$I$89,3,0)*0.475*44/12</f>
        <v>1.6223972211047417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14.70625818144663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61.91827157428213</v>
      </c>
      <c r="CE120" s="62">
        <f t="shared" si="94"/>
        <v>358.41033295847001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12.526886149538701</v>
      </c>
      <c r="CL120" s="23">
        <f>EXP(-LN(2)/25)*CL119+(1-EXP(-LN(2)/25))/(LN(2)/25)*Calculateur!CG120*Calculateur!CI120*VLOOKUP('Données projet'!$B$12,Paramètres!$A$1:$I$89,3,0)*0.475*44/12</f>
        <v>1.5533324100362482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14.080218559574949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66.561949299871912</v>
      </c>
      <c r="CZ120" s="62">
        <f t="shared" si="96"/>
        <v>382.65744918271389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13.345636878266706</v>
      </c>
      <c r="DG120" s="23">
        <f>EXP(-LN(2)/25)*DG119+(1-EXP(-LN(2)/25))/(LN(2)/25)*Calculateur!DB120*Calculateur!DD120*VLOOKUP('Données projet'!$B$13,Paramètres!$A$1:$I$89,3,0)*0.475*44/12</f>
        <v>1.654857404156264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15.00049428242297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>
        <f>DO120*VLOOKUP('Données projet'!$B$14,Paramètres!$A$1:$I$89,3,0)*VLOOKUP('Données projet'!$B$14,Paramètres!$A$1:$I$89,5,0)</f>
        <v>0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60.532656778089574</v>
      </c>
      <c r="DU120" s="62">
        <f t="shared" si="98"/>
        <v>348.96823267563025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12.208358468773273</v>
      </c>
      <c r="EB120" s="23">
        <f>EXP(-LN(2)/25)*EB119+(1-EXP(-LN(2)/25))/(LN(2)/25)*Calculateur!DW120*Calculateur!DY120*VLOOKUP('Données projet'!$B$14,Paramètres!$A$1:$I$89,3,0)*0.475*44/12</f>
        <v>1.5138350150635298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13.722193483836802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60.378239999999863</v>
      </c>
      <c r="D121" s="12">
        <f t="shared" si="86"/>
        <v>17.263864947507184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599.34256450707198</v>
      </c>
      <c r="H121" s="70">
        <f t="shared" si="56"/>
        <v>428.55999945024143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74.209918391015606</v>
      </c>
      <c r="T121" s="62">
        <f t="shared" si="88"/>
        <v>422.59746235438649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14.408384697557024</v>
      </c>
      <c r="AA121" s="23">
        <f>EXP(-LN(2)/25)*AA120+(1-EXP(-LN(2)/25))/(LN(2)/25)*Calculateur!V121*Calculateur!X121*VLOOKUP('Données projet'!$B$9,Paramètres!$A$1:$I$89,3,0)*0.475*44/12</f>
        <v>1.7725407413122252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16.180925438869249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65.6337514911271</v>
      </c>
      <c r="AO121" s="62">
        <f t="shared" si="90"/>
        <v>377.81060908047425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12.923397973853373</v>
      </c>
      <c r="AV121" s="23">
        <f>EXP(-LN(2)/25)*AV120+(1-EXP(-LN(2)/25))/(LN(2)/25)*Calculateur!AQ121*Calculateur!AS121*VLOOKUP('Données projet'!$B$10,Paramètres!$A$1:$I$89,3,0)*0.475*44/12</f>
        <v>1.5898554838510754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14.513253457704447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66.622529958850123</v>
      </c>
      <c r="BJ121" s="62">
        <f t="shared" si="92"/>
        <v>374.90853633180166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12.827294427276774</v>
      </c>
      <c r="BQ121" s="23">
        <f>EXP(-LN(2)/25)*BQ120+(1-EXP(-LN(2)/25))/(LN(2)/25)*Calculateur!BL121*Calculateur!BN121*VLOOKUP('Données projet'!$B$11,Paramètres!$A$1:$I$89,3,0)*0.475*44/12</f>
        <v>1.5780326837754708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14.405327111052245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61.91827157428213</v>
      </c>
      <c r="CE121" s="62">
        <f t="shared" si="94"/>
        <v>358.41033295847001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12.281241552792347</v>
      </c>
      <c r="CL121" s="23">
        <f>EXP(-LN(2)/25)*CL120+(1-EXP(-LN(2)/25))/(LN(2)/25)*Calculateur!CG121*Calculateur!CI121*VLOOKUP('Données projet'!$B$12,Paramètres!$A$1:$I$89,3,0)*0.475*44/12</f>
        <v>1.5108564535976057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13.792098006389953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66.561949299871912</v>
      </c>
      <c r="CZ121" s="62">
        <f t="shared" si="96"/>
        <v>382.65744918271389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13.08393707911863</v>
      </c>
      <c r="DG121" s="23">
        <f>EXP(-LN(2)/25)*DG120+(1-EXP(-LN(2)/25))/(LN(2)/25)*Calculateur!DB121*Calculateur!DD121*VLOOKUP('Données projet'!$B$13,Paramètres!$A$1:$I$89,3,0)*0.475*44/12</f>
        <v>1.6096052414144424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14.693542320533073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>
        <f>DO121*VLOOKUP('Données projet'!$B$14,Paramètres!$A$1:$I$89,3,0)*VLOOKUP('Données projet'!$B$14,Paramètres!$A$1:$I$89,5,0)</f>
        <v>0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60.532656778089574</v>
      </c>
      <c r="DU121" s="62">
        <f t="shared" si="98"/>
        <v>348.96823267563025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11.968960005564028</v>
      </c>
      <c r="EB121" s="23">
        <f>EXP(-LN(2)/25)*EB120+(1-EXP(-LN(2)/25))/(LN(2)/25)*Calculateur!DW121*Calculateur!DY121*VLOOKUP('Données projet'!$B$14,Paramètres!$A$1:$I$89,3,0)*0.475*44/12</f>
        <v>1.472439116967494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13.441399122531521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60.889919999999861</v>
      </c>
      <c r="D122" s="12">
        <f t="shared" si="86"/>
        <v>17.393075548634652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604.28979019998576</v>
      </c>
      <c r="H122" s="70">
        <f t="shared" si="56"/>
        <v>429.67621724720505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74.209918391015606</v>
      </c>
      <c r="T122" s="62">
        <f t="shared" si="88"/>
        <v>422.59746235438649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14.125845061884828</v>
      </c>
      <c r="AA122" s="23">
        <f>EXP(-LN(2)/25)*AA121+(1-EXP(-LN(2)/25))/(LN(2)/25)*Calculateur!V122*Calculateur!X122*VLOOKUP('Données projet'!$B$9,Paramètres!$A$1:$I$89,3,0)*0.475*44/12</f>
        <v>1.7240705215271759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15.849915583412004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65.6337514911271</v>
      </c>
      <c r="AO122" s="62">
        <f t="shared" si="90"/>
        <v>377.81060908047425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12.66997802208054</v>
      </c>
      <c r="AV122" s="23">
        <f>EXP(-LN(2)/25)*AV121+(1-EXP(-LN(2)/25))/(LN(2)/25)*Calculateur!AQ122*Calculateur!AS122*VLOOKUP('Données projet'!$B$10,Paramètres!$A$1:$I$89,3,0)*0.475*44/12</f>
        <v>1.5463808020383016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14.216358824118842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66.622529958850123</v>
      </c>
      <c r="BJ122" s="62">
        <f t="shared" si="92"/>
        <v>374.90853633180166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12.575759007434934</v>
      </c>
      <c r="BQ122" s="23">
        <f>EXP(-LN(2)/25)*BQ121+(1-EXP(-LN(2)/25))/(LN(2)/25)*Calculateur!BL122*Calculateur!BN122*VLOOKUP('Données projet'!$B$11,Paramètres!$A$1:$I$89,3,0)*0.475*44/12</f>
        <v>1.5348812970524983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14.110640304487433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61.91827157428213</v>
      </c>
      <c r="CE122" s="62">
        <f t="shared" si="94"/>
        <v>358.41033295847001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12.040413896759778</v>
      </c>
      <c r="CL122" s="23">
        <f>EXP(-LN(2)/25)*CL121+(1-EXP(-LN(2)/25))/(LN(2)/25)*Calculateur!CG122*Calculateur!CI122*VLOOKUP('Données projet'!$B$12,Paramètres!$A$1:$I$89,3,0)*0.475*44/12</f>
        <v>1.4695420044214913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13.50995590118127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66.561949299871912</v>
      </c>
      <c r="CZ122" s="62">
        <f t="shared" si="96"/>
        <v>382.65744918271389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12.827369053410733</v>
      </c>
      <c r="DG122" s="23">
        <f>EXP(-LN(2)/25)*DG121+(1-EXP(-LN(2)/25))/(LN(2)/25)*Calculateur!DB122*Calculateur!DD122*VLOOKUP('Données projet'!$B$13,Paramètres!$A$1:$I$89,3,0)*0.475*44/12</f>
        <v>1.5655905014425036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14.392959554853237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>
        <f>DO122*VLOOKUP('Données projet'!$B$14,Paramètres!$A$1:$I$89,3,0)*VLOOKUP('Données projet'!$B$14,Paramètres!$A$1:$I$89,5,0)</f>
        <v>0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60.532656778089574</v>
      </c>
      <c r="DU122" s="62">
        <f t="shared" si="98"/>
        <v>348.96823267563025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11.734256000199672</v>
      </c>
      <c r="EB122" s="23">
        <f>EXP(-LN(2)/25)*EB121+(1-EXP(-LN(2)/25))/(LN(2)/25)*Calculateur!DW122*Calculateur!DY122*VLOOKUP('Données projet'!$B$14,Paramètres!$A$1:$I$89,3,0)*0.475*44/12</f>
        <v>1.43217519188181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13.166431192081482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61.40159999999986</v>
      </c>
      <c r="D123" s="12">
        <f t="shared" si="86"/>
        <v>17.522159822470073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609.23604073485569</v>
      </c>
      <c r="H123" s="70">
        <f t="shared" si="56"/>
        <v>430.79221502413509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74.209918391015606</v>
      </c>
      <c r="T123" s="62">
        <f t="shared" si="88"/>
        <v>422.59746235438649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13.848845856136004</v>
      </c>
      <c r="AA123" s="23">
        <f>EXP(-LN(2)/25)*AA122+(1-EXP(-LN(2)/25))/(LN(2)/25)*Calculateur!V123*Calculateur!X123*VLOOKUP('Données projet'!$B$9,Paramètres!$A$1:$I$89,3,0)*0.475*44/12</f>
        <v>1.676925722451087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15.52577157858709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65.6337514911271</v>
      </c>
      <c r="AO123" s="62">
        <f t="shared" si="90"/>
        <v>377.81060908047425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12.421527480991065</v>
      </c>
      <c r="AV123" s="23">
        <f>EXP(-LN(2)/25)*AV122+(1-EXP(-LN(2)/25))/(LN(2)/25)*Calculateur!AQ123*Calculateur!AS123*VLOOKUP('Données projet'!$B$10,Paramètres!$A$1:$I$89,3,0)*0.475*44/12</f>
        <v>1.5040949376859323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13.925622418676998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66.622529958850123</v>
      </c>
      <c r="BJ123" s="62">
        <f t="shared" si="92"/>
        <v>374.90853633180166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12.329156043754734</v>
      </c>
      <c r="BQ123" s="23">
        <f>EXP(-LN(2)/25)*BQ122+(1-EXP(-LN(2)/25))/(LN(2)/25)*Calculateur!BL123*Calculateur!BN123*VLOOKUP('Données projet'!$B$11,Paramètres!$A$1:$I$89,3,0)*0.475*44/12</f>
        <v>1.4929098872686983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13.822065931023433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61.91827157428213</v>
      </c>
      <c r="CE123" s="62">
        <f t="shared" si="94"/>
        <v>358.41033295847001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11.804308724171644</v>
      </c>
      <c r="CL123" s="23">
        <f>EXP(-LN(2)/25)*CL122+(1-EXP(-LN(2)/25))/(LN(2)/25)*Calculateur!CG123*Calculateur!CI123*VLOOKUP('Données projet'!$B$12,Paramètres!$A$1:$I$89,3,0)*0.475*44/12</f>
        <v>1.4293573010307303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13.233666025202375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66.561949299871912</v>
      </c>
      <c r="CZ123" s="62">
        <f t="shared" si="96"/>
        <v>382.65744918271389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12.575832170195923</v>
      </c>
      <c r="DG123" s="23">
        <f>EXP(-LN(2)/25)*DG122+(1-EXP(-LN(2)/25))/(LN(2)/25)*Calculateur!DB123*Calculateur!DD123*VLOOKUP('Données projet'!$B$13,Paramètres!$A$1:$I$89,3,0)*0.475*44/12</f>
        <v>1.5227793468497319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14.098611517045654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>
        <f>DO123*VLOOKUP('Données projet'!$B$14,Paramètres!$A$1:$I$89,3,0)*VLOOKUP('Données projet'!$B$14,Paramètres!$A$1:$I$89,5,0)</f>
        <v>0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60.532656778089574</v>
      </c>
      <c r="DU123" s="62">
        <f t="shared" si="98"/>
        <v>348.96823267563025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11.504154397225202</v>
      </c>
      <c r="EB123" s="23">
        <f>EXP(-LN(2)/25)*EB122+(1-EXP(-LN(2)/25))/(LN(2)/25)*Calculateur!DW123*Calculateur!DY123*VLOOKUP('Données projet'!$B$14,Paramètres!$A$1:$I$89,3,0)*0.475*44/12</f>
        <v>1.3930122859449818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12.897166683170184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61.913279999999858</v>
      </c>
      <c r="D124" s="12">
        <f t="shared" si="86"/>
        <v>17.651118943735838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614.18132517971412</v>
      </c>
      <c r="H124" s="70">
        <f t="shared" si="56"/>
        <v>431.90799482700629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74.209918391015606</v>
      </c>
      <c r="T124" s="62">
        <f t="shared" si="88"/>
        <v>422.59746235438649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13.57727843585908</v>
      </c>
      <c r="AA124" s="23">
        <f>EXP(-LN(2)/25)*AA123+(1-EXP(-LN(2)/25))/(LN(2)/25)*Calculateur!V124*Calculateur!X124*VLOOKUP('Données projet'!$B$9,Paramètres!$A$1:$I$89,3,0)*0.475*44/12</f>
        <v>1.6310701003849708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15.208348536244051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65.6337514911271</v>
      </c>
      <c r="AO124" s="62">
        <f t="shared" si="90"/>
        <v>377.81060908047425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12.177948903472489</v>
      </c>
      <c r="AV124" s="23">
        <f>EXP(-LN(2)/25)*AV123+(1-EXP(-LN(2)/25))/(LN(2)/25)*Calculateur!AQ124*Calculateur!AS124*VLOOKUP('Données projet'!$B$10,Paramètres!$A$1:$I$89,3,0)*0.475*44/12</f>
        <v>1.4629653825179953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13.640914285990483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66.622529958850123</v>
      </c>
      <c r="BJ124" s="62">
        <f t="shared" si="92"/>
        <v>374.90853633180166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12.087388813779349</v>
      </c>
      <c r="BQ124" s="23">
        <f>EXP(-LN(2)/25)*BQ123+(1-EXP(-LN(2)/25))/(LN(2)/25)*Calculateur!BL124*Calculateur!BN124*VLOOKUP('Données projet'!$B$11,Paramètres!$A$1:$I$89,3,0)*0.475*44/12</f>
        <v>1.4520861878926168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13.539475001671965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61.91827157428213</v>
      </c>
      <c r="CE124" s="62">
        <f t="shared" si="94"/>
        <v>358.41033295847001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11.572833430008027</v>
      </c>
      <c r="CL124" s="23">
        <f>EXP(-LN(2)/25)*CL123+(1-EXP(-LN(2)/25))/(LN(2)/25)*Calculateur!CG124*Calculateur!CI124*VLOOKUP('Données projet'!$B$12,Paramètres!$A$1:$I$89,3,0)*0.475*44/12</f>
        <v>1.3902714504674114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12.963104880475438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66.561949299871912</v>
      </c>
      <c r="CZ124" s="62">
        <f t="shared" si="96"/>
        <v>382.65744918271389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12.329227771838607</v>
      </c>
      <c r="DG124" s="23">
        <f>EXP(-LN(2)/25)*DG123+(1-EXP(-LN(2)/25))/(LN(2)/25)*Calculateur!DB124*Calculateur!DD124*VLOOKUP('Données projet'!$B$13,Paramètres!$A$1:$I$89,3,0)*0.475*44/12</f>
        <v>1.4811388655306406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13.810366637369247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>
        <f>DO124*VLOOKUP('Données projet'!$B$14,Paramètres!$A$1:$I$89,3,0)*VLOOKUP('Données projet'!$B$14,Paramètres!$A$1:$I$89,5,0)</f>
        <v>0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60.532656778089574</v>
      </c>
      <c r="DU124" s="62">
        <f t="shared" si="98"/>
        <v>348.96823267563025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11.278564946336942</v>
      </c>
      <c r="EB124" s="23">
        <f>EXP(-LN(2)/25)*EB123+(1-EXP(-LN(2)/25))/(LN(2)/25)*Calculateur!DW124*Calculateur!DY124*VLOOKUP('Données projet'!$B$14,Paramètres!$A$1:$I$89,3,0)*0.475*44/12</f>
        <v>1.3549202917304839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12.633485238067426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62.424959999999857</v>
      </c>
      <c r="D125" s="12">
        <f t="shared" si="86"/>
        <v>17.779954066616529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619.1256524440563</v>
      </c>
      <c r="H125" s="70">
        <f t="shared" si="56"/>
        <v>433.02355866602352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74.209918391015606</v>
      </c>
      <c r="T125" s="62">
        <f t="shared" si="88"/>
        <v>422.59746235438649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13.311036287054018</v>
      </c>
      <c r="AA125" s="23">
        <f>EXP(-LN(2)/25)*AA124+(1-EXP(-LN(2)/25))/(LN(2)/25)*Calculateur!V125*Calculateur!X125*VLOOKUP('Données projet'!$B$9,Paramètres!$A$1:$I$89,3,0)*0.475*44/12</f>
        <v>1.586468402715695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14.897504689769713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65.6337514911271</v>
      </c>
      <c r="AO125" s="62">
        <f t="shared" si="90"/>
        <v>377.81060908047425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11.939146753290789</v>
      </c>
      <c r="AV125" s="23">
        <f>EXP(-LN(2)/25)*AV124+(1-EXP(-LN(2)/25))/(LN(2)/25)*Calculateur!AQ125*Calculateur!AS125*VLOOKUP('Données projet'!$B$10,Paramètres!$A$1:$I$89,3,0)*0.475*44/12</f>
        <v>1.4229605171990349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13.362107270489824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66.622529958850123</v>
      </c>
      <c r="BJ125" s="62">
        <f t="shared" si="92"/>
        <v>374.90853633180166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11.850362491720331</v>
      </c>
      <c r="BQ125" s="23">
        <f>EXP(-LN(2)/25)*BQ124+(1-EXP(-LN(2)/25))/(LN(2)/25)*Calculateur!BL125*Calculateur!BN125*VLOOKUP('Données projet'!$B$11,Paramètres!$A$1:$I$89,3,0)*0.475*44/12</f>
        <v>1.4123788147227994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13.262741306443131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61.91827157428213</v>
      </c>
      <c r="CE125" s="62">
        <f t="shared" si="94"/>
        <v>358.41033295847001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11.345897225176969</v>
      </c>
      <c r="CL125" s="23">
        <f>EXP(-LN(2)/25)*CL124+(1-EXP(-LN(2)/25))/(LN(2)/25)*Calculateur!CG125*Calculateur!CI125*VLOOKUP('Données projet'!$B$12,Paramètres!$A$1:$I$89,3,0)*0.475*44/12</f>
        <v>1.3522544045431819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12.698151629720151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66.561949299871912</v>
      </c>
      <c r="CZ125" s="62">
        <f t="shared" si="96"/>
        <v>382.65744918271389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12.087459135319246</v>
      </c>
      <c r="DG125" s="23">
        <f>EXP(-LN(2)/25)*DG124+(1-EXP(-LN(2)/25))/(LN(2)/25)*Calculateur!DB125*Calculateur!DD125*VLOOKUP('Données projet'!$B$13,Paramètres!$A$1:$I$89,3,0)*0.475*44/12</f>
        <v>1.4406370453629975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13.528096180682244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>
        <f>DO125*VLOOKUP('Données projet'!$B$14,Paramètres!$A$1:$I$89,3,0)*VLOOKUP('Données projet'!$B$14,Paramètres!$A$1:$I$89,5,0)</f>
        <v>0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60.532656778089574</v>
      </c>
      <c r="DU125" s="62">
        <f t="shared" si="98"/>
        <v>348.96823267563025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11.057399166984624</v>
      </c>
      <c r="EB125" s="23">
        <f>EXP(-LN(2)/25)*EB124+(1-EXP(-LN(2)/25))/(LN(2)/25)*Calculateur!DW125*Calculateur!DY125*VLOOKUP('Données projet'!$B$14,Paramètres!$A$1:$I$89,3,0)*0.475*44/12</f>
        <v>1.3178699251009525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12.375269092085576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62.936639999999855</v>
      </c>
      <c r="D126" s="12">
        <f t="shared" si="86"/>
        <v>17.908666325283399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624.06903128288832</v>
      </c>
      <c r="H126" s="70">
        <f t="shared" si="56"/>
        <v>434.13890851653497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74.209918391015606</v>
      </c>
      <c r="T126" s="62">
        <f t="shared" si="88"/>
        <v>422.59746235438649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13.050014984395345</v>
      </c>
      <c r="AA126" s="23">
        <f>EXP(-LN(2)/25)*AA125+(1-EXP(-LN(2)/25))/(LN(2)/25)*Calculateur!V126*Calculateur!X126*VLOOKUP('Données projet'!$B$9,Paramètres!$A$1:$I$89,3,0)*0.475*44/12</f>
        <v>1.5430863408146869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14.593101325210032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65.6337514911271</v>
      </c>
      <c r="AO126" s="62">
        <f t="shared" si="90"/>
        <v>377.81060908047425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11.705027367619222</v>
      </c>
      <c r="AV126" s="23">
        <f>EXP(-LN(2)/25)*AV125+(1-EXP(-LN(2)/25))/(LN(2)/25)*Calculateur!AQ126*Calculateur!AS126*VLOOKUP('Données projet'!$B$10,Paramètres!$A$1:$I$89,3,0)*0.475*44/12</f>
        <v>1.3840495870259859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13.089076954645208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66.622529958850123</v>
      </c>
      <c r="BJ126" s="62">
        <f t="shared" si="92"/>
        <v>374.90853633180166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11.617984111265109</v>
      </c>
      <c r="BQ126" s="23">
        <f>EXP(-LN(2)/25)*BQ125+(1-EXP(-LN(2)/25))/(LN(2)/25)*Calculateur!BL126*Calculateur!BN126*VLOOKUP('Données projet'!$B$11,Paramètres!$A$1:$I$89,3,0)*0.475*44/12</f>
        <v>1.3737572417604307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12.991741353025539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61.91827157428213</v>
      </c>
      <c r="CE126" s="62">
        <f t="shared" si="94"/>
        <v>358.41033295847001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11.123411100905232</v>
      </c>
      <c r="CL126" s="23">
        <f>EXP(-LN(2)/25)*CL125+(1-EXP(-LN(2)/25))/(LN(2)/25)*Calculateur!CG126*Calculateur!CI126*VLOOKUP('Données projet'!$B$12,Paramètres!$A$1:$I$89,3,0)*0.475*44/12</f>
        <v>1.3152769367389801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12.438688037644212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66.561949299871912</v>
      </c>
      <c r="CZ126" s="62">
        <f t="shared" si="96"/>
        <v>382.65744918271389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11.850431434297722</v>
      </c>
      <c r="DG126" s="23">
        <f>EXP(-LN(2)/25)*DG125+(1-EXP(-LN(2)/25))/(LN(2)/25)*Calculateur!DB126*Calculateur!DD126*VLOOKUP('Données projet'!$B$13,Paramètres!$A$1:$I$89,3,0)*0.475*44/12</f>
        <v>1.4012427495977369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13.251674183895458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>
        <f>DO126*VLOOKUP('Données projet'!$B$14,Paramètres!$A$1:$I$89,3,0)*VLOOKUP('Données projet'!$B$14,Paramètres!$A$1:$I$89,5,0)</f>
        <v>0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60.532656778089574</v>
      </c>
      <c r="DU126" s="62">
        <f t="shared" si="98"/>
        <v>348.96823267563025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10.840570313667598</v>
      </c>
      <c r="EB126" s="23">
        <f>EXP(-LN(2)/25)*EB125+(1-EXP(-LN(2)/25))/(LN(2)/25)*Calculateur!DW126*Calculateur!DY126*VLOOKUP('Données projet'!$B$14,Paramètres!$A$1:$I$89,3,0)*0.475*44/12</f>
        <v>1.2818327026952996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12.122403016362897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63.448319999999853</v>
      </c>
      <c r="D127" s="12">
        <f t="shared" si="86"/>
        <v>18.037256834401116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629.01147030063919</v>
      </c>
      <c r="H127" s="70">
        <f t="shared" si="56"/>
        <v>435.25404631991501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74.209918391015606</v>
      </c>
      <c r="T127" s="62">
        <f t="shared" si="88"/>
        <v>422.59746235438649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12.794112150274534</v>
      </c>
      <c r="AA127" s="23">
        <f>EXP(-LN(2)/25)*AA126+(1-EXP(-LN(2)/25))/(LN(2)/25)*Calculateur!V127*Calculateur!X127*VLOOKUP('Données projet'!$B$9,Paramètres!$A$1:$I$89,3,0)*0.475*44/12</f>
        <v>1.5008905636777254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14.295002713952259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65.6337514911271</v>
      </c>
      <c r="AO127" s="62">
        <f t="shared" si="90"/>
        <v>377.81060908047425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11.47549892030195</v>
      </c>
      <c r="AV127" s="23">
        <f>EXP(-LN(2)/25)*AV126+(1-EXP(-LN(2)/25))/(LN(2)/25)*Calculateur!AQ127*Calculateur!AS127*VLOOKUP('Données projet'!$B$10,Paramètres!$A$1:$I$89,3,0)*0.475*44/12</f>
        <v>1.3462026782847558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12.821701598586706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66.622529958850123</v>
      </c>
      <c r="BJ127" s="62">
        <f t="shared" si="92"/>
        <v>374.90853633180166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11.390162529113796</v>
      </c>
      <c r="BQ127" s="23">
        <f>EXP(-LN(2)/25)*BQ126+(1-EXP(-LN(2)/25))/(LN(2)/25)*Calculateur!BL127*Calculateur!BN127*VLOOKUP('Données projet'!$B$11,Paramètres!$A$1:$I$89,3,0)*0.475*44/12</f>
        <v>1.336191777741738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12.726354306855534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61.91827157428213</v>
      </c>
      <c r="CE127" s="62">
        <f t="shared" si="94"/>
        <v>358.41033295847001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10.905287793827327</v>
      </c>
      <c r="CL127" s="23">
        <f>EXP(-LN(2)/25)*CL126+(1-EXP(-LN(2)/25))/(LN(2)/25)*Calculateur!CG127*Calculateur!CI127*VLOOKUP('Données projet'!$B$12,Paramètres!$A$1:$I$89,3,0)*0.475*44/12</f>
        <v>1.2793106197364446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12.184598413563771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66.561949299871912</v>
      </c>
      <c r="CZ127" s="62">
        <f t="shared" si="96"/>
        <v>382.65744918271389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11.618051701920608</v>
      </c>
      <c r="DG127" s="23">
        <f>EXP(-LN(2)/25)*DG126+(1-EXP(-LN(2)/25))/(LN(2)/25)*Calculateur!DB127*Calculateur!DD127*VLOOKUP('Données projet'!$B$13,Paramètres!$A$1:$I$89,3,0)*0.475*44/12</f>
        <v>1.3629256929218332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12.980977394842441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>
        <f>DO127*VLOOKUP('Données projet'!$B$14,Paramètres!$A$1:$I$89,3,0)*VLOOKUP('Données projet'!$B$14,Paramètres!$A$1:$I$89,5,0)</f>
        <v>0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60.532656778089574</v>
      </c>
      <c r="DU127" s="62">
        <f t="shared" si="98"/>
        <v>348.96823267563025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10.627993341911578</v>
      </c>
      <c r="EB127" s="23">
        <f>EXP(-LN(2)/25)*EB126+(1-EXP(-LN(2)/25))/(LN(2)/25)*Calculateur!DW127*Calculateur!DY127*VLOOKUP('Données projet'!$B$14,Paramètres!$A$1:$I$89,3,0)*0.475*44/12</f>
        <v>1.2467809200314444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11.874774261943022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63.959999999999852</v>
      </c>
      <c r="D128" s="12">
        <f t="shared" si="86"/>
        <v>18.165726689617916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633.95297795494412</v>
      </c>
      <c r="H128" s="70">
        <f t="shared" si="56"/>
        <v>436.36897398441761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74.209918391015606</v>
      </c>
      <c r="T128" s="62">
        <f t="shared" si="88"/>
        <v>422.59746235438649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12.543227414645518</v>
      </c>
      <c r="AA128" s="23">
        <f>EXP(-LN(2)/25)*AA127+(1-EXP(-LN(2)/25))/(LN(2)/25)*Calculateur!V128*Calculateur!X128*VLOOKUP('Données projet'!$B$9,Paramètres!$A$1:$I$89,3,0)*0.475*44/12</f>
        <v>1.4598486322855537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14.003076046931071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65.6337514911271</v>
      </c>
      <c r="AO128" s="62">
        <f t="shared" si="90"/>
        <v>377.81060908047425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11.25047138583804</v>
      </c>
      <c r="AV128" s="23">
        <f>EXP(-LN(2)/25)*AV127+(1-EXP(-LN(2)/25))/(LN(2)/25)*Calculateur!AQ128*Calculateur!AS128*VLOOKUP('Données projet'!$B$10,Paramètres!$A$1:$I$89,3,0)*0.475*44/12</f>
        <v>1.3093906952533372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12.559862081091378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66.622529958850123</v>
      </c>
      <c r="BJ128" s="62">
        <f t="shared" si="92"/>
        <v>374.90853633180166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11.166808389231027</v>
      </c>
      <c r="BQ128" s="23">
        <f>EXP(-LN(2)/25)*BQ127+(1-EXP(-LN(2)/25))/(LN(2)/25)*Calculateur!BL128*Calculateur!BN128*VLOOKUP('Données projet'!$B$11,Paramètres!$A$1:$I$89,3,0)*0.475*44/12</f>
        <v>1.2996535433121186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12.466461932543146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61.91827157428213</v>
      </c>
      <c r="CE128" s="62">
        <f t="shared" si="94"/>
        <v>358.41033295847001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10.69144175175914</v>
      </c>
      <c r="CL128" s="23">
        <f>EXP(-LN(2)/25)*CL127+(1-EXP(-LN(2)/25))/(LN(2)/25)*Calculateur!CG128*Calculateur!CI128*VLOOKUP('Données projet'!$B$12,Paramètres!$A$1:$I$89,3,0)*0.475*44/12</f>
        <v>1.24432780356373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11.935769555322869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66.561949299871912</v>
      </c>
      <c r="CZ128" s="62">
        <f t="shared" si="96"/>
        <v>382.65744918271389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11.390228794357768</v>
      </c>
      <c r="DG128" s="23">
        <f>EXP(-LN(2)/25)*DG127+(1-EXP(-LN(2)/25))/(LN(2)/25)*Calculateur!DB128*Calculateur!DD128*VLOOKUP('Données projet'!$B$13,Paramètres!$A$1:$I$89,3,0)*0.475*44/12</f>
        <v>1.3256564181757384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12.715885212533506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>
        <f>DO128*VLOOKUP('Données projet'!$B$14,Paramètres!$A$1:$I$89,3,0)*VLOOKUP('Données projet'!$B$14,Paramètres!$A$1:$I$89,5,0)</f>
        <v>0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60.532656778089574</v>
      </c>
      <c r="DU128" s="62">
        <f t="shared" si="98"/>
        <v>348.96823267563025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10.419584874912543</v>
      </c>
      <c r="EB128" s="23">
        <f>EXP(-LN(2)/25)*EB127+(1-EXP(-LN(2)/25))/(LN(2)/25)*Calculateur!DW128*Calculateur!DY128*VLOOKUP('Données projet'!$B$14,Paramètres!$A$1:$I$89,3,0)*0.475*44/12</f>
        <v>1.2126876302078256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11.632272505120369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64.47167999999985</v>
      </c>
      <c r="D129" s="12">
        <f t="shared" si="86"/>
        <v>18.294076968039381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638.89356256030294</v>
      </c>
      <c r="H129" s="70">
        <f t="shared" si="56"/>
        <v>437.48369338600162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74.209918391015606</v>
      </c>
      <c r="T129" s="62">
        <f t="shared" si="88"/>
        <v>422.59746235438649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12.297262375657606</v>
      </c>
      <c r="AA129" s="23">
        <f>EXP(-LN(2)/25)*AA128+(1-EXP(-LN(2)/25))/(LN(2)/25)*Calculateur!V129*Calculateur!X129*VLOOKUP('Données projet'!$B$9,Paramètres!$A$1:$I$89,3,0)*0.475*44/12</f>
        <v>1.4199289946656022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13.717191370323208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65.6337514911271</v>
      </c>
      <c r="AO129" s="62">
        <f t="shared" si="90"/>
        <v>377.81060908047425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11.029856504071724</v>
      </c>
      <c r="AV129" s="23">
        <f>EXP(-LN(2)/25)*AV128+(1-EXP(-LN(2)/25))/(LN(2)/25)*Calculateur!AQ129*Calculateur!AS129*VLOOKUP('Données projet'!$B$10,Paramètres!$A$1:$I$89,3,0)*0.475*44/12</f>
        <v>1.2735853378337707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12.303441841905494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66.622529958850123</v>
      </c>
      <c r="BJ129" s="62">
        <f t="shared" si="92"/>
        <v>374.90853633180166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10.947834087798785</v>
      </c>
      <c r="BQ129" s="23">
        <f>EXP(-LN(2)/25)*BQ128+(1-EXP(-LN(2)/25))/(LN(2)/25)*Calculateur!BL129*Calculateur!BN129*VLOOKUP('Données projet'!$B$11,Paramètres!$A$1:$I$89,3,0)*0.475*44/12</f>
        <v>1.2641144488244394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12.211948536623225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61.91827157428213</v>
      </c>
      <c r="CE129" s="62">
        <f t="shared" si="94"/>
        <v>358.41033295847001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10.481789100142702</v>
      </c>
      <c r="CL129" s="23">
        <f>EXP(-LN(2)/25)*CL128+(1-EXP(-LN(2)/25))/(LN(2)/25)*Calculateur!CG129*Calculateur!CI129*VLOOKUP('Données projet'!$B$12,Paramètres!$A$1:$I$89,3,0)*0.475*44/12</f>
        <v>1.2103015943389246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11.692090694481626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66.561949299871912</v>
      </c>
      <c r="CZ129" s="62">
        <f t="shared" si="96"/>
        <v>382.65744918271389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11.166873355053982</v>
      </c>
      <c r="DG129" s="23">
        <f>EXP(-LN(2)/25)*DG128+(1-EXP(-LN(2)/25))/(LN(2)/25)*Calculateur!DB129*Calculateur!DD129*VLOOKUP('Données projet'!$B$13,Paramètres!$A$1:$I$89,3,0)*0.475*44/12</f>
        <v>1.2894062737074816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12.456279628761463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>
        <f>DO129*VLOOKUP('Données projet'!$B$14,Paramètres!$A$1:$I$89,3,0)*VLOOKUP('Données projet'!$B$14,Paramètres!$A$1:$I$89,5,0)</f>
        <v>0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60.532656778089574</v>
      </c>
      <c r="DU129" s="62">
        <f t="shared" si="98"/>
        <v>348.96823267563025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10.215263170834746</v>
      </c>
      <c r="EB129" s="23">
        <f>EXP(-LN(2)/25)*EB128+(1-EXP(-LN(2)/25))/(LN(2)/25)*Calculateur!DW129*Calculateur!DY129*VLOOKUP('Données projet'!$B$14,Paramètres!$A$1:$I$89,3,0)*0.475*44/12</f>
        <v>1.1795266231873218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11.394789794022067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64.983359999999848</v>
      </c>
      <c r="D130" s="12">
        <f t="shared" si="86"/>
        <v>18.422308728686971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643.83323229161749</v>
      </c>
      <c r="H130" s="70">
        <f t="shared" si="56"/>
        <v>438.59820636912951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74.209918391015606</v>
      </c>
      <c r="T130" s="62">
        <f t="shared" si="88"/>
        <v>422.59746235438649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12.056120561060387</v>
      </c>
      <c r="AA130" s="23">
        <f>EXP(-LN(2)/25)*AA129+(1-EXP(-LN(2)/25))/(LN(2)/25)*Calculateur!V130*Calculateur!X130*VLOOKUP('Données projet'!$B$9,Paramètres!$A$1:$I$89,3,0)*0.475*44/12</f>
        <v>1.3811009616356507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13.437221522696039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65.6337514911271</v>
      </c>
      <c r="AO130" s="62">
        <f t="shared" si="90"/>
        <v>377.81060908047425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10.813567745575055</v>
      </c>
      <c r="AV130" s="23">
        <f>EXP(-LN(2)/25)*AV129+(1-EXP(-LN(2)/25))/(LN(2)/25)*Calculateur!AQ130*Calculateur!AS130*VLOOKUP('Données projet'!$B$10,Paramètres!$A$1:$I$89,3,0)*0.475*44/12</f>
        <v>1.2387590797957642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12.05232682537082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66.622529958850123</v>
      </c>
      <c r="BJ130" s="62">
        <f t="shared" si="92"/>
        <v>374.90853633180166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10.733153738856494</v>
      </c>
      <c r="BQ130" s="23">
        <f>EXP(-LN(2)/25)*BQ129+(1-EXP(-LN(2)/25))/(LN(2)/25)*Calculateur!BL130*Calculateur!BN130*VLOOKUP('Données projet'!$B$11,Paramètres!$A$1:$I$89,3,0)*0.475*44/12</f>
        <v>1.2295471727444454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11.962700911600939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61.91827157428213</v>
      </c>
      <c r="CE130" s="62">
        <f t="shared" si="94"/>
        <v>358.41033295847001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10.276247609148973</v>
      </c>
      <c r="CL130" s="23">
        <f>EXP(-LN(2)/25)*CL129+(1-EXP(-LN(2)/25))/(LN(2)/25)*Calculateur!CG130*Calculateur!CI130*VLOOKUP('Données projet'!$B$12,Paramètres!$A$1:$I$89,3,0)*0.475*44/12</f>
        <v>1.177205833594732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11.453453442743704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66.561949299871912</v>
      </c>
      <c r="CZ130" s="62">
        <f t="shared" si="96"/>
        <v>382.65744918271389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10.947897779681577</v>
      </c>
      <c r="DG130" s="23">
        <f>EXP(-LN(2)/25)*DG129+(1-EXP(-LN(2)/25))/(LN(2)/25)*Calculateur!DB130*Calculateur!DD130*VLOOKUP('Données projet'!$B$13,Paramètres!$A$1:$I$89,3,0)*0.475*44/12</f>
        <v>1.2541473913460215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12.202045171027599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>
        <f>DO130*VLOOKUP('Données projet'!$B$14,Paramètres!$A$1:$I$89,3,0)*VLOOKUP('Données projet'!$B$14,Paramètres!$A$1:$I$89,5,0)</f>
        <v>0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60.532656778089574</v>
      </c>
      <c r="DU130" s="62">
        <f t="shared" si="98"/>
        <v>348.96823267563025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10.01494809074998</v>
      </c>
      <c r="EB130" s="23">
        <f>EXP(-LN(2)/25)*EB129+(1-EXP(-LN(2)/25))/(LN(2)/25)*Calculateur!DW130*Calculateur!DY130*VLOOKUP('Données projet'!$B$14,Paramètres!$A$1:$I$89,3,0)*0.475*44/12</f>
        <v>1.1472724056476553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11.162220496397635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65.495039999999847</v>
      </c>
      <c r="D131" s="12">
        <f t="shared" si="86"/>
        <v>18.550423012941557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648.7719951876179</v>
      </c>
      <c r="H131" s="70">
        <f t="shared" si="56"/>
        <v>439.71251474753956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74.209918391015606</v>
      </c>
      <c r="T131" s="62">
        <f t="shared" si="88"/>
        <v>422.59746235438649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11.819707390365437</v>
      </c>
      <c r="AA131" s="23">
        <f>EXP(-LN(2)/25)*AA130+(1-EXP(-LN(2)/25))/(LN(2)/25)*Calculateur!V131*Calculateur!X131*VLOOKUP('Données projet'!$B$9,Paramètres!$A$1:$I$89,3,0)*0.475*44/12</f>
        <v>1.3433346832107809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13.163042073576218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65.6337514911271</v>
      </c>
      <c r="AO131" s="62">
        <f t="shared" si="90"/>
        <v>377.81060908047425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10.601520277709389</v>
      </c>
      <c r="AV131" s="23">
        <f>EXP(-LN(2)/25)*AV130+(1-EXP(-LN(2)/25))/(LN(2)/25)*Calculateur!AQ131*Calculateur!AS131*VLOOKUP('Données projet'!$B$10,Paramètres!$A$1:$I$89,3,0)*0.475*44/12</f>
        <v>1.2048851476152402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11.806405425324629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66.622529958850123</v>
      </c>
      <c r="BJ131" s="62">
        <f t="shared" si="92"/>
        <v>374.90853633180166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10.522683140614879</v>
      </c>
      <c r="BQ131" s="23">
        <f>EXP(-LN(2)/25)*BQ130+(1-EXP(-LN(2)/25))/(LN(2)/25)*Calculateur!BL131*Calculateur!BN131*VLOOKUP('Données projet'!$B$11,Paramètres!$A$1:$I$89,3,0)*0.475*44/12</f>
        <v>1.1959251406466729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11.718608281261552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61.91827157428213</v>
      </c>
      <c r="CE131" s="62">
        <f t="shared" si="94"/>
        <v>358.41033295847001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10.0747366614257</v>
      </c>
      <c r="CL131" s="23">
        <f>EXP(-LN(2)/25)*CL130+(1-EXP(-LN(2)/25))/(LN(2)/25)*Calculateur!CG131*Calculateur!CI131*VLOOKUP('Données projet'!$B$12,Paramètres!$A$1:$I$89,3,0)*0.475*44/12</f>
        <v>1.1450150781685198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11.219751739594219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66.561949299871912</v>
      </c>
      <c r="CZ131" s="62">
        <f t="shared" si="96"/>
        <v>382.65744918271389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10.733216181780312</v>
      </c>
      <c r="DG131" s="23">
        <f>EXP(-LN(2)/25)*DG130+(1-EXP(-LN(2)/25))/(LN(2)/25)*Calculateur!DB131*Calculateur!DD131*VLOOKUP('Données projet'!$B$13,Paramètres!$A$1:$I$89,3,0)*0.475*44/12</f>
        <v>1.2198526649769197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11.953068846757231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>
        <f>DO131*VLOOKUP('Données projet'!$B$14,Paramètres!$A$1:$I$89,3,0)*VLOOKUP('Données projet'!$B$14,Paramètres!$A$1:$I$89,5,0)</f>
        <v>0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60.532656778089574</v>
      </c>
      <c r="DU131" s="62">
        <f t="shared" si="98"/>
        <v>348.96823267563025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9.8185610672055432</v>
      </c>
      <c r="EB131" s="23">
        <f>EXP(-LN(2)/25)*EB130+(1-EXP(-LN(2)/25))/(LN(2)/25)*Calculateur!DW131*Calculateur!DY131*VLOOKUP('Données projet'!$B$14,Paramètres!$A$1:$I$89,3,0)*0.475*44/12</f>
        <v>1.1159001813827865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10.934461248588329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66.006719999999845</v>
      </c>
      <c r="D132" s="12">
        <f t="shared" si="86"/>
        <v>18.67842084497272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653.7098591541743</v>
      </c>
      <c r="H132" s="70">
        <f t="shared" ref="H132:H195" si="110">(B132+E132+F132)*44/12+(C132+D132)*0.475*44/12</f>
        <v>440.82662030499387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74.209918391015606</v>
      </c>
      <c r="T132" s="62">
        <f t="shared" si="88"/>
        <v>422.59746235438649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11.587930137750019</v>
      </c>
      <c r="AA132" s="23">
        <f>EXP(-LN(2)/25)*AA131+(1-EXP(-LN(2)/25))/(LN(2)/25)*Calculateur!V132*Calculateur!X132*VLOOKUP('Données projet'!$B$9,Paramètres!$A$1:$I$89,3,0)*0.475*44/12</f>
        <v>1.3066011256554813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12.894531263405501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65.6337514911271</v>
      </c>
      <c r="AO132" s="62">
        <f t="shared" si="90"/>
        <v>377.81060908047425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10.393630931352384</v>
      </c>
      <c r="AV132" s="23">
        <f>EXP(-LN(2)/25)*AV131+(1-EXP(-LN(2)/25))/(LN(2)/25)*Calculateur!AQ132*Calculateur!AS132*VLOOKUP('Données projet'!$B$10,Paramètres!$A$1:$I$89,3,0)*0.475*44/12</f>
        <v>1.1719374998915453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11.565568431243928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66.622529958850123</v>
      </c>
      <c r="BJ132" s="62">
        <f t="shared" si="92"/>
        <v>374.90853633180166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10.316339742430392</v>
      </c>
      <c r="BQ132" s="23">
        <f>EXP(-LN(2)/25)*BQ131+(1-EXP(-LN(2)/25))/(LN(2)/25)*Calculateur!BL132*Calculateur!BN132*VLOOKUP('Données projet'!$B$11,Paramètres!$A$1:$I$89,3,0)*0.475*44/12</f>
        <v>1.1632225047847198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11.479562247215112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61.91827157428213</v>
      </c>
      <c r="CE132" s="62">
        <f t="shared" si="94"/>
        <v>358.41033295847001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9.8771772204777388</v>
      </c>
      <c r="CL132" s="23">
        <f>EXP(-LN(2)/25)*CL131+(1-EXP(-LN(2)/25))/(LN(2)/25)*Calculateur!CG132*Calculateur!CI132*VLOOKUP('Données projet'!$B$12,Paramètres!$A$1:$I$89,3,0)*0.475*44/12</f>
        <v>1.1137045806422756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10.990881801120015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66.561949299871912</v>
      </c>
      <c r="CZ132" s="62">
        <f t="shared" si="96"/>
        <v>382.65744918271389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10.522744359071046</v>
      </c>
      <c r="DG132" s="23">
        <f>EXP(-LN(2)/25)*DG131+(1-EXP(-LN(2)/25))/(LN(2)/25)*Calculateur!DB132*Calculateur!DD132*VLOOKUP('Données projet'!$B$13,Paramètres!$A$1:$I$89,3,0)*0.475*44/12</f>
        <v>1.1864957297038621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11.709240088774909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>
        <f>DO132*VLOOKUP('Données projet'!$B$14,Paramètres!$A$1:$I$89,3,0)*VLOOKUP('Données projet'!$B$14,Paramètres!$A$1:$I$89,5,0)</f>
        <v>0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60.532656778089574</v>
      </c>
      <c r="DU132" s="62">
        <f t="shared" si="98"/>
        <v>348.96823267563025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9.626025073408556</v>
      </c>
      <c r="EB132" s="23">
        <f>EXP(-LN(2)/25)*EB131+(1-EXP(-LN(2)/25))/(LN(2)/25)*Calculateur!DW132*Calculateur!DY132*VLOOKUP('Données projet'!$B$14,Paramètres!$A$1:$I$89,3,0)*0.475*44/12</f>
        <v>1.0853858322402341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10.711410905648791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66.518399999999843</v>
      </c>
      <c r="D133" s="12">
        <f t="shared" ref="D133:D196" si="140">IFERROR(EXP(-1.0587+0.8836*LN(C133)+0.284),0)</f>
        <v>18.806303232154395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658.64683196750639</v>
      </c>
      <c r="H133" s="70">
        <f t="shared" si="110"/>
        <v>441.94052479600191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74.209918391015606</v>
      </c>
      <c r="T133" s="62">
        <f t="shared" ref="T133:T196" si="142">$T$3</f>
        <v>422.59746235438649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11.360697895688224</v>
      </c>
      <c r="AA133" s="23">
        <f>EXP(-LN(2)/25)*AA132+(1-EXP(-LN(2)/25))/(LN(2)/25)*Calculateur!V133*Calculateur!X133*VLOOKUP('Données projet'!$B$9,Paramètres!$A$1:$I$89,3,0)*0.475*44/12</f>
        <v>1.2708720491632652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12.631569944851488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65.6337514911271</v>
      </c>
      <c r="AO133" s="62">
        <f t="shared" ref="AO133:AO196" si="144">$AO$3</f>
        <v>377.81060908047425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10.189818168277458</v>
      </c>
      <c r="AV133" s="23">
        <f>EXP(-LN(2)/25)*AV132+(1-EXP(-LN(2)/25))/(LN(2)/25)*Calculateur!AQ133*Calculateur!AS133*VLOOKUP('Données projet'!$B$10,Paramètres!$A$1:$I$89,3,0)*0.475*44/12</f>
        <v>1.1398908073274963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11.329708975604955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66.622529958850123</v>
      </c>
      <c r="BJ133" s="62">
        <f t="shared" ref="BJ133:BJ196" si="146">$BJ$3</f>
        <v>374.90853633180166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10.114042612427257</v>
      </c>
      <c r="BQ133" s="23">
        <f>EXP(-LN(2)/25)*BQ132+(1-EXP(-LN(2)/25))/(LN(2)/25)*Calculateur!BL133*Calculateur!BN133*VLOOKUP('Données projet'!$B$11,Paramètres!$A$1:$I$89,3,0)*0.475*44/12</f>
        <v>1.1314141242201687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11.245456736647427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61.91827157428213</v>
      </c>
      <c r="CE133" s="62">
        <f t="shared" ref="CE133:CE196" si="148">$CE$3</f>
        <v>358.41033295847001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9.6834917996674061</v>
      </c>
      <c r="CL133" s="23">
        <f>EXP(-LN(2)/25)*CL132+(1-EXP(-LN(2)/25))/(LN(2)/25)*Calculateur!CG133*Calculateur!CI133*VLOOKUP('Données projet'!$B$12,Paramètres!$A$1:$I$89,3,0)*0.475*44/12</f>
        <v>1.083250270317434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10.76674206998484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66.561949299871912</v>
      </c>
      <c r="CZ133" s="62">
        <f t="shared" ref="CZ133:CZ196" si="150">$CZ$3</f>
        <v>382.65744918271389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10.316399760429974</v>
      </c>
      <c r="DG133" s="23">
        <f>EXP(-LN(2)/25)*DG132+(1-EXP(-LN(2)/25))/(LN(2)/25)*Calculateur!DB133*Calculateur!DD133*VLOOKUP('Données projet'!$B$13,Paramètres!$A$1:$I$89,3,0)*0.475*44/12</f>
        <v>1.1540509415800113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11.470450702009986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>
        <f>DO133*VLOOKUP('Données projet'!$B$14,Paramètres!$A$1:$I$89,3,0)*VLOOKUP('Données projet'!$B$14,Paramètres!$A$1:$I$89,5,0)</f>
        <v>0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60.532656778089574</v>
      </c>
      <c r="DU133" s="62">
        <f t="shared" ref="DU133:DU196" si="152">$DU$3</f>
        <v>348.96823267563025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9.4372645930145662</v>
      </c>
      <c r="EB133" s="23">
        <f>EXP(-LN(2)/25)*EB132+(1-EXP(-LN(2)/25))/(LN(2)/25)*Calculateur!DW133*Calculateur!DY133*VLOOKUP('Données projet'!$B$14,Paramètres!$A$1:$I$89,3,0)*0.475*44/12</f>
        <v>1.0557058995796647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10.492970492594232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67.030079999999842</v>
      </c>
      <c r="D134" s="12">
        <f t="shared" si="140"/>
        <v>18.934071165467319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663.58292127729044</v>
      </c>
      <c r="H134" s="70">
        <f t="shared" si="110"/>
        <v>443.0542299465219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74.209918391015606</v>
      </c>
      <c r="T134" s="62">
        <f t="shared" si="142"/>
        <v>422.59746235438649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11.137921539295279</v>
      </c>
      <c r="AA134" s="23">
        <f>EXP(-LN(2)/25)*AA133+(1-EXP(-LN(2)/25))/(LN(2)/25)*Calculateur!V134*Calculateur!X134*VLOOKUP('Données projet'!$B$9,Paramètres!$A$1:$I$89,3,0)*0.475*44/12</f>
        <v>1.2361199861466392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12.374041525441918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65.6337514911271</v>
      </c>
      <c r="AO134" s="62">
        <f t="shared" si="144"/>
        <v>377.81060908047425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9.9900020491729222</v>
      </c>
      <c r="AV134" s="23">
        <f>EXP(-LN(2)/25)*AV133+(1-EXP(-LN(2)/25))/(LN(2)/25)*Calculateur!AQ134*Calculateur!AS134*VLOOKUP('Données projet'!$B$10,Paramètres!$A$1:$I$89,3,0)*0.475*44/12</f>
        <v>1.1087204332568736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11.098722482429796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66.622529958850123</v>
      </c>
      <c r="BJ134" s="62">
        <f t="shared" si="146"/>
        <v>374.90853633180166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9.9157124057544177</v>
      </c>
      <c r="BQ134" s="23">
        <f>EXP(-LN(2)/25)*BQ133+(1-EXP(-LN(2)/25))/(LN(2)/25)*Calculateur!BL134*Calculateur!BN134*VLOOKUP('Données projet'!$B$11,Paramètres!$A$1:$I$89,3,0)*0.475*44/12</f>
        <v>1.1004755454948854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11.016187951249304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61.91827157428213</v>
      </c>
      <c r="CE134" s="62">
        <f t="shared" si="148"/>
        <v>358.41033295847001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9.4936044318227228</v>
      </c>
      <c r="CL134" s="23">
        <f>EXP(-LN(2)/25)*CL133+(1-EXP(-LN(2)/25))/(LN(2)/25)*Calculateur!CG134*Calculateur!CI134*VLOOKUP('Données projet'!$B$12,Paramètres!$A$1:$I$89,3,0)*0.475*44/12</f>
        <v>1.053628734709948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10.547233166532671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66.561949299871912</v>
      </c>
      <c r="CZ134" s="62">
        <f t="shared" si="150"/>
        <v>382.65744918271389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10.114101453510475</v>
      </c>
      <c r="DG134" s="23">
        <f>EXP(-LN(2)/25)*DG133+(1-EXP(-LN(2)/25))/(LN(2)/25)*Calculateur!DB134*Calculateur!DD134*VLOOKUP('Données projet'!$B$13,Paramètres!$A$1:$I$89,3,0)*0.475*44/12</f>
        <v>1.1224933578936045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11.23659481140408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>
        <f>DO134*VLOOKUP('Données projet'!$B$14,Paramètres!$A$1:$I$89,3,0)*VLOOKUP('Données projet'!$B$14,Paramètres!$A$1:$I$89,5,0)</f>
        <v>0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60.532656778089574</v>
      </c>
      <c r="DU134" s="62">
        <f t="shared" si="152"/>
        <v>348.96823267563025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9.2522055905085789</v>
      </c>
      <c r="EB134" s="23">
        <f>EXP(-LN(2)/25)*EB133+(1-EXP(-LN(2)/25))/(LN(2)/25)*Calculateur!DW134*Calculateur!DY134*VLOOKUP('Données projet'!$B$14,Paramètres!$A$1:$I$89,3,0)*0.475*44/12</f>
        <v>1.0268375662384983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10.279043156747077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67.54175999999984</v>
      </c>
      <c r="D135" s="12">
        <f t="shared" si="140"/>
        <v>19.06172561988889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668.51813460966741</v>
      </c>
      <c r="H135" s="70">
        <f t="shared" si="110"/>
        <v>444.16773745463951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74.209918391015606</v>
      </c>
      <c r="T135" s="62">
        <f t="shared" si="142"/>
        <v>422.59746235438649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10.919513691371039</v>
      </c>
      <c r="AA135" s="23">
        <f>EXP(-LN(2)/25)*AA134+(1-EXP(-LN(2)/25))/(LN(2)/25)*Calculateur!V135*Calculateur!X135*VLOOKUP('Données projet'!$B$9,Paramètres!$A$1:$I$89,3,0)*0.475*44/12</f>
        <v>1.2023182201207345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12.121831911491773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65.6337514911271</v>
      </c>
      <c r="AO135" s="62">
        <f t="shared" si="144"/>
        <v>377.81060908047425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9.7941042022882279</v>
      </c>
      <c r="AV135" s="23">
        <f>EXP(-LN(2)/25)*AV134+(1-EXP(-LN(2)/25))/(LN(2)/25)*Calculateur!AQ135*Calculateur!AS135*VLOOKUP('Données projet'!$B$10,Paramètres!$A$1:$I$89,3,0)*0.475*44/12</f>
        <v>1.0784024147043909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10.872506616992618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66.622529958850123</v>
      </c>
      <c r="BJ135" s="62">
        <f t="shared" si="146"/>
        <v>374.90853633180166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9.7212713334649514</v>
      </c>
      <c r="BQ135" s="23">
        <f>EXP(-LN(2)/25)*BQ134+(1-EXP(-LN(2)/25))/(LN(2)/25)*Calculateur!BL135*Calculateur!BN135*VLOOKUP('Données projet'!$B$11,Paramètres!$A$1:$I$89,3,0)*0.475*44/12</f>
        <v>1.0703829838318339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10.791654317296786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61.91827157428213</v>
      </c>
      <c r="CE135" s="62">
        <f t="shared" si="148"/>
        <v>358.41033295847001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9.3074406394416158</v>
      </c>
      <c r="CL135" s="23">
        <f>EXP(-LN(2)/25)*CL134+(1-EXP(-LN(2)/25))/(LN(2)/25)*Calculateur!CG135*Calculateur!CI135*VLOOKUP('Données projet'!$B$12,Paramètres!$A$1:$I$89,3,0)*0.475*44/12</f>
        <v>1.0248172015513775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10.332257840992993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66.561949299871912</v>
      </c>
      <c r="CZ135" s="62">
        <f t="shared" si="150"/>
        <v>382.65744918271389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9.9157700929998835</v>
      </c>
      <c r="DG135" s="23">
        <f>EXP(-LN(2)/25)*DG134+(1-EXP(-LN(2)/25))/(LN(2)/25)*Calculateur!DB135*Calculateur!DD135*VLOOKUP('Données projet'!$B$13,Paramètres!$A$1:$I$89,3,0)*0.475*44/12</f>
        <v>1.0917987179926436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11.007568810992527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>
        <f>DO135*VLOOKUP('Données projet'!$B$14,Paramètres!$A$1:$I$89,3,0)*VLOOKUP('Données projet'!$B$14,Paramètres!$A$1:$I$89,5,0)</f>
        <v>0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60.532656778089574</v>
      </c>
      <c r="DU135" s="62">
        <f t="shared" si="152"/>
        <v>348.96823267563025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9.0707754821668871</v>
      </c>
      <c r="EB135" s="23">
        <f>EXP(-LN(2)/25)*EB134+(1-EXP(-LN(2)/25))/(LN(2)/25)*Calculateur!DW135*Calculateur!DY135*VLOOKUP('Données projet'!$B$14,Paramètres!$A$1:$I$89,3,0)*0.475*44/12</f>
        <v>0.99875863899066586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10.069534121157552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68.053439999999839</v>
      </c>
      <c r="D136" s="12">
        <f t="shared" si="140"/>
        <v>19.189267554770797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673.45247937015927</v>
      </c>
      <c r="H136" s="70">
        <f t="shared" si="110"/>
        <v>445.28104899122548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74.209918391015606</v>
      </c>
      <c r="T136" s="62">
        <f t="shared" si="142"/>
        <v>422.59746235438649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10.705388688128959</v>
      </c>
      <c r="AA136" s="23">
        <f>EXP(-LN(2)/25)*AA135+(1-EXP(-LN(2)/25))/(LN(2)/25)*Calculateur!V136*Calculateur!X136*VLOOKUP('Données projet'!$B$9,Paramètres!$A$1:$I$89,3,0)*0.475*44/12</f>
        <v>1.1694407651643657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11.874829453293325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65.6337514911271</v>
      </c>
      <c r="AO136" s="62">
        <f t="shared" si="144"/>
        <v>377.81060908047425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9.6020477926950534</v>
      </c>
      <c r="AV136" s="23">
        <f>EXP(-LN(2)/25)*AV135+(1-EXP(-LN(2)/25))/(LN(2)/25)*Calculateur!AQ136*Calculateur!AS136*VLOOKUP('Données projet'!$B$10,Paramètres!$A$1:$I$89,3,0)*0.475*44/12</f>
        <v>1.048913443963581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10.650961236658635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66.622529958850123</v>
      </c>
      <c r="BJ136" s="62">
        <f t="shared" si="146"/>
        <v>374.90853633180166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9.5306431320057392</v>
      </c>
      <c r="BQ136" s="23">
        <f>EXP(-LN(2)/25)*BQ135+(1-EXP(-LN(2)/25))/(LN(2)/25)*Calculateur!BL136*Calculateur!BN136*VLOOKUP('Données projet'!$B$11,Paramètres!$A$1:$I$89,3,0)*0.475*44/12</f>
        <v>1.0411133048499577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10.571756436855697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61.91827157428213</v>
      </c>
      <c r="CE136" s="62">
        <f t="shared" si="148"/>
        <v>358.41033295847001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9.1249274054804008</v>
      </c>
      <c r="CL136" s="23">
        <f>EXP(-LN(2)/25)*CL135+(1-EXP(-LN(2)/25))/(LN(2)/25)*Calculateur!CG136*Calculateur!CI136*VLOOKUP('Données projet'!$B$12,Paramètres!$A$1:$I$89,3,0)*0.475*44/12</f>
        <v>0.9967935212821607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10.121720926762562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66.561949299871912</v>
      </c>
      <c r="CZ136" s="62">
        <f t="shared" si="150"/>
        <v>382.65744918271389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9.7213278894987205</v>
      </c>
      <c r="DG136" s="23">
        <f>EXP(-LN(2)/25)*DG135+(1-EXP(-LN(2)/25))/(LN(2)/25)*Calculateur!DB136*Calculateur!DD136*VLOOKUP('Données projet'!$B$13,Paramètres!$A$1:$I$89,3,0)*0.475*44/12</f>
        <v>1.0619434246339354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10.783271314132655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>
        <f>DO136*VLOOKUP('Données projet'!$B$14,Paramètres!$A$1:$I$89,3,0)*VLOOKUP('Données projet'!$B$14,Paramètres!$A$1:$I$89,5,0)</f>
        <v>0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60.532656778089574</v>
      </c>
      <c r="DU136" s="62">
        <f t="shared" si="152"/>
        <v>348.96823267563025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8.8929031075883369</v>
      </c>
      <c r="EB136" s="23">
        <f>EXP(-LN(2)/25)*EB135+(1-EXP(-LN(2)/25))/(LN(2)/25)*Calculateur!DW136*Calculateur!DY136*VLOOKUP('Données projet'!$B$14,Paramètres!$A$1:$I$89,3,0)*0.475*44/12</f>
        <v>0.97144753148503193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9.8643506390733684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68.565119999999837</v>
      </c>
      <c r="D137" s="12">
        <f t="shared" si="140"/>
        <v>19.316697914205022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678.38596284649373</v>
      </c>
      <c r="H137" s="70">
        <f t="shared" si="110"/>
        <v>446.39416620057341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74.209918391015606</v>
      </c>
      <c r="T137" s="62">
        <f t="shared" si="142"/>
        <v>422.59746235438649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10.495462545597102</v>
      </c>
      <c r="AA137" s="23">
        <f>EXP(-LN(2)/25)*AA136+(1-EXP(-LN(2)/25))/(LN(2)/25)*Calculateur!V137*Calculateur!X137*VLOOKUP('Données projet'!$B$9,Paramètres!$A$1:$I$89,3,0)*0.475*44/12</f>
        <v>1.1374623459427291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11.632924891539831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65.6337514911271</v>
      </c>
      <c r="AO137" s="62">
        <f t="shared" si="144"/>
        <v>377.81060908047425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9.4137574921511593</v>
      </c>
      <c r="AV137" s="23">
        <f>EXP(-LN(2)/25)*AV136+(1-EXP(-LN(2)/25))/(LN(2)/25)*Calculateur!AQ137*Calculateur!AS137*VLOOKUP('Données projet'!$B$10,Paramètres!$A$1:$I$89,3,0)*0.475*44/12</f>
        <v>1.0202308506784361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10.433988342829595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66.622529958850123</v>
      </c>
      <c r="BJ137" s="62">
        <f t="shared" si="146"/>
        <v>374.90853633180166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9.3437530333054202</v>
      </c>
      <c r="BQ137" s="23">
        <f>EXP(-LN(2)/25)*BQ136+(1-EXP(-LN(2)/25))/(LN(2)/25)*Calculateur!BL137*Calculateur!BN137*VLOOKUP('Données projet'!$B$11,Paramètres!$A$1:$I$89,3,0)*0.475*44/12</f>
        <v>1.0126440067790663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10.356397040084486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61.91827157428213</v>
      </c>
      <c r="CE137" s="62">
        <f t="shared" si="148"/>
        <v>358.41033295847001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8.945993144715084</v>
      </c>
      <c r="CL137" s="23">
        <f>EXP(-LN(2)/25)*CL136+(1-EXP(-LN(2)/25))/(LN(2)/25)*Calculateur!CG137*Calculateur!CI137*VLOOKUP('Données projet'!$B$12,Paramètres!$A$1:$I$89,3,0)*0.475*44/12</f>
        <v>0.96953615002360694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9.9155292947386915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66.561949299871912</v>
      </c>
      <c r="CZ137" s="62">
        <f t="shared" si="150"/>
        <v>382.65744918271389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9.5306985790101812</v>
      </c>
      <c r="DG137" s="23">
        <f>EXP(-LN(2)/25)*DG136+(1-EXP(-LN(2)/25))/(LN(2)/25)*Calculateur!DB137*Calculateur!DD137*VLOOKUP('Données projet'!$B$13,Paramètres!$A$1:$I$89,3,0)*0.475*44/12</f>
        <v>1.0329045258421428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10.563603104852325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>
        <f>DO137*VLOOKUP('Données projet'!$B$14,Paramètres!$A$1:$I$89,3,0)*VLOOKUP('Données projet'!$B$14,Paramètres!$A$1:$I$89,5,0)</f>
        <v>0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60.532656778089574</v>
      </c>
      <c r="DU137" s="62">
        <f t="shared" si="152"/>
        <v>348.96823267563025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8.7185187017838359</v>
      </c>
      <c r="EB137" s="23">
        <f>EXP(-LN(2)/25)*EB136+(1-EXP(-LN(2)/25))/(LN(2)/25)*Calculateur!DW137*Calculateur!DY137*VLOOKUP('Données projet'!$B$14,Paramètres!$A$1:$I$89,3,0)*0.475*44/12</f>
        <v>0.94488324765036835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9.6634019494342045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69.076799999999835</v>
      </c>
      <c r="D138" s="12">
        <f t="shared" si="140"/>
        <v>19.444017627378631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683.31859221134255</v>
      </c>
      <c r="H138" s="70">
        <f t="shared" si="110"/>
        <v>447.50709070101743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74.209918391015606</v>
      </c>
      <c r="T138" s="62">
        <f t="shared" si="142"/>
        <v>422.59746235438649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10.28965292667799</v>
      </c>
      <c r="AA138" s="23">
        <f>EXP(-LN(2)/25)*AA137+(1-EXP(-LN(2)/25))/(LN(2)/25)*Calculateur!V138*Calculateur!X138*VLOOKUP('Données projet'!$B$9,Paramètres!$A$1:$I$89,3,0)*0.475*44/12</f>
        <v>1.1063583782763802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11.396011304954371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65.6337514911271</v>
      </c>
      <c r="AO138" s="62">
        <f t="shared" si="144"/>
        <v>377.81060908047425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9.229159449555187</v>
      </c>
      <c r="AV138" s="23">
        <f>EXP(-LN(2)/25)*AV137+(1-EXP(-LN(2)/25))/(LN(2)/25)*Calculateur!AQ138*Calculateur!AS138*VLOOKUP('Données projet'!$B$10,Paramètres!$A$1:$I$89,3,0)*0.475*44/12</f>
        <v>0.99233258441502559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10.221492033970213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66.622529958850123</v>
      </c>
      <c r="BJ138" s="62">
        <f t="shared" si="146"/>
        <v>374.90853633180166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9.160527735448909</v>
      </c>
      <c r="BQ138" s="23">
        <f>EXP(-LN(2)/25)*BQ137+(1-EXP(-LN(2)/25))/(LN(2)/25)*Calculateur!BL138*Calculateur!BN138*VLOOKUP('Données projet'!$B$11,Paramètres!$A$1:$I$89,3,0)*0.475*44/12</f>
        <v>0.98495320316105883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10.145480938609968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61.91827157428213</v>
      </c>
      <c r="CE138" s="62">
        <f t="shared" si="148"/>
        <v>358.41033295847001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8.7705676756642532</v>
      </c>
      <c r="CL138" s="23">
        <f>EXP(-LN(2)/25)*CL137+(1-EXP(-LN(2)/25))/(LN(2)/25)*Calculateur!CG138*Calculateur!CI138*VLOOKUP('Données projet'!$B$12,Paramètres!$A$1:$I$89,3,0)*0.475*44/12</f>
        <v>0.94302413301552113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9.7135918086797748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66.561949299871912</v>
      </c>
      <c r="CZ138" s="62">
        <f t="shared" si="150"/>
        <v>382.65744918271389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9.3438073930279231</v>
      </c>
      <c r="DG138" s="23">
        <f>EXP(-LN(2)/25)*DG137+(1-EXP(-LN(2)/25))/(LN(2)/25)*Calculateur!DB138*Calculateur!DD138*VLOOKUP('Données projet'!$B$13,Paramètres!$A$1:$I$89,3,0)*0.475*44/12</f>
        <v>1.0046596972649011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10.348467090292825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>
        <f>DO138*VLOOKUP('Données projet'!$B$14,Paramètres!$A$1:$I$89,3,0)*VLOOKUP('Données projet'!$B$14,Paramètres!$A$1:$I$89,5,0)</f>
        <v>0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60.532656778089574</v>
      </c>
      <c r="DU138" s="62">
        <f t="shared" si="152"/>
        <v>348.96823267563025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8.5475538678131766</v>
      </c>
      <c r="EB138" s="23">
        <f>EXP(-LN(2)/25)*EB137+(1-EXP(-LN(2)/25))/(LN(2)/25)*Calculateur!DW138*Calculateur!DY138*VLOOKUP('Données projet'!$B$14,Paramètres!$A$1:$I$89,3,0)*0.475*44/12</f>
        <v>0.91904536555411864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9.4665992333672957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69.588479999999834</v>
      </c>
      <c r="D139" s="12">
        <f t="shared" si="140"/>
        <v>19.571227608917628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688.25037452497691</v>
      </c>
      <c r="H139" s="70">
        <f t="shared" si="110"/>
        <v>448.61982408553121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74.209918391015606</v>
      </c>
      <c r="T139" s="62">
        <f t="shared" si="142"/>
        <v>422.59746235438649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10.087879108854409</v>
      </c>
      <c r="AA139" s="23">
        <f>EXP(-LN(2)/25)*AA138+(1-EXP(-LN(2)/25))/(LN(2)/25)*Calculateur!V139*Calculateur!X139*VLOOKUP('Données projet'!$B$9,Paramètres!$A$1:$I$89,3,0)*0.475*44/12</f>
        <v>1.0761049502415541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11.163984059095963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65.6337514911271</v>
      </c>
      <c r="AO139" s="62">
        <f t="shared" si="144"/>
        <v>377.81060908047425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9.0481812619808331</v>
      </c>
      <c r="AV139" s="23">
        <f>EXP(-LN(2)/25)*AV138+(1-EXP(-LN(2)/25))/(LN(2)/25)*Calculateur!AQ139*Calculateur!AS139*VLOOKUP('Données projet'!$B$10,Paramètres!$A$1:$I$89,3,0)*0.475*44/12</f>
        <v>0.96519719770969414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10.013378459690527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66.622529958850123</v>
      </c>
      <c r="BJ139" s="62">
        <f t="shared" si="146"/>
        <v>374.90853633180166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8.9808953739269679</v>
      </c>
      <c r="BQ139" s="23">
        <f>EXP(-LN(2)/25)*BQ138+(1-EXP(-LN(2)/25))/(LN(2)/25)*Calculateur!BL139*Calculateur!BN139*VLOOKUP('Données projet'!$B$11,Paramètres!$A$1:$I$89,3,0)*0.475*44/12</f>
        <v>0.9580196060241819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9.93891497995115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61.91827157428213</v>
      </c>
      <c r="CE139" s="62">
        <f t="shared" si="148"/>
        <v>358.41033295847001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8.5985821930625388</v>
      </c>
      <c r="CL139" s="23">
        <f>EXP(-LN(2)/25)*CL138+(1-EXP(-LN(2)/25))/(LN(2)/25)*Calculateur!CG139*Calculateur!CI139*VLOOKUP('Données projet'!$B$12,Paramètres!$A$1:$I$89,3,0)*0.475*44/12</f>
        <v>0.9172370885067278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9.5158192815692662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66.561949299871912</v>
      </c>
      <c r="CZ139" s="62">
        <f t="shared" si="150"/>
        <v>382.65744918271389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9.1605810292104106</v>
      </c>
      <c r="DG139" s="23">
        <f>EXP(-LN(2)/25)*DG138+(1-EXP(-LN(2)/25))/(LN(2)/25)*Calculateur!DB139*Calculateur!DD139*VLOOKUP('Données projet'!$B$13,Paramètres!$A$1:$I$89,3,0)*0.475*44/12</f>
        <v>0.97718722501043509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10.137768254220846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>
        <f>DO139*VLOOKUP('Données projet'!$B$14,Paramètres!$A$1:$I$89,3,0)*VLOOKUP('Données projet'!$B$14,Paramètres!$A$1:$I$89,5,0)</f>
        <v>0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60.532656778089574</v>
      </c>
      <c r="DU139" s="62">
        <f t="shared" si="152"/>
        <v>348.96823267563025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8.3799415499584295</v>
      </c>
      <c r="EB139" s="23">
        <f>EXP(-LN(2)/25)*EB138+(1-EXP(-LN(2)/25))/(LN(2)/25)*Calculateur!DW139*Calculateur!DY139*VLOOKUP('Données projet'!$B$14,Paramètres!$A$1:$I$89,3,0)*0.475*44/12</f>
        <v>0.89391402170254597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9.2738555716609756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70.100159999999832</v>
      </c>
      <c r="D140" s="12">
        <f t="shared" si="140"/>
        <v>19.698328759220548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693.18131673784148</v>
      </c>
      <c r="H140" s="70">
        <f t="shared" si="110"/>
        <v>449.73236792230875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74.209918391015606</v>
      </c>
      <c r="T140" s="62">
        <f t="shared" si="142"/>
        <v>422.59746235438649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9.8900619525284732</v>
      </c>
      <c r="AA140" s="23">
        <f>EXP(-LN(2)/25)*AA139+(1-EXP(-LN(2)/25))/(LN(2)/25)*Calculateur!V140*Calculateur!X140*VLOOKUP('Données projet'!$B$9,Paramètres!$A$1:$I$89,3,0)*0.475*44/12</f>
        <v>1.0466788037872989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10.936740756315771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65.6337514911271</v>
      </c>
      <c r="AO140" s="62">
        <f t="shared" si="144"/>
        <v>377.81060908047425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8.8707519462790181</v>
      </c>
      <c r="AV140" s="23">
        <f>EXP(-LN(2)/25)*AV139+(1-EXP(-LN(2)/25))/(LN(2)/25)*Calculateur!AQ140*Calculateur!AS140*VLOOKUP('Données projet'!$B$10,Paramètres!$A$1:$I$89,3,0)*0.475*44/12</f>
        <v>0.93880382958080788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9.8095557758598257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66.622529958850123</v>
      </c>
      <c r="BJ140" s="62">
        <f t="shared" si="146"/>
        <v>374.90853633180166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8.8047854934495504</v>
      </c>
      <c r="BQ140" s="23">
        <f>EXP(-LN(2)/25)*BQ139+(1-EXP(-LN(2)/25))/(LN(2)/25)*Calculateur!BL140*Calculateur!BN140*VLOOKUP('Données projet'!$B$11,Paramètres!$A$1:$I$89,3,0)*0.475*44/12</f>
        <v>0.9318225095173891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9.7366080029669391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61.91827157428213</v>
      </c>
      <c r="CE140" s="62">
        <f t="shared" si="148"/>
        <v>358.41033295847001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8.4299692408738576</v>
      </c>
      <c r="CL140" s="23">
        <f>EXP(-LN(2)/25)*CL139+(1-EXP(-LN(2)/25))/(LN(2)/25)*Calculateur!CG140*Calculateur!CI140*VLOOKUP('Données projet'!$B$12,Paramètres!$A$1:$I$89,3,0)*0.475*44/12</f>
        <v>0.89215519208610927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9.3221244329599671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66.561949299871912</v>
      </c>
      <c r="CZ140" s="62">
        <f t="shared" si="150"/>
        <v>382.65744918271389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8.9809476226303122</v>
      </c>
      <c r="DG140" s="23">
        <f>EXP(-LN(2)/25)*DG139+(1-EXP(-LN(2)/25))/(LN(2)/25)*Calculateur!DB140*Calculateur!DD140*VLOOKUP('Données projet'!$B$13,Paramètres!$A$1:$I$89,3,0)*0.475*44/12</f>
        <v>0.95046598895448198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9.9314136115847944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>
        <f>DO140*VLOOKUP('Données projet'!$B$14,Paramètres!$A$1:$I$89,3,0)*VLOOKUP('Données projet'!$B$14,Paramètres!$A$1:$I$89,5,0)</f>
        <v>0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60.532656778089574</v>
      </c>
      <c r="DU140" s="62">
        <f t="shared" si="152"/>
        <v>348.96823267563025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8.2156160074233959</v>
      </c>
      <c r="EB140" s="23">
        <f>EXP(-LN(2)/25)*EB139+(1-EXP(-LN(2)/25))/(LN(2)/25)*Calculateur!DW140*Calculateur!DY140*VLOOKUP('Données projet'!$B$14,Paramètres!$A$1:$I$89,3,0)*0.475*44/12</f>
        <v>0.86946989577019451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9.0850859031935904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70.61183999999983</v>
      </c>
      <c r="D141" s="12">
        <f t="shared" si="140"/>
        <v>19.825321964781974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698.11142569305264</v>
      </c>
      <c r="H141" s="70">
        <f t="shared" si="110"/>
        <v>450.84472375532829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74.209918391015606</v>
      </c>
      <c r="T141" s="62">
        <f t="shared" si="142"/>
        <v>422.59746235438649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9.6961238699815357</v>
      </c>
      <c r="AA141" s="23">
        <f>EXP(-LN(2)/25)*AA140+(1-EXP(-LN(2)/25))/(LN(2)/25)*Calculateur!V141*Calculateur!X141*VLOOKUP('Données projet'!$B$9,Paramètres!$A$1:$I$89,3,0)*0.475*44/12</f>
        <v>1.0180573168552891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10.714181186836825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65.6337514911271</v>
      </c>
      <c r="AO141" s="62">
        <f t="shared" si="144"/>
        <v>377.81060908047425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8.6968019112369195</v>
      </c>
      <c r="AV141" s="23">
        <f>EXP(-LN(2)/25)*AV140+(1-EXP(-LN(2)/25))/(LN(2)/25)*Calculateur!AQ141*Calculateur!AS141*VLOOKUP('Données projet'!$B$10,Paramètres!$A$1:$I$89,3,0)*0.475*44/12</f>
        <v>0.91313218949137298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9.6099341007282923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66.622529958850123</v>
      </c>
      <c r="BJ141" s="62">
        <f t="shared" si="146"/>
        <v>374.90853633180166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8.6321290203118739</v>
      </c>
      <c r="BQ141" s="23">
        <f>EXP(-LN(2)/25)*BQ140+(1-EXP(-LN(2)/25))/(LN(2)/25)*Calculateur!BL141*Calculateur!BN141*VLOOKUP('Données projet'!$B$11,Paramètres!$A$1:$I$89,3,0)*0.475*44/12</f>
        <v>0.90634177399222005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9.5384707943040947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61.91827157428213</v>
      </c>
      <c r="CE141" s="62">
        <f t="shared" si="148"/>
        <v>358.41033295847001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8.2646626858338497</v>
      </c>
      <c r="CL141" s="23">
        <f>EXP(-LN(2)/25)*CL140+(1-EXP(-LN(2)/25))/(LN(2)/25)*Calculateur!CG141*Calculateur!CI141*VLOOKUP('Données projet'!$B$12,Paramètres!$A$1:$I$89,3,0)*0.475*44/12</f>
        <v>0.86775916144211207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9.1324218472759622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66.561949299871912</v>
      </c>
      <c r="CZ141" s="62">
        <f t="shared" si="150"/>
        <v>382.65744918271389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8.8048367175876905</v>
      </c>
      <c r="DG141" s="23">
        <f>EXP(-LN(2)/25)*DG140+(1-EXP(-LN(2)/25))/(LN(2)/25)*Calculateur!DB141*Calculateur!DD141*VLOOKUP('Données projet'!$B$13,Paramètres!$A$1:$I$89,3,0)*0.475*44/12</f>
        <v>0.92447544650368763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9.7293121640913789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>
        <f>DO141*VLOOKUP('Données projet'!$B$14,Paramètres!$A$1:$I$89,3,0)*VLOOKUP('Données projet'!$B$14,Paramètres!$A$1:$I$89,5,0)</f>
        <v>0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60.532656778089574</v>
      </c>
      <c r="DU141" s="62">
        <f t="shared" si="152"/>
        <v>348.96823267563025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8.0545127885487897</v>
      </c>
      <c r="EB141" s="23">
        <f>EXP(-LN(2)/25)*EB140+(1-EXP(-LN(2)/25))/(LN(2)/25)*Calculateur!DW141*Calculateur!DY141*VLOOKUP('Données projet'!$B$14,Paramètres!$A$1:$I$89,3,0)*0.475*44/12</f>
        <v>0.84569419574692395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8.9002069842957141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71.123519999999829</v>
      </c>
      <c r="D142" s="12">
        <f t="shared" si="140"/>
        <v>19.952208098506347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703.04070812881957</v>
      </c>
      <c r="H142" s="70">
        <f t="shared" si="110"/>
        <v>451.9568931048982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74.209918391015606</v>
      </c>
      <c r="T142" s="62">
        <f t="shared" si="142"/>
        <v>422.59746235438649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9.5059887949427946</v>
      </c>
      <c r="AA142" s="23">
        <f>EXP(-LN(2)/25)*AA141+(1-EXP(-LN(2)/25))/(LN(2)/25)*Calculateur!V142*Calculateur!X142*VLOOKUP('Données projet'!$B$9,Paramètres!$A$1:$I$89,3,0)*0.475*44/12</f>
        <v>0.99021848598857376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10.496207280931369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65.6337514911271</v>
      </c>
      <c r="AO142" s="62">
        <f t="shared" si="144"/>
        <v>377.81060908047425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8.5262629302829502</v>
      </c>
      <c r="AV142" s="23">
        <f>EXP(-LN(2)/25)*AV141+(1-EXP(-LN(2)/25))/(LN(2)/25)*Calculateur!AQ142*Calculateur!AS142*VLOOKUP('Données projet'!$B$10,Paramètres!$A$1:$I$89,3,0)*0.475*44/12</f>
        <v>0.88816254175019649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9.4144254720331464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66.622529958850123</v>
      </c>
      <c r="BJ142" s="62">
        <f t="shared" si="146"/>
        <v>374.90853633180166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8.4628582353023774</v>
      </c>
      <c r="BQ142" s="23">
        <f>EXP(-LN(2)/25)*BQ141+(1-EXP(-LN(2)/25))/(LN(2)/25)*Calculateur!BL142*Calculateur!BN142*VLOOKUP('Données projet'!$B$11,Paramètres!$A$1:$I$89,3,0)*0.475*44/12</f>
        <v>0.88155781051996041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9.3444160458223386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61.91827157428213</v>
      </c>
      <c r="CE142" s="62">
        <f t="shared" si="148"/>
        <v>358.41033295847001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8.102597691511134</v>
      </c>
      <c r="CL142" s="23">
        <f>EXP(-LN(2)/25)*CL141+(1-EXP(-LN(2)/25))/(LN(2)/25)*Calculateur!CG142*Calculateur!CI142*VLOOKUP('Données projet'!$B$12,Paramètres!$A$1:$I$89,3,0)*0.475*44/12</f>
        <v>0.84403024153900652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8.9466279330501397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66.561949299871912</v>
      </c>
      <c r="CZ142" s="62">
        <f t="shared" si="150"/>
        <v>382.65744918271389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8.6321792399759083</v>
      </c>
      <c r="DG142" s="23">
        <f>EXP(-LN(2)/25)*DG141+(1-EXP(-LN(2)/25))/(LN(2)/25)*Calculateur!DB142*Calculateur!DD142*VLOOKUP('Données projet'!$B$13,Paramètres!$A$1:$I$89,3,0)*0.475*44/12</f>
        <v>0.89919561680299342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9.5313748567789016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>
        <f>DO142*VLOOKUP('Données projet'!$B$14,Paramètres!$A$1:$I$89,3,0)*VLOOKUP('Données projet'!$B$14,Paramètres!$A$1:$I$89,5,0)</f>
        <v>0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60.532656778089574</v>
      </c>
      <c r="DU142" s="62">
        <f t="shared" si="152"/>
        <v>348.96823267563025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7.8965687055330536</v>
      </c>
      <c r="EB142" s="23">
        <f>EXP(-LN(2)/25)*EB141+(1-EXP(-LN(2)/25))/(LN(2)/25)*Calculateur!DW142*Calculateur!DY142*VLOOKUP('Données projet'!$B$14,Paramètres!$A$1:$I$89,3,0)*0.475*44/12</f>
        <v>0.82256864349109937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8.7191373490241535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71.635199999999827</v>
      </c>
      <c r="D143" s="12">
        <f t="shared" si="140"/>
        <v>20.078988020012602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707.96917068079767</v>
      </c>
      <c r="H143" s="70">
        <f t="shared" si="110"/>
        <v>453.06887746818825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74.209918391015606</v>
      </c>
      <c r="T143" s="62">
        <f t="shared" si="142"/>
        <v>422.59746235438649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9.3195821527546183</v>
      </c>
      <c r="AA143" s="23">
        <f>EXP(-LN(2)/25)*AA142+(1-EXP(-LN(2)/25))/(LN(2)/25)*Calculateur!V143*Calculateur!X143*VLOOKUP('Données projet'!$B$9,Paramètres!$A$1:$I$89,3,0)*0.475*44/12</f>
        <v>0.96314090941588926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10.282723062170508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65.6337514911271</v>
      </c>
      <c r="AO143" s="62">
        <f t="shared" si="144"/>
        <v>377.81060908047425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8.3590681147269823</v>
      </c>
      <c r="AV143" s="23">
        <f>EXP(-LN(2)/25)*AV142+(1-EXP(-LN(2)/25))/(LN(2)/25)*Calculateur!AQ143*Calculateur!AS143*VLOOKUP('Données projet'!$B$10,Paramètres!$A$1:$I$89,3,0)*0.475*44/12</f>
        <v>0.86387569033959921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9.2229438050665813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66.622529958850123</v>
      </c>
      <c r="BJ143" s="62">
        <f t="shared" si="146"/>
        <v>374.90853633180166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8.2969067471419322</v>
      </c>
      <c r="BQ143" s="23">
        <f>EXP(-LN(2)/25)*BQ142+(1-EXP(-LN(2)/25))/(LN(2)/25)*Calculateur!BL143*Calculateur!BN143*VLOOKUP('Données projet'!$B$11,Paramètres!$A$1:$I$89,3,0)*0.475*44/12</f>
        <v>0.85745156583218163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9.1543583129741144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61.91827157428213</v>
      </c>
      <c r="CE143" s="62">
        <f t="shared" si="148"/>
        <v>358.41033295847001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7.9437106928772012</v>
      </c>
      <c r="CL143" s="23">
        <f>EXP(-LN(2)/25)*CL142+(1-EXP(-LN(2)/25))/(LN(2)/25)*Calculateur!CG143*Calculateur!CI143*VLOOKUP('Données projet'!$B$12,Paramètres!$A$1:$I$89,3,0)*0.475*44/12</f>
        <v>0.82095019019850102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8.7646608830757025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66.561949299871912</v>
      </c>
      <c r="CZ143" s="62">
        <f t="shared" si="150"/>
        <v>382.65744918271389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8.46290747018943</v>
      </c>
      <c r="DG143" s="23">
        <f>EXP(-LN(2)/25)*DG142+(1-EXP(-LN(2)/25))/(LN(2)/25)*Calculateur!DB143*Calculateur!DD143*VLOOKUP('Données projet'!$B$13,Paramètres!$A$1:$I$89,3,0)*0.475*44/12</f>
        <v>0.8746070653748732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9.3375145355643028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>
        <f>DO143*VLOOKUP('Données projet'!$B$14,Paramètres!$A$1:$I$89,3,0)*VLOOKUP('Données projet'!$B$14,Paramètres!$A$1:$I$89,5,0)</f>
        <v>0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60.532656778089574</v>
      </c>
      <c r="DU143" s="62">
        <f t="shared" si="152"/>
        <v>348.96823267563025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7.7417218096488778</v>
      </c>
      <c r="EB143" s="23">
        <f>EXP(-LN(2)/25)*EB142+(1-EXP(-LN(2)/25))/(LN(2)/25)*Calculateur!DW143*Calculateur!DY143*VLOOKUP('Données projet'!$B$14,Paramètres!$A$1:$I$89,3,0)*0.475*44/12</f>
        <v>0.80007546067783031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8.5417972703267075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72.146879999999825</v>
      </c>
      <c r="D144" s="12">
        <f t="shared" si="140"/>
        <v>20.205662575929779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712.89681988436894</v>
      </c>
      <c r="H144" s="70">
        <f t="shared" si="110"/>
        <v>454.18067831974406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74.209918391015606</v>
      </c>
      <c r="T144" s="62">
        <f t="shared" si="142"/>
        <v>422.59746235438649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9.1368308311229267</v>
      </c>
      <c r="AA144" s="23">
        <f>EXP(-LN(2)/25)*AA143+(1-EXP(-LN(2)/25))/(LN(2)/25)*Calculateur!V144*Calculateur!X144*VLOOKUP('Données projet'!$B$9,Paramètres!$A$1:$I$89,3,0)*0.475*44/12</f>
        <v>0.93680377059853259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10.073634601721459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65.6337514911271</v>
      </c>
      <c r="AO144" s="62">
        <f t="shared" si="144"/>
        <v>377.81060908047425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8.1951518875252987</v>
      </c>
      <c r="AV144" s="23">
        <f>EXP(-LN(2)/25)*AV143+(1-EXP(-LN(2)/25))/(LN(2)/25)*Calculateur!AQ144*Calculateur!AS144*VLOOKUP('Données projet'!$B$10,Paramètres!$A$1:$I$89,3,0)*0.475*44/12</f>
        <v>0.84025296415801476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9.0354048516833139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66.622529958850123</v>
      </c>
      <c r="BJ144" s="62">
        <f t="shared" si="146"/>
        <v>374.90853633180166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8.1342094664439006</v>
      </c>
      <c r="BQ144" s="23">
        <f>EXP(-LN(2)/25)*BQ143+(1-EXP(-LN(2)/25))/(LN(2)/25)*Calculateur!BL144*Calculateur!BN144*VLOOKUP('Données projet'!$B$11,Paramètres!$A$1:$I$89,3,0)*0.475*44/12</f>
        <v>0.83400450767308254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8.9682139741169831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61.91827157428213</v>
      </c>
      <c r="CE144" s="62">
        <f t="shared" si="148"/>
        <v>358.41033295847001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7.7879393713749794</v>
      </c>
      <c r="CL144" s="23">
        <f>EXP(-LN(2)/25)*CL143+(1-EXP(-LN(2)/25))/(LN(2)/25)*Calculateur!CG144*Calculateur!CI144*VLOOKUP('Données projet'!$B$12,Paramètres!$A$1:$I$89,3,0)*0.475*44/12</f>
        <v>0.79850126407562882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8.5864406354506073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66.561949299871912</v>
      </c>
      <c r="CZ144" s="62">
        <f t="shared" si="150"/>
        <v>382.65744918271389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8.2969550165628796</v>
      </c>
      <c r="DG144" s="23">
        <f>EXP(-LN(2)/25)*DG143+(1-EXP(-LN(2)/25))/(LN(2)/25)*Calculateur!DB144*Calculateur!DD144*VLOOKUP('Données projet'!$B$13,Paramètres!$A$1:$I$89,3,0)*0.475*44/12</f>
        <v>0.85069088917861069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9.1476459057414896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>
        <f>DO144*VLOOKUP('Données projet'!$B$14,Paramètres!$A$1:$I$89,3,0)*VLOOKUP('Données projet'!$B$14,Paramètres!$A$1:$I$89,5,0)</f>
        <v>0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60.532656778089574</v>
      </c>
      <c r="DU144" s="62">
        <f t="shared" si="152"/>
        <v>348.96823267563025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7.5899113669457101</v>
      </c>
      <c r="EB144" s="23">
        <f>EXP(-LN(2)/25)*EB143+(1-EXP(-LN(2)/25))/(LN(2)/25)*Calculateur!DW144*Calculateur!DY144*VLOOKUP('Données projet'!$B$14,Paramètres!$A$1:$I$89,3,0)*0.475*44/12</f>
        <v>0.77819735513145516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8.3681087220771655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72.658559999999824</v>
      </c>
      <c r="D145" s="12">
        <f t="shared" si="140"/>
        <v>20.33223260018395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717.82366217685728</v>
      </c>
      <c r="H145" s="70">
        <f t="shared" si="110"/>
        <v>455.29229711198673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74.209918391015606</v>
      </c>
      <c r="T145" s="62">
        <f t="shared" si="142"/>
        <v>422.59746235438649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8.9576631514411336</v>
      </c>
      <c r="AA145" s="23">
        <f>EXP(-LN(2)/25)*AA144+(1-EXP(-LN(2)/25))/(LN(2)/25)*Calculateur!V145*Calculateur!X145*VLOOKUP('Données projet'!$B$9,Paramètres!$A$1:$I$89,3,0)*0.475*44/12</f>
        <v>0.91118682222714653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9.8688499736682793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65.6337514911271</v>
      </c>
      <c r="AO145" s="62">
        <f t="shared" si="144"/>
        <v>377.81060908047425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8.0344499575600139</v>
      </c>
      <c r="AV145" s="23">
        <f>EXP(-LN(2)/25)*AV144+(1-EXP(-LN(2)/25))/(LN(2)/25)*Calculateur!AQ145*Calculateur!AS145*VLOOKUP('Données projet'!$B$10,Paramètres!$A$1:$I$89,3,0)*0.475*44/12</f>
        <v>0.81727620266613088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8.8517261602261446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66.622529958850123</v>
      </c>
      <c r="BJ145" s="62">
        <f t="shared" si="146"/>
        <v>374.90853633180166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7.9747025801848146</v>
      </c>
      <c r="BQ145" s="23">
        <f>EXP(-LN(2)/25)*BQ144+(1-EXP(-LN(2)/25))/(LN(2)/25)*Calculateur!BL145*Calculateur!BN145*VLOOKUP('Données projet'!$B$11,Paramètres!$A$1:$I$89,3,0)*0.475*44/12</f>
        <v>0.81119861055237119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8.7859011907371851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61.91827157428213</v>
      </c>
      <c r="CE145" s="62">
        <f t="shared" si="148"/>
        <v>358.41033295847001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7.6352226304762922</v>
      </c>
      <c r="CL145" s="23">
        <f>EXP(-LN(2)/25)*CL144+(1-EXP(-LN(2)/25))/(LN(2)/25)*Calculateur!CG145*Calculateur!CI145*VLOOKUP('Données projet'!$B$12,Paramètres!$A$1:$I$89,3,0)*0.475*44/12</f>
        <v>0.77666620501812422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8.4118888354944161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66.561949299871912</v>
      </c>
      <c r="CZ145" s="62">
        <f t="shared" si="150"/>
        <v>382.65744918271389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8.1342567893309443</v>
      </c>
      <c r="DG145" s="23">
        <f>EXP(-LN(2)/25)*DG144+(1-EXP(-LN(2)/25))/(LN(2)/25)*Calculateur!DB145*Calculateur!DD145*VLOOKUP('Données projet'!$B$13,Paramètres!$A$1:$I$89,3,0)*0.475*44/12</f>
        <v>0.82742870207813202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8.9616854914090762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>
        <f>DO145*VLOOKUP('Données projet'!$B$14,Paramètres!$A$1:$I$89,3,0)*VLOOKUP('Données projet'!$B$14,Paramètres!$A$1:$I$89,5,0)</f>
        <v>0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60.532656778089574</v>
      </c>
      <c r="DU145" s="62">
        <f t="shared" si="152"/>
        <v>348.96823267563025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7.4410778344287243</v>
      </c>
      <c r="EB145" s="23">
        <f>EXP(-LN(2)/25)*EB144+(1-EXP(-LN(2)/25))/(LN(2)/25)*Calculateur!DW145*Calculateur!DY145*VLOOKUP('Données projet'!$B$14,Paramètres!$A$1:$I$89,3,0)*0.475*44/12</f>
        <v>0.75691750753176523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8.197995341960489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73.170239999999822</v>
      </c>
      <c r="D146" s="12">
        <f t="shared" si="140"/>
        <v>20.458698914277004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722.74970389968087</v>
      </c>
      <c r="H146" s="70">
        <f t="shared" si="110"/>
        <v>456.40373527569875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74.209918391015606</v>
      </c>
      <c r="T146" s="62">
        <f t="shared" si="142"/>
        <v>422.59746235438649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8.7820088406764061</v>
      </c>
      <c r="AA146" s="23">
        <f>EXP(-LN(2)/25)*AA145+(1-EXP(-LN(2)/25))/(LN(2)/25)*Calculateur!V146*Calculateur!X146*VLOOKUP('Données projet'!$B$9,Paramètres!$A$1:$I$89,3,0)*0.475*44/12</f>
        <v>0.8862703706561128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9.6682792113325196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65.6337514911271</v>
      </c>
      <c r="AO146" s="62">
        <f t="shared" si="144"/>
        <v>377.81060908047425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7.8768992944228486</v>
      </c>
      <c r="AV146" s="23">
        <f>EXP(-LN(2)/25)*AV145+(1-EXP(-LN(2)/25))/(LN(2)/25)*Calculateur!AQ146*Calculateur!AS146*VLOOKUP('Données projet'!$B$10,Paramètres!$A$1:$I$89,3,0)*0.475*44/12</f>
        <v>0.79492774192553795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8.671827036348386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66.622529958850123</v>
      </c>
      <c r="BJ146" s="62">
        <f t="shared" si="146"/>
        <v>374.90853633180166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7.8183235266756759</v>
      </c>
      <c r="BQ146" s="23">
        <f>EXP(-LN(2)/25)*BQ145+(1-EXP(-LN(2)/25))/(LN(2)/25)*Calculateur!BL146*Calculateur!BN146*VLOOKUP('Données projet'!$B$11,Paramètres!$A$1:$I$89,3,0)*0.475*44/12</f>
        <v>0.78901634188773573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8.607339868563411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61.91827157428213</v>
      </c>
      <c r="CE146" s="62">
        <f t="shared" si="148"/>
        <v>358.41033295847001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7.4855005717186138</v>
      </c>
      <c r="CL146" s="23">
        <f>EXP(-LN(2)/25)*CL145+(1-EXP(-LN(2)/25))/(LN(2)/25)*Calculateur!CG146*Calculateur!CI146*VLOOKUP('Données projet'!$B$12,Paramètres!$A$1:$I$89,3,0)*0.475*44/12</f>
        <v>0.75542822679880295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8.240928798517416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66.561949299871912</v>
      </c>
      <c r="CZ146" s="62">
        <f t="shared" si="150"/>
        <v>382.65744918271389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7.9747489750989073</v>
      </c>
      <c r="DG146" s="23">
        <f>EXP(-LN(2)/25)*DG145+(1-EXP(-LN(2)/25))/(LN(2)/25)*Calculateur!DB146*Calculateur!DD146*VLOOKUP('Données projet'!$B$13,Paramètres!$A$1:$I$89,3,0)*0.475*44/12</f>
        <v>0.80480262070722119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8.7795515958061294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>
        <f>DO146*VLOOKUP('Données projet'!$B$14,Paramètres!$A$1:$I$89,3,0)*VLOOKUP('Données projet'!$B$14,Paramètres!$A$1:$I$89,5,0)</f>
        <v>0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60.532656778089574</v>
      </c>
      <c r="DU146" s="62">
        <f t="shared" si="152"/>
        <v>348.96823267563025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7.2951628367049057</v>
      </c>
      <c r="EB146" s="23">
        <f>EXP(-LN(2)/25)*EB145+(1-EXP(-LN(2)/25))/(LN(2)/25)*Calculateur!DW146*Calculateur!DY146*VLOOKUP('Données projet'!$B$14,Paramètres!$A$1:$I$89,3,0)*0.475*44/12</f>
        <v>0.73621955848374732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8.0313823951886523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73.68191999999982</v>
      </c>
      <c r="D147" s="12">
        <f t="shared" si="140"/>
        <v>20.585062327557253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727.67495130044063</v>
      </c>
      <c r="H147" s="70">
        <f t="shared" si="110"/>
        <v>457.51499422049517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74.209918391015606</v>
      </c>
      <c r="T147" s="62">
        <f t="shared" si="142"/>
        <v>422.59746235438649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8.6097990038072236</v>
      </c>
      <c r="AA147" s="23">
        <f>EXP(-LN(2)/25)*AA146+(1-EXP(-LN(2)/25))/(LN(2)/25)*Calculateur!V147*Calculateur!X147*VLOOKUP('Données projet'!$B$9,Paramètres!$A$1:$I$89,3,0)*0.475*44/12</f>
        <v>0.86203526076358816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9.4718342645708127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65.6337514911271</v>
      </c>
      <c r="AO147" s="62">
        <f t="shared" si="144"/>
        <v>377.81060908047425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7.7224381036933876</v>
      </c>
      <c r="AV147" s="23">
        <f>EXP(-LN(2)/25)*AV146+(1-EXP(-LN(2)/25))/(LN(2)/25)*Calculateur!AQ147*Calculateur!AS147*VLOOKUP('Données projet'!$B$10,Paramètres!$A$1:$I$89,3,0)*0.475*44/12</f>
        <v>0.77319040101915104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8.4956285047125384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66.622529958850123</v>
      </c>
      <c r="BJ147" s="62">
        <f t="shared" si="146"/>
        <v>374.90853633180166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7.6650109710240466</v>
      </c>
      <c r="BQ147" s="23">
        <f>EXP(-LN(2)/25)*BQ146+(1-EXP(-LN(2)/25))/(LN(2)/25)*Calculateur!BL147*Calculateur!BN147*VLOOKUP('Données projet'!$B$11,Paramètres!$A$1:$I$89,3,0)*0.475*44/12</f>
        <v>0.76744064852624949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8.4324516195502959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61.91827157428213</v>
      </c>
      <c r="CE147" s="62">
        <f t="shared" si="148"/>
        <v>358.41033295847001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7.3387144712117349</v>
      </c>
      <c r="CL147" s="23">
        <f>EXP(-LN(2)/25)*CL146+(1-EXP(-LN(2)/25))/(LN(2)/25)*Calculateur!CG147*Calculateur!CI147*VLOOKUP('Données projet'!$B$12,Paramètres!$A$1:$I$89,3,0)*0.475*44/12</f>
        <v>0.73477100221074576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8.0734854734224815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66.561949299871912</v>
      </c>
      <c r="CZ147" s="62">
        <f t="shared" si="150"/>
        <v>382.65744918271389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7.8183690118138012</v>
      </c>
      <c r="DG147" s="23">
        <f>EXP(-LN(2)/25)*DG146+(1-EXP(-LN(2)/25))/(LN(2)/25)*Calculateur!DB147*Calculateur!DD147*VLOOKUP('Données projet'!$B$13,Paramètres!$A$1:$I$89,3,0)*0.475*44/12</f>
        <v>0.78279525072125178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8.6011642625350522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>
        <f>DO147*VLOOKUP('Données projet'!$B$14,Paramètres!$A$1:$I$89,3,0)*VLOOKUP('Données projet'!$B$14,Paramètres!$A$1:$I$89,5,0)</f>
        <v>0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60.532656778089574</v>
      </c>
      <c r="DU147" s="62">
        <f t="shared" si="152"/>
        <v>348.96823267563025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7.15210914308709</v>
      </c>
      <c r="EB147" s="23">
        <f>EXP(-LN(2)/25)*EB146+(1-EXP(-LN(2)/25))/(LN(2)/25)*Calculateur!DW147*Calculateur!DY147*VLOOKUP('Données projet'!$B$14,Paramètres!$A$1:$I$89,3,0)*0.475*44/12</f>
        <v>0.71608759594090532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7.8681967390279954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74.193599999999819</v>
      </c>
      <c r="D148" s="12">
        <f t="shared" si="140"/>
        <v>20.711323637482316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732.59941053494993</v>
      </c>
      <c r="H148" s="70">
        <f t="shared" si="110"/>
        <v>458.62607533528137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74.209918391015606</v>
      </c>
      <c r="T148" s="62">
        <f t="shared" si="142"/>
        <v>422.59746235438649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8.440966096801418</v>
      </c>
      <c r="AA148" s="23">
        <f>EXP(-LN(2)/25)*AA147+(1-EXP(-LN(2)/25))/(LN(2)/25)*Calculateur!V148*Calculateur!X148*VLOOKUP('Données projet'!$B$9,Paramètres!$A$1:$I$89,3,0)*0.475*44/12</f>
        <v>0.8384628612255437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9.279428958026962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65.6337514911271</v>
      </c>
      <c r="AO148" s="62">
        <f t="shared" si="144"/>
        <v>377.81060908047425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7.5710058027021079</v>
      </c>
      <c r="AV148" s="23">
        <f>EXP(-LN(2)/25)*AV147+(1-EXP(-LN(2)/25))/(LN(2)/25)*Calculateur!AQ148*Calculateur!AS148*VLOOKUP('Données projet'!$B$10,Paramètres!$A$1:$I$89,3,0)*0.475*44/12</f>
        <v>0.75204746884296636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8.3230532715450742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66.622529958850123</v>
      </c>
      <c r="BJ148" s="62">
        <f t="shared" si="146"/>
        <v>374.90853633180166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7.5147047810773202</v>
      </c>
      <c r="BQ148" s="23">
        <f>EXP(-LN(2)/25)*BQ147+(1-EXP(-LN(2)/25))/(LN(2)/25)*Calculateur!BL148*Calculateur!BN148*VLOOKUP('Données projet'!$B$11,Paramètres!$A$1:$I$89,3,0)*0.475*44/12</f>
        <v>0.7464549436343495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8.2611597247116695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61.91827157428213</v>
      </c>
      <c r="CE148" s="62">
        <f t="shared" si="148"/>
        <v>358.41033295847001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7.1948067566051144</v>
      </c>
      <c r="CL148" s="23">
        <f>EXP(-LN(2)/25)*CL147+(1-EXP(-LN(2)/25))/(LN(2)/25)*Calculateur!CG148*Calculateur!CI148*VLOOKUP('Données projet'!$B$12,Paramètres!$A$1:$I$89,3,0)*0.475*44/12</f>
        <v>0.71467865051536528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7.9094854071204796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66.561949299871912</v>
      </c>
      <c r="CZ148" s="62">
        <f t="shared" si="150"/>
        <v>382.65744918271389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7.665055564226356</v>
      </c>
      <c r="DG148" s="23">
        <f>EXP(-LN(2)/25)*DG147+(1-EXP(-LN(2)/25))/(LN(2)/25)*Calculateur!DB148*Calculateur!DD148*VLOOKUP('Données projet'!$B$13,Paramètres!$A$1:$I$89,3,0)*0.475*44/12</f>
        <v>0.76138967342486596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8.4264452376512224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>
        <f>DO148*VLOOKUP('Données projet'!$B$14,Paramètres!$A$1:$I$89,3,0)*VLOOKUP('Données projet'!$B$14,Paramètres!$A$1:$I$89,5,0)</f>
        <v>0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60.532656778089574</v>
      </c>
      <c r="DU148" s="62">
        <f t="shared" si="152"/>
        <v>348.96823267563025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7.0118606451469825</v>
      </c>
      <c r="EB148" s="23">
        <f>EXP(-LN(2)/25)*EB147+(1-EXP(-LN(2)/25))/(LN(2)/25)*Calculateur!DW148*Calculateur!DY148*VLOOKUP('Données projet'!$B$14,Paramètres!$A$1:$I$89,3,0)*0.475*44/12</f>
        <v>0.69650614297249125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7.7083667881194735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74.705279999999817</v>
      </c>
      <c r="D149" s="12">
        <f t="shared" si="140"/>
        <v>20.837483629874683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737.52308766920669</v>
      </c>
      <c r="H149" s="70">
        <f t="shared" si="110"/>
        <v>459.73697998869807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74.209918391015606</v>
      </c>
      <c r="T149" s="62">
        <f t="shared" si="142"/>
        <v>422.59746235438649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8.2754439001240918</v>
      </c>
      <c r="AA149" s="23">
        <f>EXP(-LN(2)/25)*AA148+(1-EXP(-LN(2)/25))/(LN(2)/25)*Calculateur!V149*Calculateur!X149*VLOOKUP('Données projet'!$B$9,Paramètres!$A$1:$I$89,3,0)*0.475*44/12</f>
        <v>0.81553505019248562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9.0909789503165772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65.6337514911271</v>
      </c>
      <c r="AO149" s="62">
        <f t="shared" si="144"/>
        <v>377.81060908047425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7.4225429967686836</v>
      </c>
      <c r="AV149" s="23">
        <f>EXP(-LN(2)/25)*AV148+(1-EXP(-LN(2)/25))/(LN(2)/25)*Calculateur!AQ149*Calculateur!AS149*VLOOKUP('Données projet'!$B$10,Paramètres!$A$1:$I$89,3,0)*0.475*44/12</f>
        <v>0.7314826912589979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8.1540256880276818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66.622529958850123</v>
      </c>
      <c r="BJ149" s="62">
        <f t="shared" si="146"/>
        <v>374.90853633180166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7.3673460038377261</v>
      </c>
      <c r="BQ149" s="23">
        <f>EXP(-LN(2)/25)*BQ148+(1-EXP(-LN(2)/25))/(LN(2)/25)*Calculateur!BL149*Calculateur!BN149*VLOOKUP('Données projet'!$B$11,Paramètres!$A$1:$I$89,3,0)*0.475*44/12</f>
        <v>0.72604309394630873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8.0933890977840353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61.91827157428213</v>
      </c>
      <c r="CE149" s="62">
        <f t="shared" si="148"/>
        <v>358.41033295847001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7.0537209845068913</v>
      </c>
      <c r="CL149" s="23">
        <f>EXP(-LN(2)/25)*CL148+(1-EXP(-LN(2)/25))/(LN(2)/25)*Calculateur!CG149*Calculateur!CI149*VLOOKUP('Données projet'!$B$12,Paramètres!$A$1:$I$89,3,0)*0.475*44/12</f>
        <v>0.69513572523370581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7.7488567097405969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66.561949299871912</v>
      </c>
      <c r="CZ149" s="62">
        <f t="shared" si="150"/>
        <v>382.65744918271389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7.5147484998341314</v>
      </c>
      <c r="DG149" s="23">
        <f>EXP(-LN(2)/25)*DG148+(1-EXP(-LN(2)/25))/(LN(2)/25)*Calculateur!DB149*Calculateur!DD149*VLOOKUP('Données projet'!$B$13,Paramètres!$A$1:$I$89,3,0)*0.475*44/12</f>
        <v>0.74056943276532028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8.2553179325994517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>
        <f>DO149*VLOOKUP('Données projet'!$B$14,Paramètres!$A$1:$I$89,3,0)*VLOOKUP('Données projet'!$B$14,Paramètres!$A$1:$I$89,5,0)</f>
        <v>0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60.532656778089574</v>
      </c>
      <c r="DU149" s="62">
        <f t="shared" si="152"/>
        <v>348.96823267563025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6.8743623347083433</v>
      </c>
      <c r="EB149" s="23">
        <f>EXP(-LN(2)/25)*EB148+(1-EXP(-LN(2)/25))/(LN(2)/25)*Calculateur!DW149*Calculateur!DY149*VLOOKUP('Données projet'!$B$14,Paramètres!$A$1:$I$89,3,0)*0.475*44/12</f>
        <v>0.67746014586524228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7.5518224805735858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75.216959999999816</v>
      </c>
      <c r="D150" s="12">
        <f t="shared" si="140"/>
        <v>20.963543079169888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742.44598868131015</v>
      </c>
      <c r="H150" s="70">
        <f t="shared" si="110"/>
        <v>460.84770952955387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74.209918391015606</v>
      </c>
      <c r="T150" s="62">
        <f t="shared" si="142"/>
        <v>422.59746235438649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8.1131674927650366</v>
      </c>
      <c r="AA150" s="23">
        <f>EXP(-LN(2)/25)*AA149+(1-EXP(-LN(2)/25))/(LN(2)/25)*Calculateur!V150*Calculateur!X150*VLOOKUP('Données projet'!$B$9,Paramètres!$A$1:$I$89,3,0)*0.475*44/12</f>
        <v>0.79323420135784772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8.9064016941228843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65.6337514911271</v>
      </c>
      <c r="AO150" s="62">
        <f t="shared" si="144"/>
        <v>377.81060908047425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7.2769914559062432</v>
      </c>
      <c r="AV150" s="23">
        <f>EXP(-LN(2)/25)*AV149+(1-EXP(-LN(2)/25))/(LN(2)/25)*Calculateur!AQ150*Calculateur!AS150*VLOOKUP('Données projet'!$B$10,Paramètres!$A$1:$I$89,3,0)*0.475*44/12</f>
        <v>0.71148025859951769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7.9884717145057609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66.622529958850123</v>
      </c>
      <c r="BJ150" s="62">
        <f t="shared" si="146"/>
        <v>374.90853633180166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7.2228768423398204</v>
      </c>
      <c r="BQ150" s="23">
        <f>EXP(-LN(2)/25)*BQ149+(1-EXP(-LN(2)/25))/(LN(2)/25)*Calculateur!BL150*Calculateur!BN150*VLOOKUP('Données projet'!$B$11,Paramètres!$A$1:$I$89,3,0)*0.475*44/12</f>
        <v>0.70618940736140001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7.9290662497012203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61.91827157428213</v>
      </c>
      <c r="CE150" s="62">
        <f t="shared" si="148"/>
        <v>358.41033295847001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6.9154018183456909</v>
      </c>
      <c r="CL150" s="23">
        <f>EXP(-LN(2)/25)*CL149+(1-EXP(-LN(2)/25))/(LN(2)/25)*Calculateur!CG150*Calculateur!CI150*VLOOKUP('Données projet'!$B$12,Paramètres!$A$1:$I$89,3,0)*0.475*44/12</f>
        <v>0.67612720227159107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7.5915290206172816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66.561949299871912</v>
      </c>
      <c r="CZ150" s="62">
        <f t="shared" si="150"/>
        <v>382.65744918271389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7.3673888652963813</v>
      </c>
      <c r="DG150" s="23">
        <f>EXP(-LN(2)/25)*DG149+(1-EXP(-LN(2)/25))/(LN(2)/25)*Calculateur!DB150*Calculateur!DD150*VLOOKUP('Données projet'!$B$13,Paramètres!$A$1:$I$89,3,0)*0.475*44/12</f>
        <v>0.72031852268149876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8.0877073879778791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>
        <f>DO150*VLOOKUP('Données projet'!$B$14,Paramètres!$A$1:$I$89,3,0)*VLOOKUP('Données projet'!$B$14,Paramètres!$A$1:$I$89,5,0)</f>
        <v>0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60.532656778089574</v>
      </c>
      <c r="DU150" s="62">
        <f t="shared" si="152"/>
        <v>348.96823267563025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6.739560282271718</v>
      </c>
      <c r="EB150" s="23">
        <f>EXP(-LN(2)/25)*EB149+(1-EXP(-LN(2)/25))/(LN(2)/25)*Calculateur!DW150*Calculateur!DY150*VLOOKUP('Données projet'!$B$14,Paramètres!$A$1:$I$89,3,0)*0.475*44/12</f>
        <v>0.65893496255047657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7.398495244822195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75.728639999999814</v>
      </c>
      <c r="D151" s="12">
        <f t="shared" si="140"/>
        <v>21.089502748657871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747.36811946332261</v>
      </c>
      <c r="H151" s="70">
        <f t="shared" si="110"/>
        <v>461.95826528724547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74.209918391015606</v>
      </c>
      <c r="T151" s="62">
        <f t="shared" si="142"/>
        <v>422.59746235438649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7.9540732267754564</v>
      </c>
      <c r="AA151" s="23">
        <f>EXP(-LN(2)/25)*AA150+(1-EXP(-LN(2)/25))/(LN(2)/25)*Calculateur!V151*Calculateur!X151*VLOOKUP('Données projet'!$B$9,Paramètres!$A$1:$I$89,3,0)*0.475*44/12</f>
        <v>0.77154317040734366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8.7256163971828009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65.6337514911271</v>
      </c>
      <c r="AO151" s="62">
        <f t="shared" si="144"/>
        <v>377.81060908047425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7.1342940919824418</v>
      </c>
      <c r="AV151" s="23">
        <f>EXP(-LN(2)/25)*AV150+(1-EXP(-LN(2)/25))/(LN(2)/25)*Calculateur!AQ151*Calculateur!AS151*VLOOKUP('Données projet'!$B$10,Paramètres!$A$1:$I$89,3,0)*0.475*44/12</f>
        <v>0.69202479351299317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7.8263188854954349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66.622529958850123</v>
      </c>
      <c r="BJ151" s="62">
        <f t="shared" si="146"/>
        <v>374.90853633180166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7.0812406329814017</v>
      </c>
      <c r="BQ151" s="23">
        <f>EXP(-LN(2)/25)*BQ150+(1-EXP(-LN(2)/25))/(LN(2)/25)*Calculateur!BL151*Calculateur!BN151*VLOOKUP('Données projet'!$B$11,Paramètres!$A$1:$I$89,3,0)*0.475*44/12</f>
        <v>0.68687862088021556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7.7681192538616175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61.91827157428213</v>
      </c>
      <c r="CE151" s="62">
        <f t="shared" si="148"/>
        <v>358.41033295847001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6.77979500666655</v>
      </c>
      <c r="CL151" s="23">
        <f>EXP(-LN(2)/25)*CL150+(1-EXP(-LN(2)/25))/(LN(2)/25)*Calculateur!CG151*Calculateur!CI151*VLOOKUP('Données projet'!$B$12,Paramètres!$A$1:$I$89,3,0)*0.475*44/12</f>
        <v>0.65763846836949014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7.4374334750360402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66.561949299871912</v>
      </c>
      <c r="CZ151" s="62">
        <f t="shared" si="150"/>
        <v>382.65744918271389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7.2229188633114143</v>
      </c>
      <c r="DG151" s="23">
        <f>EXP(-LN(2)/25)*DG150+(1-EXP(-LN(2)/25))/(LN(2)/25)*Calculateur!DB151*Calculateur!DD151*VLOOKUP('Données projet'!$B$13,Paramètres!$A$1:$I$89,3,0)*0.475*44/12</f>
        <v>0.70062137479886843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7.9235402381102826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>
        <f>DO151*VLOOKUP('Données projet'!$B$14,Paramètres!$A$1:$I$89,3,0)*VLOOKUP('Données projet'!$B$14,Paramètres!$A$1:$I$89,5,0)</f>
        <v>0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60.532656778089574</v>
      </c>
      <c r="DU151" s="62">
        <f t="shared" si="152"/>
        <v>348.96823267563025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6.6074016158622415</v>
      </c>
      <c r="EB151" s="23">
        <f>EXP(-LN(2)/25)*EB150+(1-EXP(-LN(2)/25))/(LN(2)/25)*Calculateur!DW151*Calculateur!DY151*VLOOKUP('Données projet'!$B$14,Paramètres!$A$1:$I$89,3,0)*0.475*44/12</f>
        <v>0.64091635134765013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7.2483179672098919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76.240319999999812</v>
      </c>
      <c r="D152" s="12">
        <f t="shared" si="140"/>
        <v>21.215363390717592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752.28948582308192</v>
      </c>
      <c r="H152" s="70">
        <f t="shared" si="110"/>
        <v>463.06864857216613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74.209918391015606</v>
      </c>
      <c r="T152" s="62">
        <f t="shared" si="142"/>
        <v>422.59746235438649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7.7980987023040118</v>
      </c>
      <c r="AA152" s="23">
        <f>EXP(-LN(2)/25)*AA151+(1-EXP(-LN(2)/25))/(LN(2)/25)*Calculateur!V152*Calculateur!X152*VLOOKUP('Données projet'!$B$9,Paramètres!$A$1:$I$89,3,0)*0.475*44/12</f>
        <v>0.75044528183886294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8.5485439841428743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65.6337514911271</v>
      </c>
      <c r="AO152" s="62">
        <f t="shared" si="144"/>
        <v>377.81060908047425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6.9943949363283879</v>
      </c>
      <c r="AV152" s="23">
        <f>EXP(-LN(2)/25)*AV151+(1-EXP(-LN(2)/25))/(LN(2)/25)*Calculateur!AQ152*Calculateur!AS152*VLOOKUP('Données projet'!$B$10,Paramètres!$A$1:$I$89,3,0)*0.475*44/12</f>
        <v>0.67310133914237813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7.6674962754707661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66.622529958850123</v>
      </c>
      <c r="BJ152" s="62">
        <f t="shared" si="146"/>
        <v>374.90853633180166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6.9423818232989438</v>
      </c>
      <c r="BQ152" s="23">
        <f>EXP(-LN(2)/25)*BQ151+(1-EXP(-LN(2)/25))/(LN(2)/25)*Calculateur!BL152*Calculateur!BN152*VLOOKUP('Données projet'!$B$11,Paramètres!$A$1:$I$89,3,0)*0.475*44/12</f>
        <v>0.66809588887086924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7.6104777121698133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61.91827157428213</v>
      </c>
      <c r="CE152" s="62">
        <f t="shared" si="148"/>
        <v>358.41033295847001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6.6468473618524495</v>
      </c>
      <c r="CL152" s="23">
        <f>EXP(-LN(2)/25)*CL151+(1-EXP(-LN(2)/25))/(LN(2)/25)*Calculateur!CG152*Calculateur!CI152*VLOOKUP('Données projet'!$B$12,Paramètres!$A$1:$I$89,3,0)*0.475*44/12</f>
        <v>0.63965530986822239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7.2865026717206716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66.561949299871912</v>
      </c>
      <c r="CZ152" s="62">
        <f t="shared" si="150"/>
        <v>382.65744918271389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7.0812818299473728</v>
      </c>
      <c r="DG152" s="23">
        <f>EXP(-LN(2)/25)*DG151+(1-EXP(-LN(2)/25))/(LN(2)/25)*Calculateur!DB152*Calculateur!DD152*VLOOKUP('Données projet'!$B$13,Paramètres!$A$1:$I$89,3,0)*0.475*44/12</f>
        <v>0.68146284646091659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7.762744676408289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>
        <f>DO152*VLOOKUP('Données projet'!$B$14,Paramètres!$A$1:$I$89,3,0)*VLOOKUP('Données projet'!$B$14,Paramètres!$A$1:$I$89,5,0)</f>
        <v>0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60.532656778089574</v>
      </c>
      <c r="DU152" s="62">
        <f t="shared" si="152"/>
        <v>348.96823267563025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6.4778345002922277</v>
      </c>
      <c r="EB152" s="23">
        <f>EXP(-LN(2)/25)*EB151+(1-EXP(-LN(2)/25))/(LN(2)/25)*Calculateur!DW152*Calculateur!DY152*VLOOKUP('Données projet'!$B$14,Paramètres!$A$1:$I$89,3,0)*0.475*44/12</f>
        <v>0.62339046001572251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7.1012249603079507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76.751999999999811</v>
      </c>
      <c r="D153" s="12">
        <f t="shared" si="140"/>
        <v>21.341125747045069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757.21009348596044</v>
      </c>
      <c r="H153" s="70">
        <f t="shared" si="110"/>
        <v>464.17886067610311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74.209918391015606</v>
      </c>
      <c r="T153" s="62">
        <f t="shared" si="142"/>
        <v>422.59746235438649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7.645182743122386</v>
      </c>
      <c r="AA153" s="23">
        <f>EXP(-LN(2)/25)*AA152+(1-EXP(-LN(2)/25))/(LN(2)/25)*Calculateur!V153*Calculateur!X153*VLOOKUP('Données projet'!$B$9,Paramètres!$A$1:$I$89,3,0)*0.475*44/12</f>
        <v>0.72992431614277709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8.3751070592651633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65.6337514911271</v>
      </c>
      <c r="AO153" s="62">
        <f t="shared" si="144"/>
        <v>377.81060908047425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6.8572391177866514</v>
      </c>
      <c r="AV153" s="23">
        <f>EXP(-LN(2)/25)*AV152+(1-EXP(-LN(2)/25))/(LN(2)/25)*Calculateur!AQ153*Calculateur!AS153*VLOOKUP('Données projet'!$B$10,Paramètres!$A$1:$I$89,3,0)*0.475*44/12</f>
        <v>0.65469534762666881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7.5119344654133204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66.622529958850123</v>
      </c>
      <c r="BJ153" s="62">
        <f t="shared" si="146"/>
        <v>374.90853633180166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6.8062459501788481</v>
      </c>
      <c r="BQ153" s="23">
        <f>EXP(-LN(2)/25)*BQ152+(1-EXP(-LN(2)/25))/(LN(2)/25)*Calculateur!BL153*Calculateur!BN153*VLOOKUP('Données projet'!$B$11,Paramètres!$A$1:$I$89,3,0)*0.475*44/12</f>
        <v>0.64982677165605951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7.4560727218349072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61.91827157428213</v>
      </c>
      <c r="CE153" s="62">
        <f t="shared" si="148"/>
        <v>358.41033295847001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6.5165067392630966</v>
      </c>
      <c r="CL153" s="23">
        <f>EXP(-LN(2)/25)*CL152+(1-EXP(-LN(2)/25))/(LN(2)/25)*Calculateur!CG153*Calculateur!CI153*VLOOKUP('Données projet'!$B$12,Paramètres!$A$1:$I$89,3,0)*0.475*44/12</f>
        <v>0.62216390178186509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7.1386706410449614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66.561949299871912</v>
      </c>
      <c r="CZ153" s="62">
        <f t="shared" si="150"/>
        <v>382.65744918271389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6.9424222124175401</v>
      </c>
      <c r="DG153" s="23">
        <f>EXP(-LN(2)/25)*DG152+(1-EXP(-LN(2)/25))/(LN(2)/25)*Calculateur!DB153*Calculateur!DD153*VLOOKUP('Données projet'!$B$13,Paramètres!$A$1:$I$89,3,0)*0.475*44/12</f>
        <v>0.66282820908786921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7.6052504215054091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>
        <f>DO153*VLOOKUP('Données projet'!$B$14,Paramètres!$A$1:$I$89,3,0)*VLOOKUP('Données projet'!$B$14,Paramètres!$A$1:$I$89,5,0)</f>
        <v>0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60.532656778089574</v>
      </c>
      <c r="DU153" s="62">
        <f t="shared" si="152"/>
        <v>348.96823267563025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6.3508081168304047</v>
      </c>
      <c r="EB153" s="23">
        <f>EXP(-LN(2)/25)*EB152+(1-EXP(-LN(2)/25))/(LN(2)/25)*Calculateur!DW153*Calculateur!DY153*VLOOKUP('Données projet'!$B$14,Paramètres!$A$1:$I$89,3,0)*0.475*44/12</f>
        <v>0.60634381510391311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6.9571519319343178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77.263679999999809</v>
      </c>
      <c r="D154" s="12">
        <f t="shared" si="140"/>
        <v>21.466790548875405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762.12994809658073</v>
      </c>
      <c r="H154" s="70">
        <f t="shared" si="110"/>
        <v>465.28890287262431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74.209918391015606</v>
      </c>
      <c r="T154" s="62">
        <f t="shared" si="142"/>
        <v>422.59746235438649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7.4952653726307865</v>
      </c>
      <c r="AA154" s="23">
        <f>EXP(-LN(2)/25)*AA153+(1-EXP(-LN(2)/25))/(LN(2)/25)*Calculateur!V154*Calculateur!X154*VLOOKUP('Données projet'!$B$9,Paramètres!$A$1:$I$89,3,0)*0.475*44/12</f>
        <v>0.70996449733280131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8.2052298699635884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65.6337514911271</v>
      </c>
      <c r="AO154" s="62">
        <f t="shared" si="144"/>
        <v>377.81060908047425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6.7227728411897294</v>
      </c>
      <c r="AV154" s="23">
        <f>EXP(-LN(2)/25)*AV153+(1-EXP(-LN(2)/25))/(LN(2)/25)*Calculateur!AQ154*Calculateur!AS154*VLOOKUP('Données projet'!$B$10,Paramètres!$A$1:$I$89,3,0)*0.475*44/12</f>
        <v>0.63679266891688557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7.3595655101066146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66.622529958850123</v>
      </c>
      <c r="BJ154" s="62">
        <f t="shared" si="146"/>
        <v>374.90853633180166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6.6727796184959542</v>
      </c>
      <c r="BQ154" s="23">
        <f>EXP(-LN(2)/25)*BQ153+(1-EXP(-LN(2)/25))/(LN(2)/25)*Calculateur!BL154*Calculateur!BN154*VLOOKUP('Données projet'!$B$11,Paramètres!$A$1:$I$89,3,0)*0.475*44/12</f>
        <v>0.63205722441221979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7.3048368429081743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61.91827157428213</v>
      </c>
      <c r="CE154" s="62">
        <f t="shared" si="148"/>
        <v>358.41033295847001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6.3887220167827916</v>
      </c>
      <c r="CL154" s="23">
        <f>EXP(-LN(2)/25)*CL153+(1-EXP(-LN(2)/25))/(LN(2)/25)*Calculateur!CG154*Calculateur!CI154*VLOOKUP('Données projet'!$B$12,Paramètres!$A$1:$I$89,3,0)*0.475*44/12</f>
        <v>0.60515079716946241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6.9938728139522537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66.561949299871912</v>
      </c>
      <c r="CZ154" s="62">
        <f t="shared" si="150"/>
        <v>382.65744918271389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6.8062855472914636</v>
      </c>
      <c r="DG154" s="23">
        <f>EXP(-LN(2)/25)*DG153+(1-EXP(-LN(2)/25))/(LN(2)/25)*Calculateur!DB154*Calculateur!DD154*VLOOKUP('Données projet'!$B$13,Paramètres!$A$1:$I$89,3,0)*0.475*44/12</f>
        <v>0.64470313685374081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7.4509886841452042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>
        <f>DO154*VLOOKUP('Données projet'!$B$14,Paramètres!$A$1:$I$89,3,0)*VLOOKUP('Données projet'!$B$14,Paramètres!$A$1:$I$89,5,0)</f>
        <v>0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60.532656778089574</v>
      </c>
      <c r="DU154" s="62">
        <f t="shared" si="152"/>
        <v>348.96823267563025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6.2262726432698248</v>
      </c>
      <c r="EB154" s="23">
        <f>EXP(-LN(2)/25)*EB153+(1-EXP(-LN(2)/25))/(LN(2)/25)*Calculateur!DW154*Calculateur!DY154*VLOOKUP('Données projet'!$B$14,Paramètres!$A$1:$I$89,3,0)*0.475*44/12</f>
        <v>0.58976331159366113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6.8160359548634855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77.775359999999807</v>
      </c>
      <c r="D155" s="12">
        <f t="shared" si="140"/>
        <v>21.592358517198448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767.04905522047773</v>
      </c>
      <c r="H155" s="70">
        <f t="shared" si="110"/>
        <v>466.39877641745363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74.209918391015606</v>
      </c>
      <c r="T155" s="62">
        <f t="shared" si="142"/>
        <v>422.59746235438649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7.3482877903339601</v>
      </c>
      <c r="AA155" s="23">
        <f>EXP(-LN(2)/25)*AA154+(1-EXP(-LN(2)/25))/(LN(2)/25)*Calculateur!V155*Calculateur!X155*VLOOKUP('Données projet'!$B$9,Paramètres!$A$1:$I$89,3,0)*0.475*44/12</f>
        <v>0.69055048081782555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8.0388382711517856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65.6337514911271</v>
      </c>
      <c r="AO155" s="62">
        <f t="shared" si="144"/>
        <v>377.81060908047425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6.5909433662605421</v>
      </c>
      <c r="AV155" s="23">
        <f>EXP(-LN(2)/25)*AV154+(1-EXP(-LN(2)/25))/(LN(2)/25)*Calculateur!AQ155*Calculateur!AS155*VLOOKUP('Données projet'!$B$10,Paramètres!$A$1:$I$89,3,0)*0.475*44/12</f>
        <v>0.6193795398978823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7.2103229061584244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66.622529958850123</v>
      </c>
      <c r="BJ155" s="62">
        <f t="shared" si="146"/>
        <v>374.90853633180166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6.5419304801709375</v>
      </c>
      <c r="BQ155" s="23">
        <f>EXP(-LN(2)/25)*BQ154+(1-EXP(-LN(2)/25))/(LN(2)/25)*Calculateur!BL155*Calculateur!BN155*VLOOKUP('Données projet'!$B$11,Paramètres!$A$1:$I$89,3,0)*0.475*44/12</f>
        <v>0.61477358637222279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7.1567040665431598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61.91827157428213</v>
      </c>
      <c r="CE155" s="62">
        <f t="shared" si="148"/>
        <v>358.41033295847001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6.2634430747693406</v>
      </c>
      <c r="CL155" s="23">
        <f>EXP(-LN(2)/25)*CL154+(1-EXP(-LN(2)/25))/(LN(2)/25)*Calculateur!CG155*Calculateur!CI155*VLOOKUP('Données projet'!$B$12,Paramètres!$A$1:$I$89,3,0)*0.475*44/12</f>
        <v>0.58860291679736609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6.8520459915667065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66.561949299871912</v>
      </c>
      <c r="CZ155" s="62">
        <f t="shared" si="150"/>
        <v>382.65744918271389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6.6728184391333425</v>
      </c>
      <c r="DG155" s="23">
        <f>EXP(-LN(2)/25)*DG154+(1-EXP(-LN(2)/25))/(LN(2)/25)*Calculateur!DB155*Calculateur!DD155*VLOOKUP('Données projet'!$B$13,Paramètres!$A$1:$I$89,3,0)*0.475*44/12</f>
        <v>0.62707369567301074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7.2998921348063535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>
        <f>DO155*VLOOKUP('Données projet'!$B$14,Paramètres!$A$1:$I$89,3,0)*VLOOKUP('Données projet'!$B$14,Paramètres!$A$1:$I$89,5,0)</f>
        <v>0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60.532656778089574</v>
      </c>
      <c r="DU155" s="62">
        <f t="shared" si="152"/>
        <v>348.96823267563025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6.1041792343866286</v>
      </c>
      <c r="EB155" s="23">
        <f>EXP(-LN(2)/25)*EB154+(1-EXP(-LN(2)/25))/(LN(2)/25)*Calculateur!DW155*Calculateur!DY155*VLOOKUP('Données projet'!$B$14,Paramètres!$A$1:$I$89,3,0)*0.475*44/12</f>
        <v>0.57363620282382788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6.6778154372104561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78.287039999999806</v>
      </c>
      <c r="D156" s="12">
        <f t="shared" si="140"/>
        <v>21.717830362968854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771.96742034572299</v>
      </c>
      <c r="H156" s="70">
        <f t="shared" si="110"/>
        <v>467.50848254883704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74.209918391015606</v>
      </c>
      <c r="T156" s="62">
        <f t="shared" si="142"/>
        <v>422.59746235438649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7.2041923487785011</v>
      </c>
      <c r="AA156" s="23">
        <f>EXP(-LN(2)/25)*AA155+(1-EXP(-LN(2)/25))/(LN(2)/25)*Calculateur!V156*Calculateur!X156*VLOOKUP('Données projet'!$B$9,Paramètres!$A$1:$I$89,3,0)*0.475*44/12</f>
        <v>0.67166734160539066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7.8758596903838916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65.6337514911271</v>
      </c>
      <c r="AO156" s="62">
        <f t="shared" si="144"/>
        <v>377.81060908047425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6.4616989869266765</v>
      </c>
      <c r="AV156" s="23">
        <f>EXP(-LN(2)/25)*AV155+(1-EXP(-LN(2)/25))/(LN(2)/25)*Calculateur!AQ156*Calculateur!AS156*VLOOKUP('Données projet'!$B$10,Paramètres!$A$1:$I$89,3,0)*0.475*44/12</f>
        <v>0.60244257380762034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7.0641415607342966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66.622529958850123</v>
      </c>
      <c r="BJ156" s="62">
        <f t="shared" si="146"/>
        <v>374.90853633180166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6.41364721363838</v>
      </c>
      <c r="BQ156" s="23">
        <f>EXP(-LN(2)/25)*BQ155+(1-EXP(-LN(2)/25))/(LN(2)/25)*Calculateur!BL156*Calculateur!BN156*VLOOKUP('Données projet'!$B$11,Paramètres!$A$1:$I$89,3,0)*0.475*44/12</f>
        <v>0.59796257032333655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7.0116097839617169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61.91827157428213</v>
      </c>
      <c r="CE156" s="62">
        <f t="shared" si="148"/>
        <v>358.41033295847001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6.1406207763961635</v>
      </c>
      <c r="CL156" s="23">
        <f>EXP(-LN(2)/25)*CL155+(1-EXP(-LN(2)/25))/(LN(2)/25)*Calculateur!CG156*Calculateur!CI156*VLOOKUP('Données projet'!$B$12,Paramètres!$A$1:$I$89,3,0)*0.475*44/12</f>
        <v>0.57250753908426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6.7131283154804233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66.561949299871912</v>
      </c>
      <c r="CZ156" s="62">
        <f t="shared" si="150"/>
        <v>382.65744918271389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6.5419685395593046</v>
      </c>
      <c r="DG156" s="23">
        <f>EXP(-LN(2)/25)*DG155+(1-EXP(-LN(2)/25))/(LN(2)/25)*Calculateur!DB156*Calculateur!DD156*VLOOKUP('Données projet'!$B$13,Paramètres!$A$1:$I$89,3,0)*0.475*44/12</f>
        <v>0.60992633248845984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7.1518948720477642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>
        <f>DO156*VLOOKUP('Données projet'!$B$14,Paramètres!$A$1:$I$89,3,0)*VLOOKUP('Données projet'!$B$14,Paramètres!$A$1:$I$89,5,0)</f>
        <v>0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60.532656778089574</v>
      </c>
      <c r="DU156" s="62">
        <f t="shared" si="152"/>
        <v>348.96823267563025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5.9844800027820062</v>
      </c>
      <c r="EB156" s="23">
        <f>EXP(-LN(2)/25)*EB155+(1-EXP(-LN(2)/25))/(LN(2)/25)*Calculateur!DW156*Calculateur!DY156*VLOOKUP('Données projet'!$B$14,Paramètres!$A$1:$I$89,3,0)*0.475*44/12</f>
        <v>0.55795009069139345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6.5424300934733992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78.798719999999804</v>
      </c>
      <c r="D157" s="12">
        <f t="shared" si="140"/>
        <v>21.843206787310443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776.88504888450007</v>
      </c>
      <c r="H157" s="70">
        <f t="shared" si="110"/>
        <v>468.61802248789866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74.209918391015606</v>
      </c>
      <c r="T157" s="62">
        <f t="shared" si="142"/>
        <v>422.59746235438649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7.0629225309424042</v>
      </c>
      <c r="AA157" s="23">
        <f>EXP(-LN(2)/25)*AA156+(1-EXP(-LN(2)/25))/(LN(2)/25)*Calculateur!V157*Calculateur!X157*VLOOKUP('Données projet'!$B$9,Paramètres!$A$1:$I$89,3,0)*0.475*44/12</f>
        <v>0.65330056282774085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7.7162230937701448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65.6337514911271</v>
      </c>
      <c r="AO157" s="62">
        <f t="shared" si="144"/>
        <v>377.81060908047425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6.3349890110402605</v>
      </c>
      <c r="AV157" s="23">
        <f>EXP(-LN(2)/25)*AV156+(1-EXP(-LN(2)/25))/(LN(2)/25)*Calculateur!AQ157*Calculateur!AS157*VLOOKUP('Données projet'!$B$10,Paramètres!$A$1:$I$89,3,0)*0.475*44/12</f>
        <v>0.58596874994577286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6.9209577609860329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66.622529958850123</v>
      </c>
      <c r="BJ157" s="62">
        <f t="shared" si="146"/>
        <v>374.90853633180166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6.28787950371746</v>
      </c>
      <c r="BQ157" s="23">
        <f>EXP(-LN(2)/25)*BQ156+(1-EXP(-LN(2)/25))/(LN(2)/25)*Calculateur!BL157*Calculateur!BN157*VLOOKUP('Données projet'!$B$11,Paramètres!$A$1:$I$89,3,0)*0.475*44/12</f>
        <v>0.58161125239236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6.86949075610982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61.91827157428213</v>
      </c>
      <c r="CE157" s="62">
        <f t="shared" si="148"/>
        <v>358.41033295847001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6.0202069483798804</v>
      </c>
      <c r="CL157" s="23">
        <f>EXP(-LN(2)/25)*CL156+(1-EXP(-LN(2)/25))/(LN(2)/25)*Calculateur!CG157*Calculateur!CI157*VLOOKUP('Données projet'!$B$12,Paramètres!$A$1:$I$89,3,0)*0.475*44/12</f>
        <v>0.55685229032113792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6.5770592387010183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66.561949299871912</v>
      </c>
      <c r="CZ157" s="62">
        <f t="shared" si="150"/>
        <v>382.65744918271389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6.4136845267053557</v>
      </c>
      <c r="DG157" s="23">
        <f>EXP(-LN(2)/25)*DG156+(1-EXP(-LN(2)/25))/(LN(2)/25)*Calculateur!DB157*Calculateur!DD157*VLOOKUP('Données projet'!$B$13,Paramètres!$A$1:$I$89,3,0)*0.475*44/12</f>
        <v>0.59324786485193104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7.006932391557287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>
        <f>DO157*VLOOKUP('Données projet'!$B$14,Paramètres!$A$1:$I$89,3,0)*VLOOKUP('Données projet'!$B$14,Paramètres!$A$1:$I$89,5,0)</f>
        <v>0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60.532656778089574</v>
      </c>
      <c r="DU157" s="62">
        <f t="shared" si="152"/>
        <v>348.96823267563025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5.8671280000998278</v>
      </c>
      <c r="EB157" s="23">
        <f>EXP(-LN(2)/25)*EB156+(1-EXP(-LN(2)/25))/(LN(2)/25)*Calculateur!DW157*Calculateur!DY157*VLOOKUP('Données projet'!$B$14,Paramètres!$A$1:$I$89,3,0)*0.475*44/12</f>
        <v>0.54269291612011727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6.4098209162199451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79.310399999999802</v>
      </c>
      <c r="D158" s="12">
        <f t="shared" si="140"/>
        <v>21.968488481714964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781.80194617464042</v>
      </c>
      <c r="H158" s="70">
        <f t="shared" si="110"/>
        <v>469.72739743898654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74.209918391015606</v>
      </c>
      <c r="T158" s="62">
        <f t="shared" si="142"/>
        <v>422.59746235438649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6.9244229280679921</v>
      </c>
      <c r="AA158" s="23">
        <f>EXP(-LN(2)/25)*AA157+(1-EXP(-LN(2)/25))/(LN(2)/25)*Calculateur!V158*Calculateur!X158*VLOOKUP('Données projet'!$B$9,Paramètres!$A$1:$I$89,3,0)*0.475*44/12</f>
        <v>0.63543602458163284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7.5598589526496252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65.6337514911271</v>
      </c>
      <c r="AO158" s="62">
        <f t="shared" si="144"/>
        <v>377.81060908047425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6.2107637404955236</v>
      </c>
      <c r="AV158" s="23">
        <f>EXP(-LN(2)/25)*AV157+(1-EXP(-LN(2)/25))/(LN(2)/25)*Calculateur!AQ158*Calculateur!AS158*VLOOKUP('Données projet'!$B$10,Paramètres!$A$1:$I$89,3,0)*0.475*44/12</f>
        <v>0.56994540366374835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6.780709144159272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66.622529958850123</v>
      </c>
      <c r="BJ158" s="62">
        <f t="shared" si="146"/>
        <v>374.90853633180166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6.1645780218773609</v>
      </c>
      <c r="BQ158" s="23">
        <f>EXP(-LN(2)/25)*BQ157+(1-EXP(-LN(2)/25))/(LN(2)/25)*Calculateur!BL158*Calculateur!BN158*VLOOKUP('Données projet'!$B$11,Paramètres!$A$1:$I$89,3,0)*0.475*44/12</f>
        <v>0.56570706211008448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6.7302850839874457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61.91827157428213</v>
      </c>
      <c r="CE158" s="62">
        <f t="shared" si="148"/>
        <v>358.41033295847001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5.9021543620858132</v>
      </c>
      <c r="CL158" s="23">
        <f>EXP(-LN(2)/25)*CL157+(1-EXP(-LN(2)/25))/(LN(2)/25)*Calculateur!CG158*Calculateur!CI158*VLOOKUP('Données projet'!$B$12,Paramètres!$A$1:$I$89,3,0)*0.475*44/12</f>
        <v>0.54162513515871713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6.4437794972445301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66.561949299871912</v>
      </c>
      <c r="CZ158" s="62">
        <f t="shared" si="150"/>
        <v>382.65744918271389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6.287916085097951</v>
      </c>
      <c r="DG158" s="23">
        <f>EXP(-LN(2)/25)*DG157+(1-EXP(-LN(2)/25))/(LN(2)/25)*Calculateur!DB158*Calculateur!DD158*VLOOKUP('Données projet'!$B$13,Paramètres!$A$1:$I$89,3,0)*0.475*44/12</f>
        <v>0.57702547079000566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6.864941555887957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>
        <f>DO158*VLOOKUP('Données projet'!$B$14,Paramètres!$A$1:$I$89,3,0)*VLOOKUP('Données projet'!$B$14,Paramètres!$A$1:$I$89,5,0)</f>
        <v>0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60.532656778089574</v>
      </c>
      <c r="DU158" s="62">
        <f t="shared" si="152"/>
        <v>348.96823267563025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5.7520771986125938</v>
      </c>
      <c r="EB158" s="23">
        <f>EXP(-LN(2)/25)*EB157+(1-EXP(-LN(2)/25))/(LN(2)/25)*Calculateur!DW158*Calculateur!DY158*VLOOKUP('Données projet'!$B$14,Paramètres!$A$1:$I$89,3,0)*0.475*44/12</f>
        <v>0.52785294978983255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6.2799301484024266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79.822079999999801</v>
      </c>
      <c r="D159" s="12">
        <f t="shared" si="140"/>
        <v>22.09367612823581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786.71811748111713</v>
      </c>
      <c r="H159" s="70">
        <f t="shared" si="110"/>
        <v>470.83660859001031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74.209918391015606</v>
      </c>
      <c r="T159" s="62">
        <f t="shared" si="142"/>
        <v>422.59746235438649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6.7886392179295312</v>
      </c>
      <c r="AA159" s="23">
        <f>EXP(-LN(2)/25)*AA158+(1-EXP(-LN(2)/25))/(LN(2)/25)*Calculateur!V159*Calculateur!X159*VLOOKUP('Données projet'!$B$9,Paramètres!$A$1:$I$89,3,0)*0.475*44/12</f>
        <v>0.61805999307331982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7.4066992110028513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65.6337514911271</v>
      </c>
      <c r="AO159" s="62">
        <f t="shared" si="144"/>
        <v>377.81060908047425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6.0889744517362354</v>
      </c>
      <c r="AV159" s="23">
        <f>EXP(-LN(2)/25)*AV158+(1-EXP(-LN(2)/25))/(LN(2)/25)*Calculateur!AQ159*Calculateur!AS159*VLOOKUP('Données projet'!$B$10,Paramètres!$A$1:$I$89,3,0)*0.475*44/12</f>
        <v>0.55436021662843704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6.6433346683646723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66.622529958850123</v>
      </c>
      <c r="BJ159" s="62">
        <f t="shared" si="146"/>
        <v>374.90853633180166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6.0436944068896681</v>
      </c>
      <c r="BQ159" s="23">
        <f>EXP(-LN(2)/25)*BQ158+(1-EXP(-LN(2)/25))/(LN(2)/25)*Calculateur!BL159*Calculateur!BN159*VLOOKUP('Données projet'!$B$11,Paramètres!$A$1:$I$89,3,0)*0.475*44/12</f>
        <v>0.55023777274744279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6.5939321796371111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61.91827157428213</v>
      </c>
      <c r="CE159" s="62">
        <f t="shared" si="148"/>
        <v>358.41033295847001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5.7864167150040053</v>
      </c>
      <c r="CL159" s="23">
        <f>EXP(-LN(2)/25)*CL158+(1-EXP(-LN(2)/25))/(LN(2)/25)*Calculateur!CG159*Calculateur!CI159*VLOOKUP('Données projet'!$B$12,Paramètres!$A$1:$I$89,3,0)*0.475*44/12</f>
        <v>0.526814367354974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6.3132310823589792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66.561949299871912</v>
      </c>
      <c r="CZ159" s="62">
        <f t="shared" si="150"/>
        <v>382.65744918271389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6.1646138859192927</v>
      </c>
      <c r="DG159" s="23">
        <f>EXP(-LN(2)/25)*DG158+(1-EXP(-LN(2)/25))/(LN(2)/25)*Calculateur!DB159*Calculateur!DD159*VLOOKUP('Données projet'!$B$13,Paramètres!$A$1:$I$89,3,0)*0.475*44/12</f>
        <v>0.56124667894680225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6.7258605648660952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>
        <f>DO159*VLOOKUP('Données projet'!$B$14,Paramètres!$A$1:$I$89,3,0)*VLOOKUP('Données projet'!$B$14,Paramètres!$A$1:$I$89,5,0)</f>
        <v>0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60.532656778089574</v>
      </c>
      <c r="DU159" s="62">
        <f t="shared" si="152"/>
        <v>348.96823267563025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5.6392824731684641</v>
      </c>
      <c r="EB159" s="23">
        <f>EXP(-LN(2)/25)*EB158+(1-EXP(-LN(2)/25))/(LN(2)/25)*Calculateur!DW159*Calculateur!DY159*VLOOKUP('Données projet'!$B$14,Paramètres!$A$1:$I$89,3,0)*0.475*44/12</f>
        <v>0.51341878311924938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6.1527012562877132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80.333759999999799</v>
      </c>
      <c r="D160" s="12">
        <f t="shared" si="140"/>
        <v>22.218770399676412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791.63356799750056</v>
      </c>
      <c r="H160" s="70">
        <f t="shared" si="110"/>
        <v>471.94565711276937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74.209918391015606</v>
      </c>
      <c r="T160" s="62">
        <f t="shared" si="142"/>
        <v>422.59746235438649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6.6555181435269999</v>
      </c>
      <c r="AA160" s="23">
        <f>EXP(-LN(2)/25)*AA159+(1-EXP(-LN(2)/25))/(LN(2)/25)*Calculateur!V160*Calculateur!X160*VLOOKUP('Données projet'!$B$9,Paramètres!$A$1:$I$89,3,0)*0.475*44/12</f>
        <v>0.60115911006036749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7.2566772535873678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65.6337514911271</v>
      </c>
      <c r="AO160" s="62">
        <f t="shared" si="144"/>
        <v>377.81060908047425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5.9695733766453856</v>
      </c>
      <c r="AV160" s="23">
        <f>EXP(-LN(2)/25)*AV159+(1-EXP(-LN(2)/25))/(LN(2)/25)*Calculateur!AQ160*Calculateur!AS160*VLOOKUP('Données projet'!$B$10,Paramètres!$A$1:$I$89,3,0)*0.475*44/12</f>
        <v>0.53920120735219568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6.5087745839975817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66.622529958850123</v>
      </c>
      <c r="BJ160" s="62">
        <f t="shared" si="146"/>
        <v>374.90853633180166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5.9251812458601592</v>
      </c>
      <c r="BQ160" s="23">
        <f>EXP(-LN(2)/25)*BQ159+(1-EXP(-LN(2)/25))/(LN(2)/25)*Calculateur!BL160*Calculateur!BN160*VLOOKUP('Données projet'!$B$11,Paramètres!$A$1:$I$89,3,0)*0.475*44/12</f>
        <v>0.53519149191591708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6.4603727377760762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61.91827157428213</v>
      </c>
      <c r="CE160" s="62">
        <f t="shared" si="148"/>
        <v>358.41033295847001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5.6729486125884767</v>
      </c>
      <c r="CL160" s="23">
        <f>EXP(-LN(2)/25)*CL159+(1-EXP(-LN(2)/25))/(LN(2)/25)*Calculateur!CG160*Calculateur!CI160*VLOOKUP('Données projet'!$B$12,Paramètres!$A$1:$I$89,3,0)*0.475*44/12</f>
        <v>0.51240860077568873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6.1853572133641652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66.561949299871912</v>
      </c>
      <c r="CZ160" s="62">
        <f t="shared" si="150"/>
        <v>382.65744918271389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6.0437295676596126</v>
      </c>
      <c r="DG160" s="23">
        <f>EXP(-LN(2)/25)*DG159+(1-EXP(-LN(2)/25))/(LN(2)/25)*Calculateur!DB160*Calculateur!DD160*VLOOKUP('Données projet'!$B$13,Paramètres!$A$1:$I$89,3,0)*0.475*44/12</f>
        <v>0.5458993589963218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6.5896289266559345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>
        <f>DO160*VLOOKUP('Données projet'!$B$14,Paramètres!$A$1:$I$89,3,0)*VLOOKUP('Données projet'!$B$14,Paramètres!$A$1:$I$89,5,0)</f>
        <v>0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60.532656778089574</v>
      </c>
      <c r="DU160" s="62">
        <f t="shared" si="152"/>
        <v>348.96823267563025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5.5286995834923047</v>
      </c>
      <c r="EB160" s="23">
        <f>EXP(-LN(2)/25)*EB159+(1-EXP(-LN(2)/25))/(LN(2)/25)*Calculateur!DW160*Calculateur!DY160*VLOOKUP('Données projet'!$B$14,Paramètres!$A$1:$I$89,3,0)*0.475*44/12</f>
        <v>0.49937931949533315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6.0280789029876383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80.845439999999797</v>
      </c>
      <c r="D161" s="12">
        <f t="shared" si="140"/>
        <v>22.343771959773868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796.54830284737579</v>
      </c>
      <c r="H161" s="70">
        <f t="shared" si="110"/>
        <v>473.05454416327245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74.209918391015606</v>
      </c>
      <c r="T161" s="62">
        <f t="shared" si="142"/>
        <v>422.59746235438649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6.5250074921976644</v>
      </c>
      <c r="AA161" s="23">
        <f>EXP(-LN(2)/25)*AA160+(1-EXP(-LN(2)/25))/(LN(2)/25)*Calculateur!V161*Calculateur!X161*VLOOKUP('Données projet'!$B$9,Paramètres!$A$1:$I$89,3,0)*0.475*44/12</f>
        <v>0.58472038258218306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7.1097278747798471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65.6337514911271</v>
      </c>
      <c r="AO161" s="62">
        <f t="shared" si="144"/>
        <v>377.81060908047425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5.8525136838096028</v>
      </c>
      <c r="AV161" s="23">
        <f>EXP(-LN(2)/25)*AV160+(1-EXP(-LN(2)/25))/(LN(2)/25)*Calculateur!AQ161*Calculateur!AS161*VLOOKUP('Données projet'!$B$10,Paramètres!$A$1:$I$89,3,0)*0.475*44/12</f>
        <v>0.52445672198179072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6.3769704057913934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66.622529958850123</v>
      </c>
      <c r="BJ161" s="62">
        <f t="shared" si="146"/>
        <v>374.90853633180166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5.8089920556325483</v>
      </c>
      <c r="BQ161" s="23">
        <f>EXP(-LN(2)/25)*BQ160+(1-EXP(-LN(2)/25))/(LN(2)/25)*Calculateur!BL161*Calculateur!BN161*VLOOKUP('Données projet'!$B$11,Paramètres!$A$1:$I$89,3,0)*0.475*44/12</f>
        <v>0.52055665242497895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6.3295487080575272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61.91827157428213</v>
      </c>
      <c r="CE161" s="62">
        <f t="shared" si="148"/>
        <v>358.41033295847001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5.5617055504526078</v>
      </c>
      <c r="CL161" s="23">
        <f>EXP(-LN(2)/25)*CL160+(1-EXP(-LN(2)/25))/(LN(2)/25)*Calculateur!CG161*Calculateur!CI161*VLOOKUP('Données projet'!$B$12,Paramètres!$A$1:$I$89,3,0)*0.475*44/12</f>
        <v>0.49839676064108035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6.0601023110936882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66.561949299871912</v>
      </c>
      <c r="CZ161" s="62">
        <f t="shared" si="150"/>
        <v>382.65744918271389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5.9252157171488511</v>
      </c>
      <c r="DG161" s="23">
        <f>EXP(-LN(2)/25)*DG160+(1-EXP(-LN(2)/25))/(LN(2)/25)*Calculateur!DB161*Calculateur!DD161*VLOOKUP('Données projet'!$B$13,Paramètres!$A$1:$I$89,3,0)*0.475*44/12</f>
        <v>0.53097171231696771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6.4561874294658192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>
        <f>DO161*VLOOKUP('Données projet'!$B$14,Paramètres!$A$1:$I$89,3,0)*VLOOKUP('Données projet'!$B$14,Paramètres!$A$1:$I$89,5,0)</f>
        <v>0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60.532656778089574</v>
      </c>
      <c r="DU161" s="62">
        <f t="shared" si="152"/>
        <v>348.96823267563025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5.420285156833792</v>
      </c>
      <c r="EB161" s="23">
        <f>EXP(-LN(2)/25)*EB160+(1-EXP(-LN(2)/25))/(LN(2)/25)*Calculateur!DW161*Calculateur!DY161*VLOOKUP('Données projet'!$B$14,Paramètres!$A$1:$I$89,3,0)*0.475*44/12</f>
        <v>0.48572376574251619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5.9060089225763086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81.357119999999796</v>
      </c>
      <c r="D162" s="12">
        <f t="shared" si="140"/>
        <v>22.468681463377592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801.46232708572018</v>
      </c>
      <c r="H162" s="70">
        <f t="shared" si="110"/>
        <v>474.16327088204889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74.209918391015606</v>
      </c>
      <c r="T162" s="62">
        <f t="shared" si="142"/>
        <v>422.59746235438649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6.39705607513726</v>
      </c>
      <c r="AA162" s="23">
        <f>EXP(-LN(2)/25)*AA161+(1-EXP(-LN(2)/25))/(LN(2)/25)*Calculateur!V162*Calculateur!X162*VLOOKUP('Données projet'!$B$9,Paramètres!$A$1:$I$89,3,0)*0.475*44/12</f>
        <v>0.56873117297136477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6.9657872481086249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65.6337514911271</v>
      </c>
      <c r="AO162" s="62">
        <f t="shared" si="144"/>
        <v>377.81060908047425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5.7377494601509671</v>
      </c>
      <c r="AV162" s="23">
        <f>EXP(-LN(2)/25)*AV161+(1-EXP(-LN(2)/25))/(LN(2)/25)*Calculateur!AQ162*Calculateur!AS162*VLOOKUP('Données projet'!$B$10,Paramètres!$A$1:$I$89,3,0)*0.475*44/12</f>
        <v>0.51011542533921828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6.247864885490185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66.622529958850123</v>
      </c>
      <c r="BJ162" s="62">
        <f t="shared" si="146"/>
        <v>374.90853633180166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5.695081264556892</v>
      </c>
      <c r="BQ162" s="23">
        <f>EXP(-LN(2)/25)*BQ161+(1-EXP(-LN(2)/25))/(LN(2)/25)*Calculateur!BL162*Calculateur!BN162*VLOOKUP('Données projet'!$B$11,Paramètres!$A$1:$I$89,3,0)*0.475*44/12</f>
        <v>0.50632200338953326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6.201403267946425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61.91827157428213</v>
      </c>
      <c r="CE162" s="62">
        <f t="shared" si="148"/>
        <v>358.41033295847001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5.4526438969136555</v>
      </c>
      <c r="CL162" s="23">
        <f>EXP(-LN(2)/25)*CL161+(1-EXP(-LN(2)/25))/(LN(2)/25)*Calculateur!CG162*Calculateur!CI162*VLOOKUP('Données projet'!$B$12,Paramètres!$A$1:$I$89,3,0)*0.475*44/12</f>
        <v>0.48476807501180347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5.9374119719254592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66.561949299871912</v>
      </c>
      <c r="CZ162" s="62">
        <f t="shared" si="150"/>
        <v>382.65744918271389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5.8090258509602943</v>
      </c>
      <c r="DG162" s="23">
        <f>EXP(-LN(2)/25)*DG161+(1-EXP(-LN(2)/25))/(LN(2)/25)*Calculateur!DB162*Calculateur!DD162*VLOOKUP('Données projet'!$B$13,Paramètres!$A$1:$I$89,3,0)*0.475*44/12</f>
        <v>0.51645226292107138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6.325478113881366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>
        <f>DO162*VLOOKUP('Données projet'!$B$14,Paramètres!$A$1:$I$89,3,0)*VLOOKUP('Données projet'!$B$14,Paramètres!$A$1:$I$89,5,0)</f>
        <v>0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60.532656778089574</v>
      </c>
      <c r="DU162" s="62">
        <f t="shared" si="152"/>
        <v>348.96823267563025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5.313996670955782</v>
      </c>
      <c r="EB162" s="23">
        <f>EXP(-LN(2)/25)*EB161+(1-EXP(-LN(2)/25))/(LN(2)/25)*Calculateur!DW162*Calculateur!DY162*VLOOKUP('Données projet'!$B$14,Paramètres!$A$1:$I$89,3,0)*0.475*44/12</f>
        <v>0.4724416238251844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5.7864382947809663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81.868799999999794</v>
      </c>
      <c r="D163" s="12">
        <f t="shared" si="140"/>
        <v>22.593499556623552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806.37564570025052</v>
      </c>
      <c r="H163" s="70">
        <f t="shared" si="110"/>
        <v>475.27183839445229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74.209918391015606</v>
      </c>
      <c r="T163" s="62">
        <f t="shared" si="142"/>
        <v>422.59746235438649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6.2716137073227518</v>
      </c>
      <c r="AA163" s="23">
        <f>EXP(-LN(2)/25)*AA162+(1-EXP(-LN(2)/25))/(LN(2)/25)*Calculateur!V163*Calculateur!X163*VLOOKUP('Données projet'!$B$9,Paramètres!$A$1:$I$89,3,0)*0.475*44/12</f>
        <v>0.55317918913819031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6.8247928964609423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65.6337514911271</v>
      </c>
      <c r="AO163" s="62">
        <f t="shared" si="144"/>
        <v>377.81060908047425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5.6252356929190128</v>
      </c>
      <c r="AV163" s="23">
        <f>EXP(-LN(2)/25)*AV162+(1-EXP(-LN(2)/25))/(LN(2)/25)*Calculateur!AQ163*Calculateur!AS163*VLOOKUP('Données projet'!$B$10,Paramètres!$A$1:$I$89,3,0)*0.475*44/12</f>
        <v>0.49616629220751302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6.1214019851265258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66.622529958850123</v>
      </c>
      <c r="BJ163" s="62">
        <f t="shared" si="146"/>
        <v>374.90853633180166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5.5834041946155075</v>
      </c>
      <c r="BQ163" s="23">
        <f>EXP(-LN(2)/25)*BQ162+(1-EXP(-LN(2)/25))/(LN(2)/25)*Calculateur!BL163*Calculateur!BN163*VLOOKUP('Données projet'!$B$11,Paramètres!$A$1:$I$89,3,0)*0.475*44/12</f>
        <v>0.49247660158052953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6.0758807961960368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61.91827157428213</v>
      </c>
      <c r="CE163" s="62">
        <f t="shared" si="148"/>
        <v>358.41033295847001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5.3457208758795618</v>
      </c>
      <c r="CL163" s="23">
        <f>EXP(-LN(2)/25)*CL162+(1-EXP(-LN(2)/25))/(LN(2)/25)*Calculateur!CG163*Calculateur!CI163*VLOOKUP('Données projet'!$B$12,Paramètres!$A$1:$I$89,3,0)*0.475*44/12</f>
        <v>0.47151206650776056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5.8172329423873226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66.561949299871912</v>
      </c>
      <c r="CZ163" s="62">
        <f t="shared" si="150"/>
        <v>382.65744918271389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5.695114397178874</v>
      </c>
      <c r="DG163" s="23">
        <f>EXP(-LN(2)/25)*DG162+(1-EXP(-LN(2)/25))/(LN(2)/25)*Calculateur!DB163*Calculateur!DD163*VLOOKUP('Données projet'!$B$13,Paramètres!$A$1:$I$89,3,0)*0.475*44/12</f>
        <v>0.50232984863245056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6.1974442458113241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>
        <f>DO163*VLOOKUP('Données projet'!$B$14,Paramètres!$A$1:$I$89,3,0)*VLOOKUP('Données projet'!$B$14,Paramètres!$A$1:$I$89,5,0)</f>
        <v>0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60.532656778089574</v>
      </c>
      <c r="DU163" s="62">
        <f t="shared" si="152"/>
        <v>348.96823267563025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5.2097924374562643</v>
      </c>
      <c r="EB163" s="23">
        <f>EXP(-LN(2)/25)*EB162+(1-EXP(-LN(2)/25))/(LN(2)/25)*Calculateur!DW163*Calculateur!DY163*VLOOKUP('Données projet'!$B$14,Paramètres!$A$1:$I$89,3,0)*0.475*44/12</f>
        <v>0.45952268277705949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5.6693151202333238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82.380479999999793</v>
      </c>
      <c r="D164" s="12">
        <f t="shared" si="140"/>
        <v>22.718226877103923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811.28826361273059</v>
      </c>
      <c r="H164" s="70">
        <f t="shared" si="110"/>
        <v>476.38024781095561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74.209918391015606</v>
      </c>
      <c r="T164" s="62">
        <f t="shared" si="142"/>
        <v>422.59746235438649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6.148631187828796</v>
      </c>
      <c r="AA164" s="23">
        <f>EXP(-LN(2)/25)*AA163+(1-EXP(-LN(2)/25))/(LN(2)/25)*Calculateur!V164*Calculateur!X164*VLOOKUP('Données projet'!$B$9,Paramètres!$A$1:$I$89,3,0)*0.475*44/12</f>
        <v>0.53805247512077725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6.6866836629495729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65.6337514911271</v>
      </c>
      <c r="AO164" s="62">
        <f t="shared" si="144"/>
        <v>377.81060908047425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5.5149282520358547</v>
      </c>
      <c r="AV164" s="23">
        <f>EXP(-LN(2)/25)*AV163+(1-EXP(-LN(2)/25))/(LN(2)/25)*Calculateur!AQ164*Calculateur!AS164*VLOOKUP('Données projet'!$B$10,Paramètres!$A$1:$I$89,3,0)*0.475*44/12</f>
        <v>0.48259859885484729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5.9975268508907016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66.622529958850123</v>
      </c>
      <c r="BJ164" s="62">
        <f t="shared" si="146"/>
        <v>374.90853633180166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5.4739170438993874</v>
      </c>
      <c r="BQ164" s="23">
        <f>EXP(-LN(2)/25)*BQ163+(1-EXP(-LN(2)/25))/(LN(2)/25)*Calculateur!BL164*Calculateur!BN164*VLOOKUP('Données projet'!$B$11,Paramètres!$A$1:$I$89,3,0)*0.475*44/12</f>
        <v>0.47900980301209106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5.9529268469114784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61.91827157428213</v>
      </c>
      <c r="CE164" s="62">
        <f t="shared" si="148"/>
        <v>358.41033295847001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5.240894550071344</v>
      </c>
      <c r="CL164" s="23">
        <f>EXP(-LN(2)/25)*CL163+(1-EXP(-LN(2)/25))/(LN(2)/25)*Calculateur!CG164*Calculateur!CI164*VLOOKUP('Données projet'!$B$12,Paramètres!$A$1:$I$89,3,0)*0.475*44/12</f>
        <v>0.4586185442533639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5.6995130943247077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66.561949299871912</v>
      </c>
      <c r="CZ164" s="62">
        <f t="shared" si="150"/>
        <v>382.65744918271389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5.5834366775269819</v>
      </c>
      <c r="DG164" s="23">
        <f>EXP(-LN(2)/25)*DG163+(1-EXP(-LN(2)/25))/(LN(2)/25)*Calculateur!DB164*Calculateur!DD164*VLOOKUP('Données projet'!$B$13,Paramètres!$A$1:$I$89,3,0)*0.475*44/12</f>
        <v>0.48859361250521754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6.0720302900321999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>
        <f>DO164*VLOOKUP('Données projet'!$B$14,Paramètres!$A$1:$I$89,3,0)*VLOOKUP('Données projet'!$B$14,Paramètres!$A$1:$I$89,5,0)</f>
        <v>0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60.532656778089574</v>
      </c>
      <c r="DU164" s="62">
        <f t="shared" si="152"/>
        <v>348.96823267563025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5.1076315854173657</v>
      </c>
      <c r="EB164" s="23">
        <f>EXP(-LN(2)/25)*EB163+(1-EXP(-LN(2)/25))/(LN(2)/25)*Calculateur!DW164*Calculateur!DY164*VLOOKUP('Données projet'!$B$14,Paramètres!$A$1:$I$89,3,0)*0.475*44/12</f>
        <v>0.44695701085127315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5.5545885962686388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82.892159999999791</v>
      </c>
      <c r="D165" s="12">
        <f t="shared" si="140"/>
        <v>22.842864054032304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816.20018568024773</v>
      </c>
      <c r="H165" s="70">
        <f t="shared" si="110"/>
        <v>477.4885002274392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74.209918391015606</v>
      </c>
      <c r="T165" s="62">
        <f t="shared" si="142"/>
        <v>422.59746235438649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6.0280602805301875</v>
      </c>
      <c r="AA165" s="23">
        <f>EXP(-LN(2)/25)*AA164+(1-EXP(-LN(2)/25))/(LN(2)/25)*Calculateur!V165*Calculateur!X165*VLOOKUP('Données projet'!$B$9,Paramètres!$A$1:$I$89,3,0)*0.475*44/12</f>
        <v>0.52333940189364969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6.5513996824238374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65.6337514911271</v>
      </c>
      <c r="AO165" s="62">
        <f t="shared" si="144"/>
        <v>377.81060908047425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5.4067838727875204</v>
      </c>
      <c r="AV165" s="23">
        <f>EXP(-LN(2)/25)*AV164+(1-EXP(-LN(2)/25))/(LN(2)/25)*Calculateur!AQ165*Calculateur!AS165*VLOOKUP('Données projet'!$B$10,Paramètres!$A$1:$I$89,3,0)*0.475*44/12</f>
        <v>0.46940191479040416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5.8761857875779242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66.622529958850123</v>
      </c>
      <c r="BJ165" s="62">
        <f t="shared" si="146"/>
        <v>374.90853633180166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5.3665768694282416</v>
      </c>
      <c r="BQ165" s="23">
        <f>EXP(-LN(2)/25)*BQ164+(1-EXP(-LN(2)/25))/(LN(2)/25)*Calculateur!BL165*Calculateur!BN165*VLOOKUP('Données projet'!$B$11,Paramètres!$A$1:$I$89,3,0)*0.475*44/12</f>
        <v>0.46591125475869466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5.832488124186936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61.91827157428213</v>
      </c>
      <c r="CE165" s="62">
        <f t="shared" si="148"/>
        <v>358.41033295847001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5.1381238045744793</v>
      </c>
      <c r="CL165" s="23">
        <f>EXP(-LN(2)/25)*CL164+(1-EXP(-LN(2)/25))/(LN(2)/25)*Calculateur!CG165*Calculateur!CI165*VLOOKUP('Données projet'!$B$12,Paramètres!$A$1:$I$89,3,0)*0.475*44/12</f>
        <v>0.44607759604305464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5.584201400617534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66.561949299871912</v>
      </c>
      <c r="CZ165" s="62">
        <f t="shared" si="150"/>
        <v>382.65744918271389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5.4739488898407798</v>
      </c>
      <c r="DG165" s="23">
        <f>EXP(-LN(2)/25)*DG164+(1-EXP(-LN(2)/25))/(LN(2)/25)*Calculateur!DB165*Calculateur!DD165*VLOOKUP('Données projet'!$B$13,Paramètres!$A$1:$I$89,3,0)*0.475*44/12</f>
        <v>0.47523299447724099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5.9491818843180209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>
        <f>DO165*VLOOKUP('Données projet'!$B$14,Paramètres!$A$1:$I$89,3,0)*VLOOKUP('Données projet'!$B$14,Paramètres!$A$1:$I$89,5,0)</f>
        <v>0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60.532656778089574</v>
      </c>
      <c r="DU165" s="62">
        <f t="shared" si="152"/>
        <v>348.96823267563025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5.0074740453749831</v>
      </c>
      <c r="EB165" s="23">
        <f>EXP(-LN(2)/25)*EB164+(1-EXP(-LN(2)/25))/(LN(2)/25)*Calculateur!DW165*Calculateur!DY165*VLOOKUP('Données projet'!$B$14,Paramètres!$A$1:$I$89,3,0)*0.475*44/12</f>
        <v>0.43473494788509742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5.4422089932600803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83.403839999999789</v>
      </c>
      <c r="D166" s="12">
        <f t="shared" si="140"/>
        <v>22.967411708405042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821.11141669645838</v>
      </c>
      <c r="H166" s="70">
        <f t="shared" si="110"/>
        <v>478.59659672547173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74.209918391015606</v>
      </c>
      <c r="T166" s="62">
        <f t="shared" si="142"/>
        <v>422.59746235438649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5.9098536951827123</v>
      </c>
      <c r="AA166" s="23">
        <f>EXP(-LN(2)/25)*AA165+(1-EXP(-LN(2)/25))/(LN(2)/25)*Calculateur!V166*Calculateur!X166*VLOOKUP('Données projet'!$B$9,Paramètres!$A$1:$I$89,3,0)*0.475*44/12</f>
        <v>0.50902865842764478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6.418882353610357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65.6337514911271</v>
      </c>
      <c r="AO166" s="62">
        <f t="shared" si="144"/>
        <v>377.81060908047425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5.3007601388546872</v>
      </c>
      <c r="AV166" s="23">
        <f>EXP(-LN(2)/25)*AV165+(1-EXP(-LN(2)/25))/(LN(2)/25)*Calculateur!AQ166*Calculateur!AS166*VLOOKUP('Données projet'!$B$10,Paramètres!$A$1:$I$89,3,0)*0.475*44/12</f>
        <v>0.45656609474568671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5.7573262336003737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66.622529958850123</v>
      </c>
      <c r="BJ166" s="62">
        <f t="shared" si="146"/>
        <v>374.90853633180166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5.261341570307434</v>
      </c>
      <c r="BQ166" s="23">
        <f>EXP(-LN(2)/25)*BQ165+(1-EXP(-LN(2)/25))/(LN(2)/25)*Calculateur!BL166*Calculateur!BN166*VLOOKUP('Données projet'!$B$11,Paramètres!$A$1:$I$89,3,0)*0.475*44/12</f>
        <v>0.45317088699611013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5.7145124573035444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61.91827157428213</v>
      </c>
      <c r="CE166" s="62">
        <f t="shared" si="148"/>
        <v>358.41033295847001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5.0373683307128427</v>
      </c>
      <c r="CL166" s="23">
        <f>EXP(-LN(2)/25)*CL165+(1-EXP(-LN(2)/25))/(LN(2)/25)*Calculateur!CG166*Calculateur!CI166*VLOOKUP('Données projet'!$B$12,Paramètres!$A$1:$I$89,3,0)*0.475*44/12</f>
        <v>0.43387958072105604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5.471247911433899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66.561949299871912</v>
      </c>
      <c r="CZ166" s="62">
        <f t="shared" si="150"/>
        <v>382.65744918271389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5.3666080908901481</v>
      </c>
      <c r="DG166" s="23">
        <f>EXP(-LN(2)/25)*DG165+(1-EXP(-LN(2)/25))/(LN(2)/25)*Calculateur!DB166*Calculateur!DD166*VLOOKUP('Données projet'!$B$13,Paramètres!$A$1:$I$89,3,0)*0.475*44/12</f>
        <v>0.46223772325184381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5.8288458141419923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>
        <f>DO166*VLOOKUP('Données projet'!$B$14,Paramètres!$A$1:$I$89,3,0)*VLOOKUP('Données projet'!$B$14,Paramètres!$A$1:$I$89,5,0)</f>
        <v>0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60.532656778089574</v>
      </c>
      <c r="DU166" s="62">
        <f t="shared" si="152"/>
        <v>348.96823267563025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4.9092805336027645</v>
      </c>
      <c r="EB166" s="23">
        <f>EXP(-LN(2)/25)*EB165+(1-EXP(-LN(2)/25))/(LN(2)/25)*Calculateur!DW166*Calculateur!DY166*VLOOKUP('Données projet'!$B$14,Paramètres!$A$1:$I$89,3,0)*0.475*44/12</f>
        <v>0.42284709787346214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5.3321276314762267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83.915519999999788</v>
      </c>
      <c r="D167" s="12">
        <f t="shared" si="140"/>
        <v>23.09187045315802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826.02196139279715</v>
      </c>
      <c r="H167" s="70">
        <f t="shared" si="110"/>
        <v>479.70453837258316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74.209918391015606</v>
      </c>
      <c r="T167" s="62">
        <f t="shared" si="142"/>
        <v>422.59746235438649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5.7939650688750035</v>
      </c>
      <c r="AA167" s="23">
        <f>EXP(-LN(2)/25)*AA166+(1-EXP(-LN(2)/25))/(LN(2)/25)*Calculateur!V167*Calculateur!X167*VLOOKUP('Données projet'!$B$9,Paramètres!$A$1:$I$89,3,0)*0.475*44/12</f>
        <v>0.4951092429942871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6.2890743118692907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65.6337514911271</v>
      </c>
      <c r="AO167" s="62">
        <f t="shared" si="144"/>
        <v>377.81060908047425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5.1968154656761847</v>
      </c>
      <c r="AV167" s="23">
        <f>EXP(-LN(2)/25)*AV166+(1-EXP(-LN(2)/25))/(LN(2)/25)*Calculateur!AQ167*Calculateur!AS167*VLOOKUP('Données projet'!$B$10,Paramètres!$A$1:$I$89,3,0)*0.475*44/12</f>
        <v>0.44408127087509847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5.6408967365512828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66.622529958850123</v>
      </c>
      <c r="BJ167" s="62">
        <f t="shared" si="146"/>
        <v>374.90853633180166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5.1581698712151907</v>
      </c>
      <c r="BQ167" s="23">
        <f>EXP(-LN(2)/25)*BQ166+(1-EXP(-LN(2)/25))/(LN(2)/25)*Calculateur!BL167*Calculateur!BN167*VLOOKUP('Données projet'!$B$11,Paramètres!$A$1:$I$89,3,0)*0.475*44/12</f>
        <v>0.44077890525998031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5.5989487764751713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61.91827157428213</v>
      </c>
      <c r="CE167" s="62">
        <f t="shared" si="148"/>
        <v>358.41033295847001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4.9385886102388623</v>
      </c>
      <c r="CL167" s="23">
        <f>EXP(-LN(2)/25)*CL166+(1-EXP(-LN(2)/25))/(LN(2)/25)*Calculateur!CG167*Calculateur!CI167*VLOOKUP('Données projet'!$B$12,Paramètres!$A$1:$I$89,3,0)*0.475*44/12</f>
        <v>0.42201512076950326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5.3606037310083652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66.561949299871912</v>
      </c>
      <c r="CZ167" s="62">
        <f t="shared" si="150"/>
        <v>382.65744918271389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5.2613721795355151</v>
      </c>
      <c r="DG167" s="23">
        <f>EXP(-LN(2)/25)*DG166+(1-EXP(-LN(2)/25))/(LN(2)/25)*Calculateur!DB167*Calculateur!DD167*VLOOKUP('Données projet'!$B$13,Paramètres!$A$1:$I$89,3,0)*0.475*44/12</f>
        <v>0.44959780840149671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5.7109699879370117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>
        <f>DO167*VLOOKUP('Données projet'!$B$14,Paramètres!$A$1:$I$89,3,0)*VLOOKUP('Données projet'!$B$14,Paramètres!$A$1:$I$89,5,0)</f>
        <v>0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60.532656778089574</v>
      </c>
      <c r="DU167" s="62">
        <f t="shared" si="152"/>
        <v>348.96823267563025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4.8130125367042709</v>
      </c>
      <c r="EB167" s="23">
        <f>EXP(-LN(2)/25)*EB166+(1-EXP(-LN(2)/25))/(LN(2)/25)*Calculateur!DW167*Calculateur!DY167*VLOOKUP('Données projet'!$B$14,Paramètres!$A$1:$I$89,3,0)*0.475*44/12</f>
        <v>0.41128432174554985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5.2242968584498204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84.427199999999786</v>
      </c>
      <c r="D168" s="12">
        <f t="shared" si="140"/>
        <v>23.216240893320059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830.93182443966214</v>
      </c>
      <c r="H168" s="70">
        <f t="shared" si="110"/>
        <v>480.81232622253208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74.209918391015606</v>
      </c>
      <c r="T168" s="62">
        <f t="shared" si="142"/>
        <v>422.59746235438649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5.6803489478441058</v>
      </c>
      <c r="AA168" s="23">
        <f>EXP(-LN(2)/25)*AA167+(1-EXP(-LN(2)/25))/(LN(2)/25)*Calculateur!V168*Calculateur!X168*VLOOKUP('Données projet'!$B$9,Paramètres!$A$1:$I$89,3,0)*0.475*44/12</f>
        <v>0.4815704547079448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6.1619194025520505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65.6337514911271</v>
      </c>
      <c r="AO168" s="62">
        <f t="shared" si="144"/>
        <v>377.81060908047425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5.0949090841387221</v>
      </c>
      <c r="AV168" s="23">
        <f>EXP(-LN(2)/25)*AV167+(1-EXP(-LN(2)/25))/(LN(2)/25)*Calculateur!AQ168*Calculateur!AS168*VLOOKUP('Données projet'!$B$10,Paramètres!$A$1:$I$89,3,0)*0.475*44/12</f>
        <v>0.43193784516979983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5.5268469293085216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66.622529958850123</v>
      </c>
      <c r="BJ168" s="62">
        <f t="shared" si="146"/>
        <v>374.90853633180166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5.0570213062136231</v>
      </c>
      <c r="BQ168" s="23">
        <f>EXP(-LN(2)/25)*BQ167+(1-EXP(-LN(2)/25))/(LN(2)/25)*Calculateur!BL168*Calculateur!BN168*VLOOKUP('Données projet'!$B$11,Paramètres!$A$1:$I$89,3,0)*0.475*44/12</f>
        <v>0.42872578291609093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5.4857470891297142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61.91827157428213</v>
      </c>
      <c r="CE168" s="62">
        <f t="shared" si="148"/>
        <v>358.41033295847001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4.841745899833696</v>
      </c>
      <c r="CL168" s="23">
        <f>EXP(-LN(2)/25)*CL167+(1-EXP(-LN(2)/25))/(LN(2)/25)*Calculateur!CG168*Calculateur!CI168*VLOOKUP('Données projet'!$B$12,Paramètres!$A$1:$I$89,3,0)*0.475*44/12</f>
        <v>0.41047509509925051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5.2522209949329461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66.561949299871912</v>
      </c>
      <c r="CZ168" s="62">
        <f t="shared" si="150"/>
        <v>382.65744918271389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5.1581998802149789</v>
      </c>
      <c r="DG168" s="23">
        <f>EXP(-LN(2)/25)*DG167+(1-EXP(-LN(2)/25))/(LN(2)/25)*Calculateur!DB168*Calculateur!DD168*VLOOKUP('Données projet'!$B$13,Paramètres!$A$1:$I$89,3,0)*0.475*44/12</f>
        <v>0.4373035326874366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5.5955034129024153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>
        <f>DO168*VLOOKUP('Données projet'!$B$14,Paramètres!$A$1:$I$89,3,0)*VLOOKUP('Données projet'!$B$14,Paramètres!$A$1:$I$89,5,0)</f>
        <v>0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60.532656778089574</v>
      </c>
      <c r="DU168" s="62">
        <f t="shared" si="152"/>
        <v>348.96823267563025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4.718632296507276</v>
      </c>
      <c r="EB168" s="23">
        <f>EXP(-LN(2)/25)*EB167+(1-EXP(-LN(2)/25))/(LN(2)/25)*Calculateur!DW168*Calculateur!DY168*VLOOKUP('Données projet'!$B$14,Paramètres!$A$1:$I$89,3,0)*0.475*44/12</f>
        <v>0.40003773033891532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5.1186700268461909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84.938879999999784</v>
      </c>
      <c r="D169" s="12">
        <f t="shared" si="140"/>
        <v>23.340523626161978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835.8410104475646</v>
      </c>
      <c r="H169" s="70">
        <f t="shared" si="110"/>
        <v>481.91996131556505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74.209918391015606</v>
      </c>
      <c r="T169" s="62">
        <f t="shared" si="142"/>
        <v>422.59746235438649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5.5689607696476333</v>
      </c>
      <c r="AA169" s="23">
        <f>EXP(-LN(2)/25)*AA168+(1-EXP(-LN(2)/25))/(LN(2)/25)*Calculateur!V169*Calculateur!X169*VLOOKUP('Données projet'!$B$9,Paramètres!$A$1:$I$89,3,0)*0.475*44/12</f>
        <v>0.46840188529926646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6.0373626549469002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65.6337514911271</v>
      </c>
      <c r="AO169" s="62">
        <f t="shared" si="144"/>
        <v>377.81060908047425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4.995001024586454</v>
      </c>
      <c r="AV169" s="23">
        <f>EXP(-LN(2)/25)*AV168+(1-EXP(-LN(2)/25))/(LN(2)/25)*Calculateur!AQ169*Calculateur!AS169*VLOOKUP('Données projet'!$B$10,Paramètres!$A$1:$I$89,3,0)*0.475*44/12</f>
        <v>0.4201264820790076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5.4151275066654616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66.622529958850123</v>
      </c>
      <c r="BJ169" s="62">
        <f t="shared" si="146"/>
        <v>374.90853633180166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4.9578562028772035</v>
      </c>
      <c r="BQ169" s="23">
        <f>EXP(-LN(2)/25)*BQ168+(1-EXP(-LN(2)/25))/(LN(2)/25)*Calculateur!BL169*Calculateur!BN169*VLOOKUP('Données projet'!$B$11,Paramètres!$A$1:$I$89,3,0)*0.475*44/12</f>
        <v>0.41700225383654138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5.3748584567137447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61.91827157428213</v>
      </c>
      <c r="CE169" s="62">
        <f t="shared" si="148"/>
        <v>358.41033295847001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4.7468022159113543</v>
      </c>
      <c r="CL169" s="23">
        <f>EXP(-LN(2)/25)*CL168+(1-EXP(-LN(2)/25))/(LN(2)/25)*Calculateur!CG169*Calculateur!CI169*VLOOKUP('Données projet'!$B$12,Paramètres!$A$1:$I$89,3,0)*0.475*44/12</f>
        <v>0.39925063203781441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5.1460528479491687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66.561949299871912</v>
      </c>
      <c r="CZ169" s="62">
        <f t="shared" si="150"/>
        <v>382.65744918271389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5.0570507267552296</v>
      </c>
      <c r="DG169" s="23">
        <f>EXP(-LN(2)/25)*DG168+(1-EXP(-LN(2)/25))/(LN(2)/25)*Calculateur!DB169*Calculateur!DD169*VLOOKUP('Données projet'!$B$13,Paramètres!$A$1:$I$89,3,0)*0.475*44/12</f>
        <v>0.42534544458930534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5.4823961713445346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>
        <f>DO169*VLOOKUP('Données projet'!$B$14,Paramètres!$A$1:$I$89,3,0)*VLOOKUP('Données projet'!$B$14,Paramètres!$A$1:$I$89,5,0)</f>
        <v>0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60.532656778089574</v>
      </c>
      <c r="DU169" s="62">
        <f t="shared" si="152"/>
        <v>348.96823267563025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4.6261027952542824</v>
      </c>
      <c r="EB169" s="23">
        <f>EXP(-LN(2)/25)*EB168+(1-EXP(-LN(2)/25))/(LN(2)/25)*Calculateur!DW169*Calculateur!DY169*VLOOKUP('Données projet'!$B$14,Paramètres!$A$1:$I$89,3,0)*0.475*44/12</f>
        <v>0.38909867756572775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5.0152014728200101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85.450559999999783</v>
      </c>
      <c r="D170" s="12">
        <f t="shared" si="140"/>
        <v>23.464719241342319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840.74952396825495</v>
      </c>
      <c r="H170" s="70">
        <f t="shared" si="110"/>
        <v>483.0274446786708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74.209918391015606</v>
      </c>
      <c r="T170" s="62">
        <f t="shared" si="142"/>
        <v>422.59746235438649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5.4597568456855132</v>
      </c>
      <c r="AA170" s="23">
        <f>EXP(-LN(2)/25)*AA169+(1-EXP(-LN(2)/25))/(LN(2)/25)*Calculateur!V170*Calculateur!X170*VLOOKUP('Données projet'!$B$9,Paramètres!$A$1:$I$89,3,0)*0.475*44/12</f>
        <v>0.45559341111357343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5.915350256799087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65.6337514911271</v>
      </c>
      <c r="AO170" s="62">
        <f t="shared" si="144"/>
        <v>377.81060908047425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4.8970521011441068</v>
      </c>
      <c r="AV170" s="23">
        <f>EXP(-LN(2)/25)*AV169+(1-EXP(-LN(2)/25))/(LN(2)/25)*Calculateur!AQ170*Calculateur!AS170*VLOOKUP('Données projet'!$B$10,Paramètres!$A$1:$I$89,3,0)*0.475*44/12</f>
        <v>0.40863810133306566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5.3056902024771722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66.622529958850123</v>
      </c>
      <c r="BJ170" s="62">
        <f t="shared" si="146"/>
        <v>374.90853633180166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4.8606356667324704</v>
      </c>
      <c r="BQ170" s="23">
        <f>EXP(-LN(2)/25)*BQ169+(1-EXP(-LN(2)/25))/(LN(2)/25)*Calculateur!BL170*Calculateur!BN170*VLOOKUP('Données projet'!$B$11,Paramètres!$A$1:$I$89,3,0)*0.475*44/12</f>
        <v>0.40559930527618571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5.2662349720086556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61.91827157428213</v>
      </c>
      <c r="CE170" s="62">
        <f t="shared" si="148"/>
        <v>358.41033295847001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4.6537203197208008</v>
      </c>
      <c r="CL170" s="23">
        <f>EXP(-LN(2)/25)*CL169+(1-EXP(-LN(2)/25))/(LN(2)/25)*Calculateur!CG170*Calculateur!CI170*VLOOKUP('Données projet'!$B$12,Paramètres!$A$1:$I$89,3,0)*0.475*44/12</f>
        <v>0.38833310250906211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5.0420534222298627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66.561949299871912</v>
      </c>
      <c r="CZ170" s="62">
        <f t="shared" si="150"/>
        <v>382.65744918271389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4.9578850464999338</v>
      </c>
      <c r="DG170" s="23">
        <f>EXP(-LN(2)/25)*DG169+(1-EXP(-LN(2)/25))/(LN(2)/25)*Calculateur!DB170*Calculateur!DD170*VLOOKUP('Données projet'!$B$13,Paramètres!$A$1:$I$89,3,0)*0.475*44/12</f>
        <v>0.41371435103906601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5.3715993975389997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>
        <f>DO170*VLOOKUP('Données projet'!$B$14,Paramètres!$A$1:$I$89,3,0)*VLOOKUP('Données projet'!$B$14,Paramètres!$A$1:$I$89,5,0)</f>
        <v>0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60.532656778089574</v>
      </c>
      <c r="DU170" s="62">
        <f t="shared" si="152"/>
        <v>348.96823267563025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4.5353877410834365</v>
      </c>
      <c r="EB170" s="23">
        <f>EXP(-LN(2)/25)*EB169+(1-EXP(-LN(2)/25))/(LN(2)/25)*Calculateur!DW170*Calculateur!DY170*VLOOKUP('Données projet'!$B$14,Paramètres!$A$1:$I$89,3,0)*0.475*44/12</f>
        <v>0.37845875376588278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4.9138464948493192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85.962239999999781</v>
      </c>
      <c r="D171" s="12">
        <f t="shared" si="140"/>
        <v>23.588828321049338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845.65736949581776</v>
      </c>
      <c r="H171" s="70">
        <f t="shared" si="110"/>
        <v>484.1347773258272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74.209918391015606</v>
      </c>
      <c r="T171" s="62">
        <f t="shared" si="142"/>
        <v>422.59746235438649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5.3526943440644734</v>
      </c>
      <c r="AA171" s="23">
        <f>EXP(-LN(2)/25)*AA170+(1-EXP(-LN(2)/25))/(LN(2)/25)*Calculateur!V171*Calculateur!X171*VLOOKUP('Données projet'!$B$9,Paramètres!$A$1:$I$89,3,0)*0.475*44/12</f>
        <v>0.44313518532805657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5.7958295293925302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65.6337514911271</v>
      </c>
      <c r="AO171" s="62">
        <f t="shared" si="144"/>
        <v>377.81060908047425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4.8010238963475205</v>
      </c>
      <c r="AV171" s="23">
        <f>EXP(-LN(2)/25)*AV170+(1-EXP(-LN(2)/25))/(LN(2)/25)*Calculateur!AQ171*Calculateur!AS171*VLOOKUP('Données projet'!$B$10,Paramètres!$A$1:$I$89,3,0)*0.475*44/12</f>
        <v>0.39746387096276919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5.1984877673102901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66.622529958850123</v>
      </c>
      <c r="BJ171" s="62">
        <f t="shared" si="146"/>
        <v>374.90853633180166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4.7653215660028643</v>
      </c>
      <c r="BQ171" s="23">
        <f>EXP(-LN(2)/25)*BQ170+(1-EXP(-LN(2)/25))/(LN(2)/25)*Calculateur!BL171*Calculateur!BN171*VLOOKUP('Données projet'!$B$11,Paramètres!$A$1:$I$89,3,0)*0.475*44/12</f>
        <v>0.39450817094386798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5.1598297369467323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61.91827157428213</v>
      </c>
      <c r="CE171" s="62">
        <f t="shared" si="148"/>
        <v>358.41033295847001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4.5624637027401933</v>
      </c>
      <c r="CL171" s="23">
        <f>EXP(-LN(2)/25)*CL170+(1-EXP(-LN(2)/25))/(LN(2)/25)*Calculateur!CG171*Calculateur!CI171*VLOOKUP('Données projet'!$B$12,Paramètres!$A$1:$I$89,3,0)*0.475*44/12</f>
        <v>0.37771411339940147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4.9401778161395944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66.561949299871912</v>
      </c>
      <c r="CZ171" s="62">
        <f t="shared" si="150"/>
        <v>382.65744918271389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4.8606639447493523</v>
      </c>
      <c r="DG171" s="23">
        <f>EXP(-LN(2)/25)*DG170+(1-EXP(-LN(2)/25))/(LN(2)/25)*Calculateur!DB171*Calculateur!DD171*VLOOKUP('Données projet'!$B$13,Paramètres!$A$1:$I$89,3,0)*0.475*44/12</f>
        <v>0.4024013103536106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5.2630652551029629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>
        <f>DO171*VLOOKUP('Données projet'!$B$14,Paramètres!$A$1:$I$89,3,0)*VLOOKUP('Données projet'!$B$14,Paramètres!$A$1:$I$89,5,0)</f>
        <v>0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60.532656778089574</v>
      </c>
      <c r="DU171" s="62">
        <f t="shared" si="152"/>
        <v>348.96823267563025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4.4464515537941613</v>
      </c>
      <c r="EB171" s="23">
        <f>EXP(-LN(2)/25)*EB170+(1-EXP(-LN(2)/25))/(LN(2)/25)*Calculateur!DW171*Calculateur!DY171*VLOOKUP('Données projet'!$B$14,Paramètres!$A$1:$I$89,3,0)*0.475*44/12</f>
        <v>0.36810977924187382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4.8145613330360355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86.473919999999779</v>
      </c>
      <c r="D172" s="12">
        <f t="shared" si="140"/>
        <v>23.71285144013947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850.56455146774169</v>
      </c>
      <c r="H172" s="70">
        <f t="shared" si="110"/>
        <v>485.2419602582425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74.209918391015606</v>
      </c>
      <c r="T172" s="62">
        <f t="shared" si="142"/>
        <v>422.59746235438649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5.2477312727985446</v>
      </c>
      <c r="AA172" s="23">
        <f>EXP(-LN(2)/25)*AA171+(1-EXP(-LN(2)/25))/(LN(2)/25)*Calculateur!V172*Calculateur!X172*VLOOKUP('Données projet'!$B$9,Paramètres!$A$1:$I$89,3,0)*0.475*44/12</f>
        <v>0.43101763038179425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5.6787489031803391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65.6337514911271</v>
      </c>
      <c r="AO172" s="62">
        <f t="shared" si="144"/>
        <v>377.81060908047425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4.7068787460755734</v>
      </c>
      <c r="AV172" s="23">
        <f>EXP(-LN(2)/25)*AV171+(1-EXP(-LN(2)/25))/(LN(2)/25)*Calculateur!AQ172*Calculateur!AS172*VLOOKUP('Données projet'!$B$10,Paramètres!$A$1:$I$89,3,0)*0.475*44/12</f>
        <v>0.38659520050957569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5.0934739465851493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66.622529958850123</v>
      </c>
      <c r="BJ172" s="62">
        <f t="shared" si="146"/>
        <v>374.90853633180166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4.6718765166527048</v>
      </c>
      <c r="BQ172" s="23">
        <f>EXP(-LN(2)/25)*BQ171+(1-EXP(-LN(2)/25))/(LN(2)/25)*Calculateur!BL172*Calculateur!BN172*VLOOKUP('Données projet'!$B$11,Paramètres!$A$1:$I$89,3,0)*0.475*44/12</f>
        <v>0.38372032426312486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5.0555968409158298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61.91827157428213</v>
      </c>
      <c r="CE172" s="62">
        <f t="shared" si="148"/>
        <v>358.41033295847001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4.4729965723575349</v>
      </c>
      <c r="CL172" s="23">
        <f>EXP(-LN(2)/25)*CL171+(1-EXP(-LN(2)/25))/(LN(2)/25)*Calculateur!CG172*Calculateur!CI172*VLOOKUP('Données projet'!$B$12,Paramètres!$A$1:$I$89,3,0)*0.475*44/12</f>
        <v>0.36738550110537288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4.8403820734629077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66.561949299871912</v>
      </c>
      <c r="CZ172" s="62">
        <f t="shared" si="150"/>
        <v>382.65744918271389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4.7653492895050826</v>
      </c>
      <c r="DG172" s="23">
        <f>EXP(-LN(2)/25)*DG171+(1-EXP(-LN(2)/25))/(LN(2)/25)*Calculateur!DB172*Calculateur!DD172*VLOOKUP('Données projet'!$B$13,Paramètres!$A$1:$I$89,3,0)*0.475*44/12</f>
        <v>0.39139762536062589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5.1567469148657086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>
        <f>DO172*VLOOKUP('Données projet'!$B$14,Paramètres!$A$1:$I$89,3,0)*VLOOKUP('Données projet'!$B$14,Paramètres!$A$1:$I$89,5,0)</f>
        <v>0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60.532656778089574</v>
      </c>
      <c r="DU172" s="62">
        <f t="shared" si="152"/>
        <v>348.96823267563025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4.3592593508919109</v>
      </c>
      <c r="EB172" s="23">
        <f>EXP(-LN(2)/25)*EB171+(1-EXP(-LN(2)/25))/(LN(2)/25)*Calculateur!DW172*Calculateur!DY172*VLOOKUP('Données projet'!$B$14,Paramètres!$A$1:$I$89,3,0)*0.475*44/12</f>
        <v>0.35804379797045283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4.7173031488623636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86.985599999999778</v>
      </c>
      <c r="D173" s="12">
        <f t="shared" si="140"/>
        <v>23.836789166272567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855.47107426596187</v>
      </c>
      <c r="H173" s="70">
        <f t="shared" si="110"/>
        <v>486.34899446459099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74.209918391015606</v>
      </c>
      <c r="T173" s="62">
        <f t="shared" si="142"/>
        <v>422.59746235438649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5.1448264633389886</v>
      </c>
      <c r="AA173" s="23">
        <f>EXP(-LN(2)/25)*AA172+(1-EXP(-LN(2)/25))/(LN(2)/25)*Calculateur!V173*Calculateur!X173*VLOOKUP('Données projet'!$B$9,Paramètres!$A$1:$I$89,3,0)*0.475*44/12</f>
        <v>0.41923143061277202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5.5640578939517606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65.6337514911271</v>
      </c>
      <c r="AO173" s="62">
        <f t="shared" si="144"/>
        <v>377.81060908047425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4.6145797247775873</v>
      </c>
      <c r="AV173" s="23">
        <f>EXP(-LN(2)/25)*AV172+(1-EXP(-LN(2)/25))/(LN(2)/25)*Calculateur!AQ173*Calculateur!AS173*VLOOKUP('Données projet'!$B$10,Paramètres!$A$1:$I$89,3,0)*0.475*44/12</f>
        <v>0.37602373442148335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4.9906034591990709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66.622529958850123</v>
      </c>
      <c r="BJ173" s="62">
        <f t="shared" si="146"/>
        <v>374.90853633180166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4.5802638677244492</v>
      </c>
      <c r="BQ173" s="23">
        <f>EXP(-LN(2)/25)*BQ172+(1-EXP(-LN(2)/25))/(LN(2)/25)*Calculateur!BL173*Calculateur!BN173*VLOOKUP('Données projet'!$B$11,Paramètres!$A$1:$I$89,3,0)*0.475*44/12</f>
        <v>0.37322747181717486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4.9534913395416238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61.91827157428213</v>
      </c>
      <c r="CE173" s="62">
        <f t="shared" si="148"/>
        <v>358.41033295847001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4.3852838378321195</v>
      </c>
      <c r="CL173" s="23">
        <f>EXP(-LN(2)/25)*CL172+(1-EXP(-LN(2)/25))/(LN(2)/25)*Calculateur!CG173*Calculateur!CI173*VLOOKUP('Données projet'!$B$12,Paramètres!$A$1:$I$89,3,0)*0.475*44/12</f>
        <v>0.35733932525768264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4.7426231630898021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66.561949299871912</v>
      </c>
      <c r="CZ173" s="62">
        <f t="shared" si="150"/>
        <v>382.65744918271389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4.6719036965139544</v>
      </c>
      <c r="DG173" s="23">
        <f>EXP(-LN(2)/25)*DG172+(1-EXP(-LN(2)/25))/(LN(2)/25)*Calculateur!DB173*Calculateur!DD173*VLOOKUP('Données projet'!$B$13,Paramètres!$A$1:$I$89,3,0)*0.475*44/12</f>
        <v>0.38069483671243298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5.0525985332263872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>
        <f>DO173*VLOOKUP('Données projet'!$B$14,Paramètres!$A$1:$I$89,3,0)*VLOOKUP('Données projet'!$B$14,Paramètres!$A$1:$I$89,5,0)</f>
        <v>0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60.532656778089574</v>
      </c>
      <c r="DU173" s="62">
        <f t="shared" si="152"/>
        <v>348.96823267563025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4.2737769339065812</v>
      </c>
      <c r="EB173" s="23">
        <f>EXP(-LN(2)/25)*EB172+(1-EXP(-LN(2)/25))/(LN(2)/25)*Calculateur!DW173*Calculateur!DY173*VLOOKUP('Données projet'!$B$14,Paramètres!$A$1:$I$89,3,0)*0.475*44/12</f>
        <v>0.34825307148624579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4.6220300053928272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87.497279999999776</v>
      </c>
      <c r="D174" s="12">
        <f t="shared" si="140"/>
        <v>23.960642060043764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860.3769422178799</v>
      </c>
      <c r="H174" s="70">
        <f t="shared" si="110"/>
        <v>487.45588092124251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74.209918391015606</v>
      </c>
      <c r="T174" s="62">
        <f t="shared" si="142"/>
        <v>422.59746235438649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5.0439395544271983</v>
      </c>
      <c r="AA174" s="23">
        <f>EXP(-LN(2)/25)*AA173+(1-EXP(-LN(2)/25))/(LN(2)/25)*Calculateur!V174*Calculateur!X174*VLOOKUP('Données projet'!$B$9,Paramètres!$A$1:$I$89,3,0)*0.475*44/12</f>
        <v>0.40776752509624298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5.451707079523441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65.6337514911271</v>
      </c>
      <c r="AO174" s="62">
        <f t="shared" si="144"/>
        <v>377.81060908047425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4.5240906309904103</v>
      </c>
      <c r="AV174" s="23">
        <f>EXP(-LN(2)/25)*AV173+(1-EXP(-LN(2)/25))/(LN(2)/25)*Calculateur!AQ174*Calculateur!AS174*VLOOKUP('Données projet'!$B$10,Paramètres!$A$1:$I$89,3,0)*0.475*44/12</f>
        <v>0.36574134562949911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4.8898319766199094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66.622529958850123</v>
      </c>
      <c r="BJ174" s="62">
        <f t="shared" si="146"/>
        <v>374.90853633180166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4.4904476869634786</v>
      </c>
      <c r="BQ174" s="23">
        <f>EXP(-LN(2)/25)*BQ173+(1-EXP(-LN(2)/25))/(LN(2)/25)*Calculateur!BL174*Calculateur!BN174*VLOOKUP('Données projet'!$B$11,Paramètres!$A$1:$I$89,3,0)*0.475*44/12</f>
        <v>0.36302154697315447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4.8534692339366332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61.91827157428213</v>
      </c>
      <c r="CE174" s="62">
        <f t="shared" si="148"/>
        <v>358.41033295847001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4.2992910965312623</v>
      </c>
      <c r="CL174" s="23">
        <f>EXP(-LN(2)/25)*CL173+(1-EXP(-LN(2)/25))/(LN(2)/25)*Calculateur!CG174*Calculateur!CI174*VLOOKUP('Données projet'!$B$12,Paramètres!$A$1:$I$89,3,0)*0.475*44/12</f>
        <v>0.34756786261685291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4.6468589591481155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66.561949299871912</v>
      </c>
      <c r="CZ174" s="62">
        <f t="shared" si="150"/>
        <v>382.65744918271389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4.5802905146051982</v>
      </c>
      <c r="DG174" s="23">
        <f>EXP(-LN(2)/25)*DG173+(1-EXP(-LN(2)/25))/(LN(2)/25)*Calculateur!DB174*Calculateur!DD174*VLOOKUP('Données projet'!$B$13,Paramètres!$A$1:$I$89,3,0)*0.475*44/12</f>
        <v>0.37028471638266014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4.9505752309878588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>
        <f>DO174*VLOOKUP('Données projet'!$B$14,Paramètres!$A$1:$I$89,3,0)*VLOOKUP('Données projet'!$B$14,Paramètres!$A$1:$I$89,5,0)</f>
        <v>0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60.532656778089574</v>
      </c>
      <c r="DU174" s="62">
        <f t="shared" si="152"/>
        <v>348.96823267563025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4.1899707749792077</v>
      </c>
      <c r="EB174" s="23">
        <f>EXP(-LN(2)/25)*EB173+(1-EXP(-LN(2)/25))/(LN(2)/25)*Calculateur!DW174*Calculateur!DY174*VLOOKUP('Données projet'!$B$14,Paramètres!$A$1:$I$89,3,0)*0.475*44/12</f>
        <v>0.33873007293262131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4.5287008479118294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88.008959999999774</v>
      </c>
      <c r="D175" s="12">
        <f t="shared" si="140"/>
        <v>24.084410675112149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865.28215959735519</v>
      </c>
      <c r="H175" s="70">
        <f t="shared" si="110"/>
        <v>488.56262059248661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74.209918391015606</v>
      </c>
      <c r="T175" s="62">
        <f t="shared" si="142"/>
        <v>422.59746235438649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4.9450309762642304</v>
      </c>
      <c r="AA175" s="23">
        <f>EXP(-LN(2)/25)*AA174+(1-EXP(-LN(2)/25))/(LN(2)/25)*Calculateur!V175*Calculateur!X175*VLOOKUP('Données projet'!$B$9,Paramètres!$A$1:$I$89,3,0)*0.475*44/12</f>
        <v>0.39661710067892403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5.3416480769431542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65.6337514911271</v>
      </c>
      <c r="AO175" s="62">
        <f t="shared" si="144"/>
        <v>377.81060908047425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4.4353759731395028</v>
      </c>
      <c r="AV175" s="23">
        <f>EXP(-LN(2)/25)*AV174+(1-EXP(-LN(2)/25))/(LN(2)/25)*Calculateur!AQ175*Calculateur!AS175*VLOOKUP('Données projet'!$B$10,Paramètres!$A$1:$I$89,3,0)*0.475*44/12</f>
        <v>0.35574012929975901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4.7911161024392621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66.622529958850123</v>
      </c>
      <c r="BJ175" s="62">
        <f t="shared" si="146"/>
        <v>374.90853633180166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4.4023927467247699</v>
      </c>
      <c r="BQ175" s="23">
        <f>EXP(-LN(2)/25)*BQ174+(1-EXP(-LN(2)/25))/(LN(2)/25)*Calculateur!BL175*Calculateur!BN175*VLOOKUP('Données projet'!$B$11,Paramètres!$A$1:$I$89,3,0)*0.475*44/12</f>
        <v>0.35309470368070012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4.7554874504054698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61.91827157428213</v>
      </c>
      <c r="CE175" s="62">
        <f t="shared" si="148"/>
        <v>358.41033295847001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4.2149846204369217</v>
      </c>
      <c r="CL175" s="23">
        <f>EXP(-LN(2)/25)*CL174+(1-EXP(-LN(2)/25))/(LN(2)/25)*Calculateur!CG175*Calculateur!CI175*VLOOKUP('Données projet'!$B$12,Paramètres!$A$1:$I$89,3,0)*0.475*44/12</f>
        <v>0.33806360113579553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4.553048221572717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66.561949299871912</v>
      </c>
      <c r="CZ175" s="62">
        <f t="shared" si="150"/>
        <v>382.65744918271389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4.490473811315149</v>
      </c>
      <c r="DG175" s="23">
        <f>EXP(-LN(2)/25)*DG174+(1-EXP(-LN(2)/25))/(LN(2)/25)*Calculateur!DB175*Calculateur!DD175*VLOOKUP('Données projet'!$B$13,Paramètres!$A$1:$I$89,3,0)*0.475*44/12</f>
        <v>0.36015926134074938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4.8506330726558984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>
        <f>DO175*VLOOKUP('Données projet'!$B$14,Paramètres!$A$1:$I$89,3,0)*VLOOKUP('Données projet'!$B$14,Paramètres!$A$1:$I$89,5,0)</f>
        <v>0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60.532656778089574</v>
      </c>
      <c r="DU175" s="62">
        <f t="shared" si="152"/>
        <v>348.96823267563025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4.1078080037116909</v>
      </c>
      <c r="EB175" s="23">
        <f>EXP(-LN(2)/25)*EB174+(1-EXP(-LN(2)/25))/(LN(2)/25)*Calculateur!DW175*Calculateur!DY175*VLOOKUP('Données projet'!$B$14,Paramètres!$A$1:$I$89,3,0)*0.475*44/12</f>
        <v>0.32946748127523839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4.4372754849869294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88.520639999999773</v>
      </c>
      <c r="D176" s="12">
        <f t="shared" si="140"/>
        <v>24.208095558326399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870.18673062567586</v>
      </c>
      <c r="H176" s="70">
        <f t="shared" si="110"/>
        <v>489.66921443075137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74.209918391015606</v>
      </c>
      <c r="T176" s="62">
        <f t="shared" si="142"/>
        <v>422.59746235438649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4.8480619349907625</v>
      </c>
      <c r="AA176" s="23">
        <f>EXP(-LN(2)/25)*AA175+(1-EXP(-LN(2)/25))/(LN(2)/25)*Calculateur!V176*Calculateur!X176*VLOOKUP('Données projet'!$B$9,Paramètres!$A$1:$I$89,3,0)*0.475*44/12</f>
        <v>0.385771585203672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5.2338335201944348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65.6337514911271</v>
      </c>
      <c r="AO176" s="62">
        <f t="shared" si="144"/>
        <v>377.81060908047425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4.3484009556184535</v>
      </c>
      <c r="AV176" s="23">
        <f>EXP(-LN(2)/25)*AV175+(1-EXP(-LN(2)/25))/(LN(2)/25)*Calculateur!AQ176*Calculateur!AS176*VLOOKUP('Données projet'!$B$10,Paramètres!$A$1:$I$89,3,0)*0.475*44/12</f>
        <v>0.34601239675649675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4.6944133523749505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66.622529958850123</v>
      </c>
      <c r="BJ176" s="62">
        <f t="shared" si="146"/>
        <v>374.90853633180166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4.3160645101559316</v>
      </c>
      <c r="BQ176" s="23">
        <f>EXP(-LN(2)/25)*BQ175+(1-EXP(-LN(2)/25))/(LN(2)/25)*Calculateur!BL176*Calculateur!BN176*VLOOKUP('Données projet'!$B$11,Paramètres!$A$1:$I$89,3,0)*0.475*44/12</f>
        <v>0.34343931044010789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4.65950382059604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61.91827157428213</v>
      </c>
      <c r="CE176" s="62">
        <f t="shared" si="148"/>
        <v>358.41033295847001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4.1323313429169177</v>
      </c>
      <c r="CL176" s="23">
        <f>EXP(-LN(2)/25)*CL175+(1-EXP(-LN(2)/25))/(LN(2)/25)*Calculateur!CG176*Calculateur!CI176*VLOOKUP('Données projet'!$B$12,Paramètres!$A$1:$I$89,3,0)*0.475*44/12</f>
        <v>0.32881923418474507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4.4611505771016624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66.561949299871912</v>
      </c>
      <c r="CZ176" s="62">
        <f t="shared" si="150"/>
        <v>382.65744918271389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4.4024183587938381</v>
      </c>
      <c r="DG176" s="23">
        <f>EXP(-LN(2)/25)*DG175+(1-EXP(-LN(2)/25))/(LN(2)/25)*Calculateur!DB176*Calculateur!DD176*VLOOKUP('Données projet'!$B$13,Paramètres!$A$1:$I$89,3,0)*0.475*44/12</f>
        <v>0.35031068739943422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4.7527290461932727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>
        <f>DO176*VLOOKUP('Données projet'!$B$14,Paramètres!$A$1:$I$89,3,0)*VLOOKUP('Données projet'!$B$14,Paramètres!$A$1:$I$89,5,0)</f>
        <v>0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60.532656778089574</v>
      </c>
      <c r="DU176" s="62">
        <f t="shared" si="152"/>
        <v>348.96823267563025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4.0272563942743878</v>
      </c>
      <c r="EB176" s="23">
        <f>EXP(-LN(2)/25)*EB175+(1-EXP(-LN(2)/25))/(LN(2)/25)*Calculateur!DW176*Calculateur!DY176*VLOOKUP('Données projet'!$B$14,Paramètres!$A$1:$I$89,3,0)*0.475*44/12</f>
        <v>0.32045817567382517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4.3477145699482129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89.032319999999771</v>
      </c>
      <c r="D177" s="12">
        <f t="shared" si="140"/>
        <v>24.331697249847494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875.09065947250531</v>
      </c>
      <c r="H177" s="70">
        <f t="shared" si="110"/>
        <v>490.77566337681731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74.209918391015606</v>
      </c>
      <c r="T177" s="62">
        <f t="shared" si="142"/>
        <v>422.59746235438649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4.752994397471392</v>
      </c>
      <c r="AA177" s="23">
        <f>EXP(-LN(2)/25)*AA176+(1-EXP(-LN(2)/25))/(LN(2)/25)*Calculateur!V177*Calculateur!X177*VLOOKUP('Données projet'!$B$9,Paramètres!$A$1:$I$89,3,0)*0.475*44/12</f>
        <v>0.37522264091943164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5.1282170383908232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65.6337514911271</v>
      </c>
      <c r="AO177" s="62">
        <f t="shared" si="144"/>
        <v>377.81060908047425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4.2631314651414698</v>
      </c>
      <c r="AV177" s="23">
        <f>EXP(-LN(2)/25)*AV176+(1-EXP(-LN(2)/25))/(LN(2)/25)*Calculateur!AQ177*Calculateur!AS177*VLOOKUP('Données projet'!$B$10,Paramètres!$A$1:$I$89,3,0)*0.475*44/12</f>
        <v>0.33655066957118923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4.5996821347126593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66.622529958850123</v>
      </c>
      <c r="BJ177" s="62">
        <f t="shared" si="146"/>
        <v>374.90853633180166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4.2314291176511833</v>
      </c>
      <c r="BQ177" s="23">
        <f>EXP(-LN(2)/25)*BQ176+(1-EXP(-LN(2)/25))/(LN(2)/25)*Calculateur!BL177*Calculateur!BN177*VLOOKUP('Données projet'!$B$11,Paramètres!$A$1:$I$89,3,0)*0.475*44/12</f>
        <v>0.33404794443543473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4.5654770620866181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61.91827157428213</v>
      </c>
      <c r="CE177" s="62">
        <f t="shared" si="148"/>
        <v>358.41033295847001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4.0512988457555599</v>
      </c>
      <c r="CL177" s="23">
        <f>EXP(-LN(2)/25)*CL176+(1-EXP(-LN(2)/25))/(LN(2)/25)*Calculateur!CG177*Calculateur!CI177*VLOOKUP('Données projet'!$B$12,Paramètres!$A$1:$I$89,3,0)*0.475*44/12</f>
        <v>0.31982765493411119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4.3711265006896713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66.561949299871912</v>
      </c>
      <c r="CZ177" s="62">
        <f t="shared" si="150"/>
        <v>382.65744918271389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4.316089619987947</v>
      </c>
      <c r="DG177" s="23">
        <f>EXP(-LN(2)/25)*DG176+(1-EXP(-LN(2)/25))/(LN(2)/25)*Calculateur!DB177*Calculateur!DD177*VLOOKUP('Données projet'!$B$13,Paramètres!$A$1:$I$89,3,0)*0.475*44/12</f>
        <v>0.3407314232304583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4.6568210432184056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>
        <f>DO177*VLOOKUP('Données projet'!$B$14,Paramètres!$A$1:$I$89,3,0)*VLOOKUP('Données projet'!$B$14,Paramètres!$A$1:$I$89,5,0)</f>
        <v>0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60.532656778089574</v>
      </c>
      <c r="DU177" s="62">
        <f t="shared" si="152"/>
        <v>348.96823267563025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3.9482843527665197</v>
      </c>
      <c r="EB177" s="23">
        <f>EXP(-LN(2)/25)*EB176+(1-EXP(-LN(2)/25))/(LN(2)/25)*Calculateur!DW177*Calculateur!DY177*VLOOKUP('Données projet'!$B$14,Paramètres!$A$1:$I$89,3,0)*0.475*44/12</f>
        <v>0.31169523000786137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4.2599795827743812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89.54399999999977</v>
      </c>
      <c r="D178" s="12">
        <f t="shared" si="140"/>
        <v>24.455216283268346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879.99395025680644</v>
      </c>
      <c r="H178" s="70">
        <f t="shared" si="110"/>
        <v>491.88196836002527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74.209918391015606</v>
      </c>
      <c r="T178" s="62">
        <f t="shared" si="142"/>
        <v>422.59746235438649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4.6597910763773038</v>
      </c>
      <c r="AA178" s="23">
        <f>EXP(-LN(2)/25)*AA177+(1-EXP(-LN(2)/25))/(LN(2)/25)*Calculateur!V178*Calculateur!X178*VLOOKUP('Données projet'!$B$9,Paramètres!$A$1:$I$89,3,0)*0.475*44/12</f>
        <v>0.36496215807138865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5.024753234448692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65.6337514911271</v>
      </c>
      <c r="AO178" s="62">
        <f t="shared" si="144"/>
        <v>377.81060908047425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4.1795340573634858</v>
      </c>
      <c r="AV178" s="23">
        <f>EXP(-LN(2)/25)*AV177+(1-EXP(-LN(2)/25))/(LN(2)/25)*Calculateur!AQ178*Calculateur!AS178*VLOOKUP('Données projet'!$B$10,Paramètres!$A$1:$I$89,3,0)*0.475*44/12</f>
        <v>0.32734767381333457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4.5068817311768203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66.622529958850123</v>
      </c>
      <c r="BJ178" s="62">
        <f t="shared" si="146"/>
        <v>374.90853633180166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4.1484533735709608</v>
      </c>
      <c r="BQ178" s="23">
        <f>EXP(-LN(2)/25)*BQ177+(1-EXP(-LN(2)/25))/(LN(2)/25)*Calculateur!BL178*Calculateur!BN178*VLOOKUP('Données projet'!$B$11,Paramètres!$A$1:$I$89,3,0)*0.475*44/12</f>
        <v>0.32491338582802987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4.4733667593989903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61.91827157428213</v>
      </c>
      <c r="CE178" s="62">
        <f t="shared" si="148"/>
        <v>358.41033295847001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3.9718553464385935</v>
      </c>
      <c r="CL178" s="23">
        <f>EXP(-LN(2)/25)*CL177+(1-EXP(-LN(2)/25))/(LN(2)/25)*Calculateur!CG178*Calculateur!CI178*VLOOKUP('Données projet'!$B$12,Paramètres!$A$1:$I$89,3,0)*0.475*44/12</f>
        <v>0.31108195089093255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4.2829372973295259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66.561949299871912</v>
      </c>
      <c r="CZ178" s="62">
        <f t="shared" si="150"/>
        <v>382.65744918271389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4.2314537350947088</v>
      </c>
      <c r="DG178" s="23">
        <f>EXP(-LN(2)/25)*DG177+(1-EXP(-LN(2)/25))/(LN(2)/25)*Calculateur!DB178*Calculateur!DD178*VLOOKUP('Données projet'!$B$13,Paramètres!$A$1:$I$89,3,0)*0.475*44/12</f>
        <v>0.33141410454393461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4.5628678396386437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>
        <f>DO178*VLOOKUP('Données projet'!$B$14,Paramètres!$A$1:$I$89,3,0)*VLOOKUP('Données projet'!$B$14,Paramètres!$A$1:$I$89,5,0)</f>
        <v>0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60.532656778089574</v>
      </c>
      <c r="DU178" s="62">
        <f t="shared" si="152"/>
        <v>348.96823267563025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3.8708609048244318</v>
      </c>
      <c r="EB178" s="23">
        <f>EXP(-LN(2)/25)*EB177+(1-EXP(-LN(2)/25))/(LN(2)/25)*Calculateur!DW178*Calculateur!DY178*VLOOKUP('Données projet'!$B$14,Paramètres!$A$1:$I$89,3,0)*0.475*44/12</f>
        <v>0.30317190755195667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4.1740328123763888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90.055679999999768</v>
      </c>
      <c r="D179" s="12">
        <f t="shared" si="140"/>
        <v>24.578653185730865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884.89660704774531</v>
      </c>
      <c r="H179" s="70">
        <f t="shared" si="110"/>
        <v>492.98813029848083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74.209918391015606</v>
      </c>
      <c r="T179" s="62">
        <f t="shared" si="142"/>
        <v>422.59746235438649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4.568415415561458</v>
      </c>
      <c r="AA179" s="23">
        <f>EXP(-LN(2)/25)*AA178+(1-EXP(-LN(2)/25))/(LN(2)/25)*Calculateur!V179*Calculateur!X179*VLOOKUP('Données projet'!$B$9,Paramètres!$A$1:$I$89,3,0)*0.475*44/12</f>
        <v>0.35498224866640077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4.923397664227859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65.6337514911271</v>
      </c>
      <c r="AO179" s="62">
        <f t="shared" si="144"/>
        <v>377.81060908047425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4.097575943762644</v>
      </c>
      <c r="AV179" s="23">
        <f>EXP(-LN(2)/25)*AV178+(1-EXP(-LN(2)/25))/(LN(2)/25)*Calculateur!AQ179*Calculateur!AS179*VLOOKUP('Données projet'!$B$10,Paramètres!$A$1:$I$89,3,0)*0.475*44/12</f>
        <v>0.31839633445844295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4.4159722782210871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66.622529958850123</v>
      </c>
      <c r="BJ179" s="62">
        <f t="shared" si="146"/>
        <v>374.90853633180166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4.067104733221945</v>
      </c>
      <c r="BQ179" s="23">
        <f>EXP(-LN(2)/25)*BQ178+(1-EXP(-LN(2)/25))/(LN(2)/25)*Calculateur!BL179*Calculateur!BN179*VLOOKUP('Données projet'!$B$11,Paramètres!$A$1:$I$89,3,0)*0.475*44/12</f>
        <v>0.31602861220611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4.383133345428055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61.91827157428213</v>
      </c>
      <c r="CE179" s="62">
        <f t="shared" si="148"/>
        <v>358.41033295847001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3.893969685687483</v>
      </c>
      <c r="CL179" s="23">
        <f>EXP(-LN(2)/25)*CL178+(1-EXP(-LN(2)/25))/(LN(2)/25)*Calculateur!CG179*Calculateur!CI179*VLOOKUP('Données projet'!$B$12,Paramètres!$A$1:$I$89,3,0)*0.475*44/12</f>
        <v>0.3025753985847312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4.1965450842722145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66.561949299871912</v>
      </c>
      <c r="CZ179" s="62">
        <f t="shared" si="150"/>
        <v>382.65744918271389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4.1484775082814345</v>
      </c>
      <c r="DG179" s="23">
        <f>EXP(-LN(2)/25)*DG178+(1-EXP(-LN(2)/25))/(LN(2)/25)*Calculateur!DB179*Calculateur!DD179*VLOOKUP('Données projet'!$B$13,Paramètres!$A$1:$I$89,3,0)*0.475*44/12</f>
        <v>0.32235156842687041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4.4708290767083048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>
        <f>DO179*VLOOKUP('Données projet'!$B$14,Paramètres!$A$1:$I$89,3,0)*VLOOKUP('Données projet'!$B$14,Paramètres!$A$1:$I$89,5,0)</f>
        <v>0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60.532656778089574</v>
      </c>
      <c r="DU179" s="62">
        <f t="shared" si="152"/>
        <v>348.96823267563025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3.794955683472848</v>
      </c>
      <c r="EB179" s="23">
        <f>EXP(-LN(2)/25)*EB178+(1-EXP(-LN(2)/25))/(LN(2)/25)*Calculateur!DW179*Calculateur!DY179*VLOOKUP('Données projet'!$B$14,Paramètres!$A$1:$I$89,3,0)*0.475*44/12</f>
        <v>0.29488165579683068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4.0898373392696783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90.567359999999766</v>
      </c>
      <c r="D180" s="12">
        <f t="shared" si="140"/>
        <v>24.702008478040018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889.7986338655702</v>
      </c>
      <c r="H180" s="70">
        <f t="shared" si="110"/>
        <v>494.0941500992526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74.209918391015606</v>
      </c>
      <c r="T180" s="62">
        <f t="shared" si="142"/>
        <v>422.59746235438649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4.4788315757205615</v>
      </c>
      <c r="AA180" s="23">
        <f>EXP(-LN(2)/25)*AA179+(1-EXP(-LN(2)/25))/(LN(2)/25)*Calculateur!V180*Calculateur!X180*VLOOKUP('Données projet'!$B$9,Paramètres!$A$1:$I$89,3,0)*0.475*44/12</f>
        <v>0.34527524040891289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4.8241068161294747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65.6337514911271</v>
      </c>
      <c r="AO180" s="62">
        <f t="shared" si="144"/>
        <v>377.81060908047425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4.0172249787800016</v>
      </c>
      <c r="AV180" s="23">
        <f>EXP(-LN(2)/25)*AV179+(1-EXP(-LN(2)/25))/(LN(2)/25)*Calculateur!AQ180*Calculateur!AS180*VLOOKUP('Données projet'!$B$10,Paramètres!$A$1:$I$89,3,0)*0.475*44/12</f>
        <v>0.30968976994894132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4.3269147487289432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66.622529958850123</v>
      </c>
      <c r="BJ180" s="62">
        <f t="shared" si="146"/>
        <v>374.90853633180166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3.9873512900924024</v>
      </c>
      <c r="BQ180" s="23">
        <f>EXP(-LN(2)/25)*BQ179+(1-EXP(-LN(2)/25))/(LN(2)/25)*Calculateur!BL180*Calculateur!BN180*VLOOKUP('Données projet'!$B$11,Paramètres!$A$1:$I$89,3,0)*0.475*44/12</f>
        <v>0.30738679318611151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4.2947380832785136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61.91827157428213</v>
      </c>
      <c r="CE180" s="62">
        <f t="shared" si="148"/>
        <v>358.41033295847001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3.8176113152381395</v>
      </c>
      <c r="CL180" s="23">
        <f>EXP(-LN(2)/25)*CL179+(1-EXP(-LN(2)/25))/(LN(2)/25)*Calculateur!CG180*Calculateur!CI180*VLOOKUP('Données projet'!$B$12,Paramètres!$A$1:$I$89,3,0)*0.475*44/12</f>
        <v>0.29430145839868305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4.1119127736368224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66.561949299871912</v>
      </c>
      <c r="CZ180" s="62">
        <f t="shared" si="150"/>
        <v>382.65744918271389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4.0671283946654668</v>
      </c>
      <c r="DG180" s="23">
        <f>EXP(-LN(2)/25)*DG179+(1-EXP(-LN(2)/25))/(LN(2)/25)*Calculateur!DB180*Calculateur!DD180*VLOOKUP('Données projet'!$B$13,Paramètres!$A$1:$I$89,3,0)*0.475*44/12</f>
        <v>0.31353684783650537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4.3806652425019719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>
        <f>DO180*VLOOKUP('Données projet'!$B$14,Paramètres!$A$1:$I$89,3,0)*VLOOKUP('Données projet'!$B$14,Paramètres!$A$1:$I$89,5,0)</f>
        <v>0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60.532656778089574</v>
      </c>
      <c r="DU180" s="62">
        <f t="shared" si="152"/>
        <v>348.96823267563025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3.720538917214355</v>
      </c>
      <c r="EB180" s="23">
        <f>EXP(-LN(2)/25)*EB179+(1-EXP(-LN(2)/25))/(LN(2)/25)*Calculateur!DW180*Calculateur!DY180*VLOOKUP('Données projet'!$B$14,Paramètres!$A$1:$I$89,3,0)*0.475*44/12</f>
        <v>0.28681810141191405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4.0073570186262693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91.079039999999765</v>
      </c>
      <c r="D181" s="12">
        <f t="shared" si="140"/>
        <v>24.82528267477543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894.70003468247523</v>
      </c>
      <c r="H181" s="70">
        <f t="shared" si="110"/>
        <v>495.20002865856679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74.209918391015606</v>
      </c>
      <c r="T181" s="62">
        <f t="shared" si="142"/>
        <v>422.59746235438649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4.3910044203381977</v>
      </c>
      <c r="AA181" s="23">
        <f>EXP(-LN(2)/25)*AA180+(1-EXP(-LN(2)/25))/(LN(2)/25)*Calculateur!V181*Calculateur!X181*VLOOKUP('Données projet'!$B$9,Paramètres!$A$1:$I$89,3,0)*0.475*44/12</f>
        <v>0.33583367080269538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4.7268380911408929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65.6337514911271</v>
      </c>
      <c r="AO181" s="62">
        <f t="shared" si="144"/>
        <v>377.81060908047425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3.9384496472114194</v>
      </c>
      <c r="AV181" s="23">
        <f>EXP(-LN(2)/25)*AV180+(1-EXP(-LN(2)/25))/(LN(2)/25)*Calculateur!AQ181*Calculateur!AS181*VLOOKUP('Données projet'!$B$10,Paramètres!$A$1:$I$89,3,0)*0.475*44/12</f>
        <v>0.30122128690381034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4.2396709341152299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66.622529958850123</v>
      </c>
      <c r="BJ181" s="62">
        <f t="shared" si="146"/>
        <v>374.90853633180166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3.9091617633378331</v>
      </c>
      <c r="BQ181" s="23">
        <f>EXP(-LN(2)/25)*BQ180+(1-EXP(-LN(2)/25))/(LN(2)/25)*Calculateur!BL181*Calculateur!BN181*VLOOKUP('Données projet'!$B$11,Paramètres!$A$1:$I$89,3,0)*0.475*44/12</f>
        <v>0.29898128516166839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4.208143048499501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61.91827157428213</v>
      </c>
      <c r="CE181" s="62">
        <f t="shared" si="148"/>
        <v>358.41033295847001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3.7427502858593003</v>
      </c>
      <c r="CL181" s="23">
        <f>EXP(-LN(2)/25)*CL180+(1-EXP(-LN(2)/25))/(LN(2)/25)*Calculateur!CG181*Calculateur!CI181*VLOOKUP('Données projet'!$B$12,Paramètres!$A$1:$I$89,3,0)*0.475*44/12</f>
        <v>0.28625376954213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4.0290040554014306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66.561949299871912</v>
      </c>
      <c r="CZ181" s="62">
        <f t="shared" si="150"/>
        <v>382.65744918271389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3.9873744875494488</v>
      </c>
      <c r="DG181" s="23">
        <f>EXP(-LN(2)/25)*DG180+(1-EXP(-LN(2)/25))/(LN(2)/25)*Calculateur!DB181*Calculateur!DD181*VLOOKUP('Données projet'!$B$13,Paramètres!$A$1:$I$89,3,0)*0.475*44/12</f>
        <v>0.30496316624422992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4.2923376537936786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>
        <f>DO181*VLOOKUP('Données projet'!$B$14,Paramètres!$A$1:$I$89,3,0)*VLOOKUP('Données projet'!$B$14,Paramètres!$A$1:$I$89,5,0)</f>
        <v>0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60.532656778089574</v>
      </c>
      <c r="DU181" s="62">
        <f t="shared" si="152"/>
        <v>348.96823267563025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3.6475814183524458</v>
      </c>
      <c r="EB181" s="23">
        <f>EXP(-LN(2)/25)*EB180+(1-EXP(-LN(2)/25))/(LN(2)/25)*Calculateur!DW181*Calculateur!DY181*VLOOKUP('Données projet'!$B$14,Paramètres!$A$1:$I$89,3,0)*0.475*44/12</f>
        <v>0.27897504534569684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3.9265564636981427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91.590719999999763</v>
      </c>
      <c r="D182" s="12">
        <f t="shared" si="140"/>
        <v>24.94847628440035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899.60081342343949</v>
      </c>
      <c r="H182" s="70">
        <f t="shared" si="110"/>
        <v>496.30576686199686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74.209918391015606</v>
      </c>
      <c r="T182" s="62">
        <f t="shared" si="142"/>
        <v>422.59746235438649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4.3048995019036074</v>
      </c>
      <c r="AA182" s="23">
        <f>EXP(-LN(2)/25)*AA181+(1-EXP(-LN(2)/25))/(LN(2)/25)*Calculateur!V182*Calculateur!X182*VLOOKUP('Données projet'!$B$9,Paramètres!$A$1:$I$89,3,0)*0.475*44/12</f>
        <v>0.32665028141387048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4.6315497833174781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65.6337514911271</v>
      </c>
      <c r="AO182" s="62">
        <f t="shared" si="144"/>
        <v>377.81060908047425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3.8612190518466889</v>
      </c>
      <c r="AV182" s="23">
        <f>EXP(-LN(2)/25)*AV181+(1-EXP(-LN(2)/25))/(LN(2)/25)*Calculateur!AQ182*Calculateur!AS182*VLOOKUP('Données projet'!$B$10,Paramètres!$A$1:$I$89,3,0)*0.475*44/12</f>
        <v>0.2929843749728866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4.1542034268195751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66.622529958850123</v>
      </c>
      <c r="BJ182" s="62">
        <f t="shared" si="146"/>
        <v>374.90853633180166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3.8325054855120184</v>
      </c>
      <c r="BQ182" s="23">
        <f>EXP(-LN(2)/25)*BQ181+(1-EXP(-LN(2)/25))/(LN(2)/25)*Calculateur!BL182*Calculateur!BN182*VLOOKUP('Données projet'!$B$11,Paramètres!$A$1:$I$89,3,0)*0.475*44/12</f>
        <v>0.29080562619618011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4.1233111117081984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61.91827157428213</v>
      </c>
      <c r="CE182" s="62">
        <f t="shared" si="148"/>
        <v>358.41033295847001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3.6693572356058608</v>
      </c>
      <c r="CL182" s="23">
        <f>EXP(-LN(2)/25)*CL181+(1-EXP(-LN(2)/25))/(LN(2)/25)*Calculateur!CG182*Calculateur!CI182*VLOOKUP('Données projet'!$B$12,Paramètres!$A$1:$I$89,3,0)*0.475*44/12</f>
        <v>0.27842614516056896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3.9477833807664298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66.561949299871912</v>
      </c>
      <c r="CZ182" s="62">
        <f t="shared" si="150"/>
        <v>382.65744918271389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3.9091845059068957</v>
      </c>
      <c r="DG182" s="23">
        <f>EXP(-LN(2)/25)*DG181+(1-EXP(-LN(2)/25))/(LN(2)/25)*Calculateur!DB182*Calculateur!DD182*VLOOKUP('Données projet'!$B$13,Paramètres!$A$1:$I$89,3,0)*0.475*44/12</f>
        <v>0.29662393242596552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4.2058084383328609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>
        <f>DO182*VLOOKUP('Données projet'!$B$14,Paramètres!$A$1:$I$89,3,0)*VLOOKUP('Données projet'!$B$14,Paramètres!$A$1:$I$89,5,0)</f>
        <v>0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60.532656778089574</v>
      </c>
      <c r="DU182" s="62">
        <f t="shared" si="152"/>
        <v>348.96823267563025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3.5760545715435383</v>
      </c>
      <c r="EB182" s="23">
        <f>EXP(-LN(2)/25)*EB181+(1-EXP(-LN(2)/25))/(LN(2)/25)*Calculateur!DW182*Calculateur!DY182*VLOOKUP('Données projet'!$B$14,Paramètres!$A$1:$I$89,3,0)*0.475*44/12</f>
        <v>0.27134645806005875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3.847401029603597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92.102399999999761</v>
      </c>
      <c r="D183" s="12">
        <f t="shared" si="140"/>
        <v>25.071589809368088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904.50097396705007</v>
      </c>
      <c r="H183" s="70">
        <f t="shared" si="110"/>
        <v>497.41136558464899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74.209918391015606</v>
      </c>
      <c r="T183" s="62">
        <f t="shared" si="142"/>
        <v>422.59746235438649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4.2204830484007045</v>
      </c>
      <c r="AA183" s="23">
        <f>EXP(-LN(2)/25)*AA182+(1-EXP(-LN(2)/25))/(LN(2)/25)*Calculateur!V183*Calculateur!X183*VLOOKUP('Données projet'!$B$9,Paramètres!$A$1:$I$89,3,0)*0.475*44/12</f>
        <v>0.31771801229081648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4.5382010606915211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65.6337514911271</v>
      </c>
      <c r="AO183" s="62">
        <f t="shared" si="144"/>
        <v>377.81060908047425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3.7855029013510491</v>
      </c>
      <c r="AV183" s="23">
        <f>EXP(-LN(2)/25)*AV182+(1-EXP(-LN(2)/25))/(LN(2)/25)*Calculateur!AQ183*Calculateur!AS183*VLOOKUP('Données projet'!$B$10,Paramètres!$A$1:$I$89,3,0)*0.475*44/12</f>
        <v>0.28497270183187434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4.0704756031829232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66.622529958850123</v>
      </c>
      <c r="BJ183" s="62">
        <f t="shared" si="146"/>
        <v>374.90853633180166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3.7573523905386552</v>
      </c>
      <c r="BQ183" s="23">
        <f>EXP(-LN(2)/25)*BQ182+(1-EXP(-LN(2)/25))/(LN(2)/25)*Calculateur!BL183*Calculateur!BN183*VLOOKUP('Données projet'!$B$11,Paramètres!$A$1:$I$89,3,0)*0.475*44/12</f>
        <v>0.28285353105504235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4.0402059215936976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61.91827157428213</v>
      </c>
      <c r="CE183" s="62">
        <f t="shared" si="148"/>
        <v>358.41033295847001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3.597403378302551</v>
      </c>
      <c r="CL183" s="23">
        <f>EXP(-LN(2)/25)*CL182+(1-EXP(-LN(2)/25))/(LN(2)/25)*Calculateur!CG183*Calculateur!CI183*VLOOKUP('Données projet'!$B$12,Paramètres!$A$1:$I$89,3,0)*0.475*44/12</f>
        <v>0.27081256757935857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3.8682159458819094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66.561949299871912</v>
      </c>
      <c r="CZ183" s="62">
        <f t="shared" si="150"/>
        <v>382.65744918271389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3.8325277821131736</v>
      </c>
      <c r="DG183" s="23">
        <f>EXP(-LN(2)/25)*DG182+(1-EXP(-LN(2)/25))/(LN(2)/25)*Calculateur!DB183*Calculateur!DD183*VLOOKUP('Données projet'!$B$13,Paramètres!$A$1:$I$89,3,0)*0.475*44/12</f>
        <v>0.28851273539500283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4.1210405175081766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>
        <f>DO183*VLOOKUP('Données projet'!$B$14,Paramètres!$A$1:$I$89,3,0)*VLOOKUP('Données projet'!$B$14,Paramètres!$A$1:$I$89,5,0)</f>
        <v>0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60.532656778089574</v>
      </c>
      <c r="DU183" s="62">
        <f t="shared" si="152"/>
        <v>348.96823267563025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3.5059303225734846</v>
      </c>
      <c r="EB183" s="23">
        <f>EXP(-LN(2)/25)*EB182+(1-EXP(-LN(2)/25))/(LN(2)/25)*Calculateur!DW183*Calculateur!DY183*VLOOKUP('Données projet'!$B$14,Paramètres!$A$1:$I$89,3,0)*0.475*44/12</f>
        <v>0.26392647489491639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3.769856797468401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92.61407999999976</v>
      </c>
      <c r="D184" s="12">
        <f t="shared" si="140"/>
        <v>25.194623746226039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909.40052014630453</v>
      </c>
      <c r="H184" s="70">
        <f t="shared" si="110"/>
        <v>498.51682569134323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74.209918391015606</v>
      </c>
      <c r="T184" s="62">
        <f t="shared" si="142"/>
        <v>422.59746235438649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4.1377219500620415</v>
      </c>
      <c r="AA184" s="23">
        <f>EXP(-LN(2)/25)*AA183+(1-EXP(-LN(2)/25))/(LN(2)/25)*Calculateur!V184*Calculateur!X184*VLOOKUP('Données projet'!$B$9,Paramètres!$A$1:$I$89,3,0)*0.475*44/12</f>
        <v>0.30902999653665997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4.4467519465987015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65.6337514911271</v>
      </c>
      <c r="AO184" s="62">
        <f t="shared" si="144"/>
        <v>377.81060908047425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3.7112714983843369</v>
      </c>
      <c r="AV184" s="23">
        <f>EXP(-LN(2)/25)*AV183+(1-EXP(-LN(2)/25))/(LN(2)/25)*Calculateur!AQ184*Calculateur!AS184*VLOOKUP('Données projet'!$B$10,Paramètres!$A$1:$I$89,3,0)*0.475*44/12</f>
        <v>0.27718010831421869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3.9884516066985558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66.622529958850123</v>
      </c>
      <c r="BJ184" s="62">
        <f t="shared" si="146"/>
        <v>374.90853633180166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3.6836730019188582</v>
      </c>
      <c r="BQ184" s="23">
        <f>EXP(-LN(2)/25)*BQ183+(1-EXP(-LN(2)/25))/(LN(2)/25)*Calculateur!BL184*Calculateur!BN184*VLOOKUP('Données projet'!$B$11,Paramètres!$A$1:$I$89,3,0)*0.475*44/12</f>
        <v>0.27511888637372151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3.9587918882925797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61.91827157428213</v>
      </c>
      <c r="CE184" s="62">
        <f t="shared" si="148"/>
        <v>358.41033295847001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3.5268604922534394</v>
      </c>
      <c r="CL184" s="23">
        <f>EXP(-LN(2)/25)*CL183+(1-EXP(-LN(2)/25))/(LN(2)/25)*Calculateur!CG184*Calculateur!CI184*VLOOKUP('Données projet'!$B$12,Paramètres!$A$1:$I$89,3,0)*0.475*44/12</f>
        <v>0.263407183677487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3.7902676759309264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66.561949299871912</v>
      </c>
      <c r="CZ184" s="62">
        <f t="shared" si="150"/>
        <v>382.65744918271389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3.7573742499170613</v>
      </c>
      <c r="DG184" s="23">
        <f>EXP(-LN(2)/25)*DG183+(1-EXP(-LN(2)/25))/(LN(2)/25)*Calculateur!DB184*Calculateur!DD184*VLOOKUP('Données projet'!$B$13,Paramètres!$A$1:$I$89,3,0)*0.475*44/12</f>
        <v>0.28062333947340112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4.0379975893904625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>
        <f>DO184*VLOOKUP('Données projet'!$B$14,Paramètres!$A$1:$I$89,3,0)*VLOOKUP('Données projet'!$B$14,Paramètres!$A$1:$I$89,5,0)</f>
        <v>0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60.532656778089574</v>
      </c>
      <c r="DU184" s="62">
        <f t="shared" si="152"/>
        <v>348.96823267563025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3.437181167354165</v>
      </c>
      <c r="EB184" s="23">
        <f>EXP(-LN(2)/25)*EB183+(1-EXP(-LN(2)/25))/(LN(2)/25)*Calculateur!DW184*Calculateur!DY184*VLOOKUP('Données projet'!$B$14,Paramètres!$A$1:$I$89,3,0)*0.475*44/12</f>
        <v>0.2567093915596248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3.6938905589137896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93.125759999999758</v>
      </c>
      <c r="D185" s="12">
        <f t="shared" si="140"/>
        <v>25.31757858571736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914.29945574939529</v>
      </c>
      <c r="H185" s="70">
        <f t="shared" si="110"/>
        <v>499.62214803679058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74.209918391015606</v>
      </c>
      <c r="T185" s="62">
        <f t="shared" si="142"/>
        <v>422.59746235438649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4.0565837463825138</v>
      </c>
      <c r="AA185" s="23">
        <f>EXP(-LN(2)/25)*AA184+(1-EXP(-LN(2)/25))/(LN(2)/25)*Calculateur!V185*Calculateur!X185*VLOOKUP('Données projet'!$B$9,Paramètres!$A$1:$I$89,3,0)*0.475*44/12</f>
        <v>0.3005795550301838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4.3571633014126974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65.6337514911271</v>
      </c>
      <c r="AO185" s="62">
        <f t="shared" si="144"/>
        <v>377.81060908047425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3.6384957279531172</v>
      </c>
      <c r="AV185" s="23">
        <f>EXP(-LN(2)/25)*AV184+(1-EXP(-LN(2)/25))/(LN(2)/25)*Calculateur!AQ185*Calculateur!AS185*VLOOKUP('Données projet'!$B$10,Paramètres!$A$1:$I$89,3,0)*0.475*44/12</f>
        <v>0.26960060367609801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3.9080963316292152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66.622529958850123</v>
      </c>
      <c r="BJ185" s="62">
        <f t="shared" si="146"/>
        <v>374.90853633180166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3.6114384211699058</v>
      </c>
      <c r="BQ185" s="23">
        <f>EXP(-LN(2)/25)*BQ184+(1-EXP(-LN(2)/25))/(LN(2)/25)*Calculateur!BL185*Calculateur!BN185*VLOOKUP('Données projet'!$B$11,Paramètres!$A$1:$I$89,3,0)*0.475*44/12</f>
        <v>0.26759574595795865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3.8790341671278643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61.91827157428213</v>
      </c>
      <c r="CE185" s="62">
        <f t="shared" si="148"/>
        <v>358.41033295847001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3.4577009091728392</v>
      </c>
      <c r="CL185" s="23">
        <f>EXP(-LN(2)/25)*CL184+(1-EXP(-LN(2)/25))/(LN(2)/25)*Calculateur!CG185*Calculateur!CI185*VLOOKUP('Données projet'!$B$12,Paramètres!$A$1:$I$89,3,0)*0.475*44/12</f>
        <v>0.25620430038784436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3.7139052095606835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66.561949299871912</v>
      </c>
      <c r="CZ185" s="62">
        <f t="shared" si="150"/>
        <v>382.65744918271389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3.6836944326481866</v>
      </c>
      <c r="DG185" s="23">
        <f>EXP(-LN(2)/25)*DG184+(1-EXP(-LN(2)/25))/(LN(2)/25)*Calculateur!DB185*Calculateur!DD185*VLOOKUP('Données projet'!$B$13,Paramètres!$A$1:$I$89,3,0)*0.475*44/12</f>
        <v>0.2729496794981609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3.9566441121463476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>
        <f>DO185*VLOOKUP('Données projet'!$B$14,Paramètres!$A$1:$I$89,3,0)*VLOOKUP('Données projet'!$B$14,Paramètres!$A$1:$I$89,5,0)</f>
        <v>0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60.532656778089574</v>
      </c>
      <c r="DU185" s="62">
        <f t="shared" si="152"/>
        <v>348.96823267563025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3.3697801411358523</v>
      </c>
      <c r="EB185" s="23">
        <f>EXP(-LN(2)/25)*EB184+(1-EXP(-LN(2)/25))/(LN(2)/25)*Calculateur!DW185*Calculateur!DY185*VLOOKUP('Données projet'!$B$14,Paramètres!$A$1:$I$89,3,0)*0.475*44/12</f>
        <v>0.24968965974766669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3.6194698008835191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93.637439999999756</v>
      </c>
      <c r="D186" s="12">
        <f t="shared" si="140"/>
        <v>25.440454812880237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919.19778452047728</v>
      </c>
      <c r="H186" s="70">
        <f t="shared" si="110"/>
        <v>500.72733346576592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74.209918391015606</v>
      </c>
      <c r="T186" s="62">
        <f t="shared" si="142"/>
        <v>422.59746235438649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3.9770366133877242</v>
      </c>
      <c r="AA186" s="23">
        <f>EXP(-LN(2)/25)*AA185+(1-EXP(-LN(2)/25))/(LN(2)/25)*Calculateur!V186*Calculateur!X186*VLOOKUP('Données projet'!$B$9,Paramètres!$A$1:$I$89,3,0)*0.475*44/12</f>
        <v>0.29236019129109159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4.2693968046788155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65.6337514911271</v>
      </c>
      <c r="AO186" s="62">
        <f t="shared" si="144"/>
        <v>377.81060908047425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3.5671470459912165</v>
      </c>
      <c r="AV186" s="23">
        <f>EXP(-LN(2)/25)*AV185+(1-EXP(-LN(2)/25))/(LN(2)/25)*Calculateur!AQ186*Calculateur!AS186*VLOOKUP('Données projet'!$B$10,Paramètres!$A$1:$I$89,3,0)*0.475*44/12</f>
        <v>0.26222836099089553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3.8293754069821118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66.622529958850123</v>
      </c>
      <c r="BJ186" s="62">
        <f t="shared" si="146"/>
        <v>374.90853633180166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3.5406203164906964</v>
      </c>
      <c r="BQ186" s="23">
        <f>EXP(-LN(2)/25)*BQ185+(1-EXP(-LN(2)/25))/(LN(2)/25)*Calculateur!BL186*Calculateur!BN186*VLOOKUP('Données projet'!$B$11,Paramètres!$A$1:$I$89,3,0)*0.475*44/12</f>
        <v>0.26027832621248959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3.8008986427031859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61.91827157428213</v>
      </c>
      <c r="CE186" s="62">
        <f t="shared" si="148"/>
        <v>358.41033295847001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3.3898975033332692</v>
      </c>
      <c r="CL186" s="23">
        <f>EXP(-LN(2)/25)*CL185+(1-EXP(-LN(2)/25))/(LN(2)/25)*Calculateur!CG186*Calculateur!CI186*VLOOKUP('Données projet'!$B$12,Paramètres!$A$1:$I$89,3,0)*0.475*44/12</f>
        <v>0.24919838032054017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3.6390958836538094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66.561949299871912</v>
      </c>
      <c r="CZ186" s="62">
        <f t="shared" si="150"/>
        <v>382.65744918271389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3.6114594316557036</v>
      </c>
      <c r="DG186" s="23">
        <f>EXP(-LN(2)/25)*DG185+(1-EXP(-LN(2)/25))/(LN(2)/25)*Calculateur!DB186*Calculateur!DD186*VLOOKUP('Données projet'!$B$13,Paramètres!$A$1:$I$89,3,0)*0.475*44/12</f>
        <v>0.26548585615848386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3.8769452878141877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>
        <f>DO186*VLOOKUP('Données projet'!$B$14,Paramètres!$A$1:$I$89,3,0)*VLOOKUP('Données projet'!$B$14,Paramètres!$A$1:$I$89,5,0)</f>
        <v>0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60.532656778089574</v>
      </c>
      <c r="DU186" s="62">
        <f t="shared" si="152"/>
        <v>348.96823267563025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3.3037008079311141</v>
      </c>
      <c r="EB186" s="23">
        <f>EXP(-LN(2)/25)*EB185+(1-EXP(-LN(2)/25))/(LN(2)/25)*Calculateur!DW186*Calculateur!DY186*VLOOKUP('Données projet'!$B$14,Paramètres!$A$1:$I$89,3,0)*0.475*44/12</f>
        <v>0.24286188287125821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3.5465626908023724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94.149119999999755</v>
      </c>
      <c r="D187" s="12">
        <f t="shared" si="140"/>
        <v>25.563252907145174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924.09551016041712</v>
      </c>
      <c r="H187" s="70">
        <f t="shared" si="110"/>
        <v>501.83238281327738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74.209918391015606</v>
      </c>
      <c r="T187" s="62">
        <f t="shared" si="142"/>
        <v>422.59746235438649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3.8990493511520019</v>
      </c>
      <c r="AA187" s="23">
        <f>EXP(-LN(2)/25)*AA186+(1-EXP(-LN(2)/25))/(LN(2)/25)*Calculateur!V187*Calculateur!X187*VLOOKUP('Données projet'!$B$9,Paramètres!$A$1:$I$89,3,0)*0.475*44/12</f>
        <v>0.28436558648568244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4.1834149376376839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65.6337514911271</v>
      </c>
      <c r="AO187" s="62">
        <f t="shared" si="144"/>
        <v>377.81060908047425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3.49719746816419</v>
      </c>
      <c r="AV187" s="23">
        <f>EXP(-LN(2)/25)*AV186+(1-EXP(-LN(2)/25))/(LN(2)/25)*Calculateur!AQ187*Calculateur!AS187*VLOOKUP('Données projet'!$B$10,Paramètres!$A$1:$I$89,3,0)*0.475*44/12</f>
        <v>0.2550577126696093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3.7522551808337994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66.622529958850123</v>
      </c>
      <c r="BJ187" s="62">
        <f t="shared" si="146"/>
        <v>374.90853633180166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3.4711909116494675</v>
      </c>
      <c r="BQ187" s="23">
        <f>EXP(-LN(2)/25)*BQ186+(1-EXP(-LN(2)/25))/(LN(2)/25)*Calculateur!BL187*Calculateur!BN187*VLOOKUP('Données projet'!$B$11,Paramètres!$A$1:$I$89,3,0)*0.475*44/12</f>
        <v>0.25316100169476674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3.7243519133442344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61.91827157428213</v>
      </c>
      <c r="CE187" s="62">
        <f t="shared" si="148"/>
        <v>358.41033295847001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3.323423680926219</v>
      </c>
      <c r="CL187" s="23">
        <f>EXP(-LN(2)/25)*CL186+(1-EXP(-LN(2)/25))/(LN(2)/25)*Calculateur!CG187*Calculateur!CI187*VLOOKUP('Données projet'!$B$12,Paramètres!$A$1:$I$89,3,0)*0.475*44/12</f>
        <v>0.24238403750590173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3.5658077184321209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66.561949299871912</v>
      </c>
      <c r="CZ187" s="62">
        <f t="shared" si="150"/>
        <v>382.65744918271389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3.5406409149736828</v>
      </c>
      <c r="DG187" s="23">
        <f>EXP(-LN(2)/25)*DG186+(1-EXP(-LN(2)/25))/(LN(2)/25)*Calculateur!DB187*Calculateur!DD187*VLOOKUP('Données projet'!$B$13,Paramètres!$A$1:$I$89,3,0)*0.475*44/12</f>
        <v>0.25822613146053569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3.7988670464342187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>
        <f>DO187*VLOOKUP('Données projet'!$B$14,Paramètres!$A$1:$I$89,3,0)*VLOOKUP('Données projet'!$B$14,Paramètres!$A$1:$I$89,5,0)</f>
        <v>0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60.532656778089574</v>
      </c>
      <c r="DU187" s="62">
        <f t="shared" si="152"/>
        <v>348.96823267563025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3.2389172501461072</v>
      </c>
      <c r="EB187" s="23">
        <f>EXP(-LN(2)/25)*EB186+(1-EXP(-LN(2)/25))/(LN(2)/25)*Calculateur!DW187*Calculateur!DY187*VLOOKUP('Données projet'!$B$14,Paramètres!$A$1:$I$89,3,0)*0.475*44/12</f>
        <v>0.23622081191259231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3.4751380620586994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94.660799999999753</v>
      </c>
      <c r="D188" s="12">
        <f t="shared" si="140"/>
        <v>25.685973342429772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928.99263632752627</v>
      </c>
      <c r="H188" s="70">
        <f t="shared" si="110"/>
        <v>502.9372969047314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74.209918391015606</v>
      </c>
      <c r="T188" s="62">
        <f t="shared" si="142"/>
        <v>422.59746235438649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3.822591371561189</v>
      </c>
      <c r="AA188" s="23">
        <f>EXP(-LN(2)/25)*AA187+(1-EXP(-LN(2)/25))/(LN(2)/25)*Calculateur!V188*Calculateur!X188*VLOOKUP('Données projet'!$B$9,Paramètres!$A$1:$I$89,3,0)*0.475*44/12</f>
        <v>0.27658959456909521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4.0991809661302838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65.6337514911271</v>
      </c>
      <c r="AO188" s="62">
        <f t="shared" si="144"/>
        <v>377.81060908047425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3.4286195588933217</v>
      </c>
      <c r="AV188" s="23">
        <f>EXP(-LN(2)/25)*AV187+(1-EXP(-LN(2)/25))/(LN(2)/25)*Calculateur!AQ188*Calculateur!AS188*VLOOKUP('Données projet'!$B$10,Paramètres!$A$1:$I$89,3,0)*0.475*44/12</f>
        <v>0.24808314610375667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3.6767027049970782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66.622529958850123</v>
      </c>
      <c r="BJ188" s="62">
        <f t="shared" si="146"/>
        <v>374.90853633180166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3.4031229750894196</v>
      </c>
      <c r="BQ188" s="23">
        <f>EXP(-LN(2)/25)*BQ187+(1-EXP(-LN(2)/25))/(LN(2)/25)*Calculateur!BL188*Calculateur!BN188*VLOOKUP('Données projet'!$B$11,Paramètres!$A$1:$I$89,3,0)*0.475*44/12</f>
        <v>0.24623830079026487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3.6493612758796843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61.91827157428213</v>
      </c>
      <c r="CE188" s="62">
        <f t="shared" si="148"/>
        <v>358.41033295847001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3.258253369631543</v>
      </c>
      <c r="CL188" s="23">
        <f>EXP(-LN(2)/25)*CL187+(1-EXP(-LN(2)/25))/(LN(2)/25)*Calculateur!CG188*Calculateur!CI188*VLOOKUP('Données projet'!$B$12,Paramètres!$A$1:$I$89,3,0)*0.475*44/12</f>
        <v>0.23575603325388028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3.4940094028854234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66.561949299871912</v>
      </c>
      <c r="CZ188" s="62">
        <f t="shared" si="150"/>
        <v>382.65744918271389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3.4712111062087665</v>
      </c>
      <c r="DG188" s="23">
        <f>EXP(-LN(2)/25)*DG187+(1-EXP(-LN(2)/25))/(LN(2)/25)*Calculateur!DB188*Calculateur!DD188*VLOOKUP('Données projet'!$B$13,Paramètres!$A$1:$I$89,3,0)*0.475*44/12</f>
        <v>0.25116492431622528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3.722376030524992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>
        <f>DO188*VLOOKUP('Données projet'!$B$14,Paramètres!$A$1:$I$89,3,0)*VLOOKUP('Données projet'!$B$14,Paramètres!$A$1:$I$89,5,0)</f>
        <v>0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60.532656778089574</v>
      </c>
      <c r="DU188" s="62">
        <f t="shared" si="152"/>
        <v>348.96823267563025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3.1754040584151957</v>
      </c>
      <c r="EB188" s="23">
        <f>EXP(-LN(2)/25)*EB187+(1-EXP(-LN(2)/25))/(LN(2)/25)*Calculateur!DW188*Calculateur!DY188*VLOOKUP('Données projet'!$B$14,Paramètres!$A$1:$I$89,3,0)*0.475*44/12</f>
        <v>0.22976134138852986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3.4051653998037255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95.172479999999751</v>
      </c>
      <c r="D189" s="12">
        <f t="shared" si="140"/>
        <v>25.808616587231686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933.88916663827786</v>
      </c>
      <c r="H189" s="70">
        <f t="shared" si="110"/>
        <v>504.04207655609468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74.209918391015606</v>
      </c>
      <c r="T189" s="62">
        <f t="shared" si="142"/>
        <v>422.59746235438649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3.7476326863153893</v>
      </c>
      <c r="AA189" s="23">
        <f>EXP(-LN(2)/25)*AA188+(1-EXP(-LN(2)/25))/(LN(2)/25)*Calculateur!V189*Calculateur!X189*VLOOKUP('Données projet'!$B$9,Paramètres!$A$1:$I$89,3,0)*0.475*44/12</f>
        <v>0.26902623756038868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4.0166589238757782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65.6337514911271</v>
      </c>
      <c r="AO189" s="62">
        <f t="shared" si="144"/>
        <v>377.81060908047425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3.3613864205948607</v>
      </c>
      <c r="AV189" s="23">
        <f>EXP(-LN(2)/25)*AV188+(1-EXP(-LN(2)/25))/(LN(2)/25)*Calculateur!AQ189*Calculateur!AS189*VLOOKUP('Données projet'!$B$10,Paramètres!$A$1:$I$89,3,0)*0.475*44/12</f>
        <v>0.24129929942742379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3.6026857200222846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66.622529958850123</v>
      </c>
      <c r="BJ189" s="62">
        <f t="shared" si="146"/>
        <v>374.90853633180166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3.3363898092479727</v>
      </c>
      <c r="BQ189" s="23">
        <f>EXP(-LN(2)/25)*BQ188+(1-EXP(-LN(2)/25))/(LN(2)/25)*Calculateur!BL189*Calculateur!BN189*VLOOKUP('Données projet'!$B$11,Paramètres!$A$1:$I$89,3,0)*0.475*44/12</f>
        <v>0.23950490150604564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3.5758947107540182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61.91827157428213</v>
      </c>
      <c r="CE189" s="62">
        <f t="shared" si="148"/>
        <v>358.41033295847001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3.1943610083913905</v>
      </c>
      <c r="CL189" s="23">
        <f>EXP(-LN(2)/25)*CL188+(1-EXP(-LN(2)/25))/(LN(2)/25)*Calculateur!CG189*Calculateur!CI189*VLOOKUP('Données projet'!$B$12,Paramètres!$A$1:$I$89,3,0)*0.475*44/12</f>
        <v>0.22930927212668195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3.4236702805180723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66.561949299871912</v>
      </c>
      <c r="CZ189" s="62">
        <f t="shared" si="150"/>
        <v>382.65744918271389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3.4031427736457283</v>
      </c>
      <c r="DG189" s="23">
        <f>EXP(-LN(2)/25)*DG188+(1-EXP(-LN(2)/25))/(LN(2)/25)*Calculateur!DB189*Calculateur!DD189*VLOOKUP('Données projet'!$B$13,Paramètres!$A$1:$I$89,3,0)*0.475*44/12</f>
        <v>0.24429680625260877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3.6474395798983372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>
        <f>DO189*VLOOKUP('Données projet'!$B$14,Paramètres!$A$1:$I$89,3,0)*VLOOKUP('Données projet'!$B$14,Paramètres!$A$1:$I$89,5,0)</f>
        <v>0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60.532656778089574</v>
      </c>
      <c r="DU189" s="62">
        <f t="shared" si="152"/>
        <v>348.96823267563025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3.1131363216349057</v>
      </c>
      <c r="EB189" s="23">
        <f>EXP(-LN(2)/25)*EB188+(1-EXP(-LN(2)/25))/(LN(2)/25)*Calculateur!DW189*Calculateur!DY189*VLOOKUP('Données projet'!$B$14,Paramètres!$A$1:$I$89,3,0)*0.475*44/12</f>
        <v>0.22347850542563669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3.3366148270605422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95.68415999999975</v>
      </c>
      <c r="D190" s="12">
        <f t="shared" si="140"/>
        <v>25.931183104719359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938.78510466800708</v>
      </c>
      <c r="H190" s="70">
        <f t="shared" si="110"/>
        <v>505.14672257405243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74.209918391015606</v>
      </c>
      <c r="T190" s="62">
        <f t="shared" si="142"/>
        <v>422.59746235438649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3.674143895166976</v>
      </c>
      <c r="AA190" s="23">
        <f>EXP(-LN(2)/25)*AA189+(1-EXP(-LN(2)/25))/(LN(2)/25)*Calculateur!V190*Calculateur!X190*VLOOKUP('Données projet'!$B$9,Paramètres!$A$1:$I$89,3,0)*0.475*44/12</f>
        <v>0.2616697009468249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3.935813596113801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65.6337514911271</v>
      </c>
      <c r="AO190" s="62">
        <f t="shared" si="144"/>
        <v>377.81060908047425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3.2954716831302675</v>
      </c>
      <c r="AV190" s="23">
        <f>EXP(-LN(2)/25)*AV189+(1-EXP(-LN(2)/25))/(LN(2)/25)*Calculateur!AQ190*Calculateur!AS190*VLOOKUP('Données projet'!$B$10,Paramètres!$A$1:$I$89,3,0)*0.475*44/12</f>
        <v>0.23470095739520222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3.5301726405254699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66.622529958850123</v>
      </c>
      <c r="BJ190" s="62">
        <f t="shared" si="146"/>
        <v>374.90853633180166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3.2709652400854643</v>
      </c>
      <c r="BQ190" s="23">
        <f>EXP(-LN(2)/25)*BQ189+(1-EXP(-LN(2)/25))/(LN(2)/25)*Calculateur!BL190*Calculateur!BN190*VLOOKUP('Données projet'!$B$11,Paramètres!$A$1:$I$89,3,0)*0.475*44/12</f>
        <v>0.23295562737934744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3.5039208674648119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61.91827157428213</v>
      </c>
      <c r="CE190" s="62">
        <f t="shared" si="148"/>
        <v>358.41033295847001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3.131721537384665</v>
      </c>
      <c r="CL190" s="23">
        <f>EXP(-LN(2)/25)*CL189+(1-EXP(-LN(2)/25))/(LN(2)/25)*Calculateur!CG190*Calculateur!CI190*VLOOKUP('Données projet'!$B$12,Paramètres!$A$1:$I$89,3,0)*0.475*44/12</f>
        <v>0.22303879802152732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3.3547603354061923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66.561949299871912</v>
      </c>
      <c r="CZ190" s="62">
        <f t="shared" si="150"/>
        <v>382.65744918271389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3.3364092195666677</v>
      </c>
      <c r="DG190" s="23">
        <f>EXP(-LN(2)/25)*DG189+(1-EXP(-LN(2)/25))/(LN(2)/25)*Calculateur!DB190*Calculateur!DD190*VLOOKUP('Données projet'!$B$13,Paramètres!$A$1:$I$89,3,0)*0.475*44/12</f>
        <v>0.23761649723862049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3.5740257168052882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>
        <f>DO190*VLOOKUP('Données projet'!$B$14,Paramètres!$A$1:$I$89,3,0)*VLOOKUP('Données projet'!$B$14,Paramètres!$A$1:$I$89,5,0)</f>
        <v>0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60.532656778089574</v>
      </c>
      <c r="DU190" s="62">
        <f t="shared" si="152"/>
        <v>348.96823267563025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3.0520896171933081</v>
      </c>
      <c r="EB190" s="23">
        <f>EXP(-LN(2)/25)*EB189+(1-EXP(-LN(2)/25))/(LN(2)/25)*Calculateur!DW190*Calculateur!DY190*VLOOKUP('Données projet'!$B$14,Paramètres!$A$1:$I$89,3,0)*0.475*44/12</f>
        <v>0.21736747394254882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3.2694570911358567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96.195839999999748</v>
      </c>
      <c r="D191" s="12">
        <f t="shared" si="140"/>
        <v>26.053673352820741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943.68045395159686</v>
      </c>
      <c r="H191" s="70">
        <f t="shared" si="110"/>
        <v>506.25123575616232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74.209918391015606</v>
      </c>
      <c r="T191" s="62">
        <f t="shared" si="142"/>
        <v>422.59746235438649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3.6020961743892466</v>
      </c>
      <c r="AA191" s="23">
        <f>EXP(-LN(2)/25)*AA190+(1-EXP(-LN(2)/25))/(LN(2)/25)*Calculateur!V191*Calculateur!X191*VLOOKUP('Données projet'!$B$9,Paramètres!$A$1:$I$89,3,0)*0.475*44/12</f>
        <v>0.25451432921382244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3.8566105036030689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65.6337514911271</v>
      </c>
      <c r="AO191" s="62">
        <f t="shared" si="144"/>
        <v>377.81060908047425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3.2308494934633347</v>
      </c>
      <c r="AV191" s="23">
        <f>EXP(-LN(2)/25)*AV190+(1-EXP(-LN(2)/25))/(LN(2)/25)*Calculateur!AQ191*Calculateur!AS191*VLOOKUP('Données projet'!$B$10,Paramètres!$A$1:$I$89,3,0)*0.475*44/12</f>
        <v>0.2282830473728435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3.4591325408361784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66.622529958850123</v>
      </c>
      <c r="BJ191" s="62">
        <f t="shared" si="146"/>
        <v>374.90853633180166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3.206823606819186</v>
      </c>
      <c r="BQ191" s="23">
        <f>EXP(-LN(2)/25)*BQ190+(1-EXP(-LN(2)/25))/(LN(2)/25)*Calculateur!BL191*Calculateur!BN191*VLOOKUP('Données projet'!$B$11,Paramètres!$A$1:$I$89,3,0)*0.475*44/12</f>
        <v>0.22658544349805518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3.4334090503172412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61.91827157428213</v>
      </c>
      <c r="CE191" s="62">
        <f t="shared" si="148"/>
        <v>358.41033295847001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3.0703103881980769</v>
      </c>
      <c r="CL191" s="23">
        <f>EXP(-LN(2)/25)*CL190+(1-EXP(-LN(2)/25))/(LN(2)/25)*Calculateur!CG191*Calculateur!CI191*VLOOKUP('Données projet'!$B$12,Paramètres!$A$1:$I$89,3,0)*0.475*44/12</f>
        <v>0.21693979036052802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3.287250178558605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66.561949299871912</v>
      </c>
      <c r="CZ191" s="62">
        <f t="shared" si="150"/>
        <v>382.65744918271389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3.2709842697796487</v>
      </c>
      <c r="DG191" s="23">
        <f>EXP(-LN(2)/25)*DG190+(1-EXP(-LN(2)/25))/(LN(2)/25)*Calculateur!DB191*Calculateur!DD191*VLOOKUP('Données projet'!$B$13,Paramètres!$A$1:$I$89,3,0)*0.475*44/12</f>
        <v>0.23111886162592191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3.5021031314055708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>
        <f>DO191*VLOOKUP('Données projet'!$B$14,Paramètres!$A$1:$I$89,3,0)*VLOOKUP('Données projet'!$B$14,Paramètres!$A$1:$I$89,5,0)</f>
        <v>0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60.532656778089574</v>
      </c>
      <c r="DU191" s="62">
        <f t="shared" si="152"/>
        <v>348.96823267563025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2.9922400013909969</v>
      </c>
      <c r="EB191" s="23">
        <f>EXP(-LN(2)/25)*EB190+(1-EXP(-LN(2)/25))/(LN(2)/25)*Calculateur!DW191*Calculateur!DY191*VLOOKUP('Données projet'!$B$14,Paramètres!$A$1:$I$89,3,0)*0.475*44/12</f>
        <v>0.21142354893673118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3.203663550327728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96.707519999999747</v>
      </c>
      <c r="D192" s="12">
        <f t="shared" si="140"/>
        <v>26.176087784310297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948.5752179841478</v>
      </c>
      <c r="H192" s="70">
        <f t="shared" si="110"/>
        <v>507.35561689100666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74.209918391015606</v>
      </c>
      <c r="T192" s="62">
        <f t="shared" si="142"/>
        <v>422.59746235438649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3.5314612654711981</v>
      </c>
      <c r="AA192" s="23">
        <f>EXP(-LN(2)/25)*AA191+(1-EXP(-LN(2)/25))/(LN(2)/25)*Calculateur!V192*Calculateur!X192*VLOOKUP('Données projet'!$B$9,Paramètres!$A$1:$I$89,3,0)*0.475*44/12</f>
        <v>0.24755462149714361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3.7790158869683417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65.6337514911271</v>
      </c>
      <c r="AO192" s="62">
        <f t="shared" si="144"/>
        <v>377.81060908047425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3.1674945055201267</v>
      </c>
      <c r="AV192" s="23">
        <f>EXP(-LN(2)/25)*AV191+(1-EXP(-LN(2)/25))/(LN(2)/25)*Calculateur!AQ192*Calculateur!AS192*VLOOKUP('Données projet'!$B$10,Paramètres!$A$1:$I$89,3,0)*0.475*44/12</f>
        <v>0.22204063543754937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3.3895351409576762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66.622529958850123</v>
      </c>
      <c r="BJ192" s="62">
        <f t="shared" si="146"/>
        <v>374.90853633180166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3.143939751858726</v>
      </c>
      <c r="BQ192" s="23">
        <f>EXP(-LN(2)/25)*BQ191+(1-EXP(-LN(2)/25))/(LN(2)/25)*Calculateur!BL192*Calculateur!BN192*VLOOKUP('Données projet'!$B$11,Paramètres!$A$1:$I$89,3,0)*0.475*44/12</f>
        <v>0.22038945262999024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3.3643292044887163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61.91827157428213</v>
      </c>
      <c r="CE192" s="62">
        <f t="shared" si="148"/>
        <v>358.41033295847001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3.0101034741899353</v>
      </c>
      <c r="CL192" s="23">
        <f>EXP(-LN(2)/25)*CL191+(1-EXP(-LN(2)/25))/(LN(2)/25)*Calculateur!CG192*Calculateur!CI192*VLOOKUP('Données projet'!$B$12,Paramètres!$A$1:$I$89,3,0)*0.475*44/12</f>
        <v>0.21100756038475163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3.2211110345746867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66.561949299871912</v>
      </c>
      <c r="CZ192" s="62">
        <f t="shared" si="150"/>
        <v>382.65744918271389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3.2068422633526743</v>
      </c>
      <c r="DG192" s="23">
        <f>EXP(-LN(2)/25)*DG191+(1-EXP(-LN(2)/25))/(LN(2)/25)*Calculateur!DB192*Calculateur!DD192*VLOOKUP('Données projet'!$B$13,Paramètres!$A$1:$I$89,3,0)*0.475*44/12</f>
        <v>0.22479890420074836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3.4316411675534226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>
        <f>DO192*VLOOKUP('Données projet'!$B$14,Paramètres!$A$1:$I$89,3,0)*VLOOKUP('Données projet'!$B$14,Paramètres!$A$1:$I$89,5,0)</f>
        <v>0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60.532656778089574</v>
      </c>
      <c r="DU192" s="62">
        <f t="shared" si="152"/>
        <v>348.96823267563025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2.9335640000499081</v>
      </c>
      <c r="EB192" s="23">
        <f>EXP(-LN(2)/25)*EB191+(1-EXP(-LN(2)/25))/(LN(2)/25)*Calculateur!DW192*Calculateur!DY192*VLOOKUP('Données projet'!$B$14,Paramètres!$A$1:$I$89,3,0)*0.475*44/12</f>
        <v>0.20564216087277504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3.1392061609226833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97.219199999999745</v>
      </c>
      <c r="D193" s="12">
        <f t="shared" si="140"/>
        <v>26.298426846893861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953.46940022163483</v>
      </c>
      <c r="H193" s="70">
        <f t="shared" si="110"/>
        <v>508.45986675833967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74.209918391015606</v>
      </c>
      <c r="T193" s="62">
        <f t="shared" si="142"/>
        <v>422.59746235438649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3.462211464033992</v>
      </c>
      <c r="AA193" s="23">
        <f>EXP(-LN(2)/25)*AA192+(1-EXP(-LN(2)/25))/(LN(2)/25)*Calculateur!V193*Calculateur!X193*VLOOKUP('Données projet'!$B$9,Paramètres!$A$1:$I$89,3,0)*0.475*44/12</f>
        <v>0.24078522735397245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3.7029966913879644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65.6337514911271</v>
      </c>
      <c r="AO193" s="62">
        <f t="shared" si="144"/>
        <v>377.81060908047425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3.1053818702477582</v>
      </c>
      <c r="AV193" s="23">
        <f>EXP(-LN(2)/25)*AV192+(1-EXP(-LN(2)/25))/(LN(2)/25)*Calculateur!AQ193*Calculateur!AS193*VLOOKUP('Données projet'!$B$10,Paramètres!$A$1:$I$89,3,0)*0.475*44/12</f>
        <v>0.21596892258490005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3.3213507928326584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66.622529958850123</v>
      </c>
      <c r="BJ193" s="62">
        <f t="shared" si="146"/>
        <v>374.90853633180166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3.0822890109386765</v>
      </c>
      <c r="BQ193" s="23">
        <f>EXP(-LN(2)/25)*BQ192+(1-EXP(-LN(2)/25))/(LN(2)/25)*Calculateur!BL193*Calculateur!BN193*VLOOKUP('Données projet'!$B$11,Paramètres!$A$1:$I$89,3,0)*0.475*44/12</f>
        <v>0.21436289145804555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3.296651902396722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61.91827157428213</v>
      </c>
      <c r="CE193" s="62">
        <f t="shared" si="148"/>
        <v>358.41033295847001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2.9510771810429017</v>
      </c>
      <c r="CL193" s="23">
        <f>EXP(-LN(2)/25)*CL192+(1-EXP(-LN(2)/25))/(LN(2)/25)*Calculateur!CG193*Calculateur!CI193*VLOOKUP('Données projet'!$B$12,Paramètres!$A$1:$I$89,3,0)*0.475*44/12</f>
        <v>0.20523754754962525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3.1563147285925268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66.561949299871912</v>
      </c>
      <c r="CZ193" s="62">
        <f t="shared" si="150"/>
        <v>382.65744918271389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3.1439580425489719</v>
      </c>
      <c r="DG193" s="23">
        <f>EXP(-LN(2)/25)*DG192+(1-EXP(-LN(2)/25))/(LN(2)/25)*Calculateur!DB193*Calculateur!DD193*VLOOKUP('Données projet'!$B$13,Paramètres!$A$1:$I$89,3,0)*0.475*44/12</f>
        <v>0.2186517663437183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3.3626098088926901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>
        <f>DO193*VLOOKUP('Données projet'!$B$14,Paramètres!$A$1:$I$89,3,0)*VLOOKUP('Données projet'!$B$14,Paramètres!$A$1:$I$89,5,0)</f>
        <v>0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60.532656778089574</v>
      </c>
      <c r="DU193" s="62">
        <f t="shared" si="152"/>
        <v>348.96823267563025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2.8760385993062911</v>
      </c>
      <c r="EB193" s="23">
        <f>EXP(-LN(2)/25)*EB192+(1-EXP(-LN(2)/25))/(LN(2)/25)*Calculateur!DW193*Calculateur!DY193*VLOOKUP('Données projet'!$B$14,Paramètres!$A$1:$I$89,3,0)*0.475*44/12</f>
        <v>0.20001886516945777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3.076057464475749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97.730879999999743</v>
      </c>
      <c r="D194" s="12">
        <f t="shared" si="140"/>
        <v>26.420690983291692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958.36300408154796</v>
      </c>
      <c r="H194" s="70">
        <f t="shared" si="110"/>
        <v>509.56398612923255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74.209918391015606</v>
      </c>
      <c r="T194" s="62">
        <f t="shared" si="142"/>
        <v>422.59746235438649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3.3943196089647616</v>
      </c>
      <c r="AA194" s="23">
        <f>EXP(-LN(2)/25)*AA193+(1-EXP(-LN(2)/25))/(LN(2)/25)*Calculateur!V194*Calculateur!X194*VLOOKUP('Données projet'!$B$9,Paramètres!$A$1:$I$89,3,0)*0.475*44/12</f>
        <v>0.23420094264963329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3.628520551614395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65.6337514911271</v>
      </c>
      <c r="AO194" s="62">
        <f t="shared" si="144"/>
        <v>377.81060908047425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3.0444872258681142</v>
      </c>
      <c r="AV194" s="23">
        <f>EXP(-LN(2)/25)*AV193+(1-EXP(-LN(2)/25))/(LN(2)/25)*Calculateur!AQ194*Calculateur!AS194*VLOOKUP('Données projet'!$B$10,Paramètres!$A$1:$I$89,3,0)*0.475*44/12</f>
        <v>0.21006324103950391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3.254550466907618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66.622529958850123</v>
      </c>
      <c r="BJ194" s="62">
        <f t="shared" si="146"/>
        <v>374.90853633180166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3.02184720344483</v>
      </c>
      <c r="BQ194" s="23">
        <f>EXP(-LN(2)/25)*BQ193+(1-EXP(-LN(2)/25))/(LN(2)/25)*Calculateur!BL194*Calculateur!BN194*VLOOKUP('Données projet'!$B$11,Paramètres!$A$1:$I$89,3,0)*0.475*44/12</f>
        <v>0.20850112691827077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3.2303483303631007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61.91827157428213</v>
      </c>
      <c r="CE194" s="62">
        <f t="shared" si="148"/>
        <v>358.41033295847001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2.8932083575019978</v>
      </c>
      <c r="CL194" s="23">
        <f>EXP(-LN(2)/25)*CL193+(1-EXP(-LN(2)/25))/(LN(2)/25)*Calculateur!CG194*Calculateur!CI194*VLOOKUP('Données projet'!$B$12,Paramètres!$A$1:$I$89,3,0)*0.475*44/12</f>
        <v>0.19962531601890721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3.092833673520905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66.561949299871912</v>
      </c>
      <c r="CZ194" s="62">
        <f t="shared" si="150"/>
        <v>382.65744918271389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3.0823069429596428</v>
      </c>
      <c r="DG194" s="23">
        <f>EXP(-LN(2)/25)*DG193+(1-EXP(-LN(2)/25))/(LN(2)/25)*Calculateur!DB194*Calculateur!DD194*VLOOKUP('Données projet'!$B$13,Paramètres!$A$1:$I$89,3,0)*0.475*44/12</f>
        <v>0.21267272229465267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3.2949796652542953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>
        <f>DO194*VLOOKUP('Données projet'!$B$14,Paramètres!$A$1:$I$89,3,0)*VLOOKUP('Données projet'!$B$14,Paramètres!$A$1:$I$89,5,0)</f>
        <v>0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60.532656778089574</v>
      </c>
      <c r="DU194" s="62">
        <f t="shared" si="152"/>
        <v>348.96823267563025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2.8196412365842263</v>
      </c>
      <c r="EB194" s="23">
        <f>EXP(-LN(2)/25)*EB193+(1-EXP(-LN(2)/25))/(LN(2)/25)*Calculateur!DW194*Calculateur!DY194*VLOOKUP('Données projet'!$B$14,Paramètres!$A$1:$I$89,3,0)*0.475*44/12</f>
        <v>0.19454933878286398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3.0141905753670901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98.242559999999742</v>
      </c>
      <c r="D195" s="12">
        <f t="shared" si="140"/>
        <v>26.542880631319921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963.25603294352015</v>
      </c>
      <c r="H195" s="70">
        <f t="shared" si="110"/>
        <v>510.66797576621502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74.209918391015606</v>
      </c>
      <c r="T195" s="62">
        <f t="shared" si="142"/>
        <v>422.59746235438649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3.3277590717634959</v>
      </c>
      <c r="AA195" s="23">
        <f>EXP(-LN(2)/25)*AA194+(1-EXP(-LN(2)/25))/(LN(2)/25)*Calculateur!V195*Calculateur!X195*VLOOKUP('Données projet'!$B$9,Paramètres!$A$1:$I$89,3,0)*0.475*44/12</f>
        <v>0.22779670555678677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3.5555557773202828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65.6337514911271</v>
      </c>
      <c r="AO195" s="62">
        <f t="shared" si="144"/>
        <v>377.81060908047425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2.9847866883226892</v>
      </c>
      <c r="AV195" s="23">
        <f>EXP(-LN(2)/25)*AV194+(1-EXP(-LN(2)/25))/(LN(2)/25)*Calculateur!AQ195*Calculateur!AS195*VLOOKUP('Données projet'!$B$10,Paramètres!$A$1:$I$89,3,0)*0.475*44/12</f>
        <v>0.20431905066653294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3.1891057389892223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66.622529958850123</v>
      </c>
      <c r="BJ195" s="62">
        <f t="shared" si="146"/>
        <v>374.90853633180166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2.9625906229300756</v>
      </c>
      <c r="BQ195" s="23">
        <f>EXP(-LN(2)/25)*BQ194+(1-EXP(-LN(2)/25))/(LN(2)/25)*Calculateur!BL195*Calculateur!BN195*VLOOKUP('Données projet'!$B$11,Paramètres!$A$1:$I$89,3,0)*0.475*44/12</f>
        <v>0.20279965263809294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3.1653902755681687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61.91827157428213</v>
      </c>
      <c r="CE195" s="62">
        <f t="shared" si="148"/>
        <v>358.41033295847001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2.8364743062942339</v>
      </c>
      <c r="CL195" s="23">
        <f>EXP(-LN(2)/25)*CL194+(1-EXP(-LN(2)/25))/(LN(2)/25)*Calculateur!CG195*Calculateur!CI195*VLOOKUP('Données projet'!$B$12,Paramètres!$A$1:$I$89,3,0)*0.475*44/12</f>
        <v>0.19416655125453106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3.0306408575487649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66.561949299871912</v>
      </c>
      <c r="CZ195" s="62">
        <f t="shared" si="150"/>
        <v>382.65744918271389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3.0218647838298027</v>
      </c>
      <c r="DG195" s="23">
        <f>EXP(-LN(2)/25)*DG194+(1-EXP(-LN(2)/25))/(LN(2)/25)*Calculateur!DB195*Calculateur!DD195*VLOOKUP('Données projet'!$B$13,Paramètres!$A$1:$I$89,3,0)*0.475*44/12</f>
        <v>0.206857175519533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3.2287219593493357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>
        <f>DO195*VLOOKUP('Données projet'!$B$14,Paramètres!$A$1:$I$89,3,0)*VLOOKUP('Données projet'!$B$14,Paramètres!$A$1:$I$89,5,0)</f>
        <v>0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60.532656778089574</v>
      </c>
      <c r="DU195" s="62">
        <f t="shared" si="152"/>
        <v>348.96823267563025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2.7643497917461466</v>
      </c>
      <c r="EB195" s="23">
        <f>EXP(-LN(2)/25)*EB194+(1-EXP(-LN(2)/25))/(LN(2)/25)*Calculateur!DW195*Calculateur!DY195*VLOOKUP('Données projet'!$B$14,Paramètres!$A$1:$I$89,3,0)*0.475*44/12</f>
        <v>0.1892293768829415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2.953579168629088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98.75423999999974</v>
      </c>
      <c r="D196" s="12">
        <f t="shared" si="140"/>
        <v>26.664996223970032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968.14849014994218</v>
      </c>
      <c r="H196" s="70">
        <f t="shared" ref="H196:H203" si="192">(B196+E196+F196)*44/12+(C196+D196)*0.475*44/12</f>
        <v>511.77183642341402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74.209918391015606</v>
      </c>
      <c r="T196" s="62">
        <f t="shared" si="142"/>
        <v>422.59746235438649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3.2625037460988282</v>
      </c>
      <c r="AA196" s="23">
        <f>EXP(-LN(2)/25)*AA195+(1-EXP(-LN(2)/25))/(LN(2)/25)*Calculateur!V196*Calculateur!X196*VLOOKUP('Données projet'!$B$9,Paramètres!$A$1:$I$89,3,0)*0.475*44/12</f>
        <v>0.22156759266402834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3.4840713387628566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65.6337514911271</v>
      </c>
      <c r="AO196" s="62">
        <f t="shared" si="144"/>
        <v>377.81060908047425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2.9262568419047978</v>
      </c>
      <c r="AV196" s="23">
        <f>EXP(-LN(2)/25)*AV195+(1-EXP(-LN(2)/25))/(LN(2)/25)*Calculateur!AQ196*Calculateur!AS196*VLOOKUP('Données projet'!$B$10,Paramètres!$A$1:$I$89,3,0)*0.475*44/12</f>
        <v>0.19873193548138471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3.1249887773861826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66.622529958850123</v>
      </c>
      <c r="BJ196" s="62">
        <f t="shared" si="146"/>
        <v>374.90853633180166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2.9044960278162701</v>
      </c>
      <c r="BQ196" s="23">
        <f>EXP(-LN(2)/25)*BQ195+(1-EXP(-LN(2)/25))/(LN(2)/25)*Calculateur!BL196*Calculateur!BN196*VLOOKUP('Données projet'!$B$11,Paramètres!$A$1:$I$89,3,0)*0.475*44/12</f>
        <v>0.19725408547193407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3.1017501132882042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61.91827157428213</v>
      </c>
      <c r="CE196" s="62">
        <f t="shared" si="148"/>
        <v>358.41033295847001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2.7808527752262999</v>
      </c>
      <c r="CL196" s="23">
        <f>EXP(-LN(2)/25)*CL195+(1-EXP(-LN(2)/25))/(LN(2)/25)*Calculateur!CG196*Calculateur!CI196*VLOOKUP('Données projet'!$B$12,Paramètres!$A$1:$I$89,3,0)*0.475*44/12</f>
        <v>0.18885705669970074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2.9697098319260005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66.561949299871912</v>
      </c>
      <c r="CZ196" s="62">
        <f t="shared" si="150"/>
        <v>382.65744918271389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2.962607858574422</v>
      </c>
      <c r="DG196" s="23">
        <f>EXP(-LN(2)/25)*DG195+(1-EXP(-LN(2)/25))/(LN(2)/25)*Calculateur!DB196*Calculateur!DD196*VLOOKUP('Données projet'!$B$13,Paramètres!$A$1:$I$89,3,0)*0.475*44/12</f>
        <v>0.2012006551768053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3.1638085137512273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>
        <f>DO196*VLOOKUP('Données projet'!$B$14,Paramètres!$A$1:$I$89,3,0)*VLOOKUP('Données projet'!$B$14,Paramètres!$A$1:$I$89,5,0)</f>
        <v>0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60.532656778089574</v>
      </c>
      <c r="DU196" s="62">
        <f t="shared" si="152"/>
        <v>348.96823267563025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2.7101425784168902</v>
      </c>
      <c r="EB196" s="23">
        <f>EXP(-LN(2)/25)*EB195+(1-EXP(-LN(2)/25))/(LN(2)/25)*Calculateur!DW196*Calculateur!DY196*VLOOKUP('Données projet'!$B$14,Paramètres!$A$1:$I$89,3,0)*0.475*44/12</f>
        <v>0.18405488962093702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2.8941974680378273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99.265919999999738</v>
      </c>
      <c r="D197" s="12">
        <f t="shared" ref="D197:D203" si="202">IFERROR(EXP(-1.0587+0.8836*LN(C197)+0.284),0)</f>
        <v>26.787038189486797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973.0403790065626</v>
      </c>
      <c r="H197" s="70">
        <f t="shared" si="192"/>
        <v>512.87556884668902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74.209918391015606</v>
      </c>
      <c r="T197" s="62">
        <f t="shared" ref="T197:T203" si="204">$T$3</f>
        <v>422.59746235438649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3.198528037568626</v>
      </c>
      <c r="AA197" s="23">
        <f>EXP(-LN(2)/25)*AA196+(1-EXP(-LN(2)/25))/(LN(2)/25)*Calculateur!V197*Calculateur!X197*VLOOKUP('Données projet'!$B$9,Paramètres!$A$1:$I$89,3,0)*0.475*44/12</f>
        <v>0.21550881519089718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3.4140368527595233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65.6337514911271</v>
      </c>
      <c r="AO197" s="62">
        <f t="shared" ref="AO197:AO203" si="205">$AO$3</f>
        <v>377.81060908047425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2.86887473007548</v>
      </c>
      <c r="AV197" s="23">
        <f>EXP(-LN(2)/25)*AV196+(1-EXP(-LN(2)/25))/(LN(2)/25)*Calculateur!AQ197*Calculateur!AS197*VLOOKUP('Données projet'!$B$10,Paramètres!$A$1:$I$89,3,0)*0.475*44/12</f>
        <v>0.19329760025478795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3.0621723303302679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66.622529958850123</v>
      </c>
      <c r="BJ197" s="62">
        <f t="shared" ref="BJ197:BJ203" si="206">$BJ$3</f>
        <v>374.90853633180166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2.8475406322784425</v>
      </c>
      <c r="BQ197" s="23">
        <f>EXP(-LN(2)/25)*BQ196+(1-EXP(-LN(2)/25))/(LN(2)/25)*Calculateur!BL197*Calculateur!BN197*VLOOKUP('Données projet'!$B$11,Paramètres!$A$1:$I$89,3,0)*0.475*44/12</f>
        <v>0.19186016213156251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3.039400794410005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61.91827157428213</v>
      </c>
      <c r="CE197" s="62">
        <f t="shared" ref="CE197:CE203" si="207">$CE$3</f>
        <v>358.41033295847001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2.7263219484568237</v>
      </c>
      <c r="CL197" s="23">
        <f>EXP(-LN(2)/25)*CL196+(1-EXP(-LN(2)/25))/(LN(2)/25)*Calculateur!CG197*Calculateur!CI197*VLOOKUP('Données projet'!$B$12,Paramètres!$A$1:$I$89,3,0)*0.475*44/12</f>
        <v>0.18369275055268644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2.9100146990095102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66.561949299871912</v>
      </c>
      <c r="CZ197" s="62">
        <f t="shared" ref="CZ197:CZ203" si="208">$CZ$3</f>
        <v>382.65744918271389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2.9045129254801436</v>
      </c>
      <c r="DG197" s="23">
        <f>EXP(-LN(2)/25)*DG196+(1-EXP(-LN(2)/25))/(LN(2)/25)*Calculateur!DB197*Calculateur!DD197*VLOOKUP('Données projet'!$B$13,Paramètres!$A$1:$I$89,3,0)*0.475*44/12</f>
        <v>0.19569881268031294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3.1002117381604566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>
        <f>DO197*VLOOKUP('Données projet'!$B$14,Paramètres!$A$1:$I$89,3,0)*VLOOKUP('Données projet'!$B$14,Paramètres!$A$1:$I$89,5,0)</f>
        <v>0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60.532656778089574</v>
      </c>
      <c r="DU197" s="62">
        <f t="shared" ref="DU197:DU203" si="209">$DU$3</f>
        <v>348.96823267563025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2.6569983354778852</v>
      </c>
      <c r="EB197" s="23">
        <f>EXP(-LN(2)/25)*EB196+(1-EXP(-LN(2)/25))/(LN(2)/25)*Calculateur!DW197*Calculateur!DY197*VLOOKUP('Données projet'!$B$14,Paramètres!$A$1:$I$89,3,0)*0.475*44/12</f>
        <v>0.17902189898522652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2.8360202344631116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99.777599999999737</v>
      </c>
      <c r="D198" s="12">
        <f t="shared" si="202"/>
        <v>26.909006951444486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977.93170278307832</v>
      </c>
      <c r="H198" s="70">
        <f t="shared" si="192"/>
        <v>513.9791737737653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74.209918391015606</v>
      </c>
      <c r="T198" s="62">
        <f t="shared" si="204"/>
        <v>422.59746235438649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3.1358068536613719</v>
      </c>
      <c r="AA198" s="23">
        <f>EXP(-LN(2)/25)*AA197+(1-EXP(-LN(2)/25))/(LN(2)/25)*Calculateur!V198*Calculateur!X198*VLOOKUP('Données projet'!$B$9,Paramètres!$A$1:$I$89,3,0)*0.475*44/12</f>
        <v>0.20961571530638606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3.3454225689677579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65.6337514911271</v>
      </c>
      <c r="AO198" s="62">
        <f t="shared" si="205"/>
        <v>377.81060908047425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2.8126178464595029</v>
      </c>
      <c r="AV198" s="23">
        <f>EXP(-LN(2)/25)*AV197+(1-EXP(-LN(2)/25))/(LN(2)/25)*Calculateur!AQ198*Calculateur!AS198*VLOOKUP('Données projet'!$B$10,Paramètres!$A$1:$I$89,3,0)*0.475*44/12</f>
        <v>0.18801186721074176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3.0006297136702447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66.622529958850123</v>
      </c>
      <c r="BJ198" s="62">
        <f t="shared" si="206"/>
        <v>374.90853633180166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2.7917020973077502</v>
      </c>
      <c r="BQ198" s="23">
        <f>EXP(-LN(2)/25)*BQ197+(1-EXP(-LN(2)/25))/(LN(2)/25)*Calculateur!BL198*Calculateur!BN198*VLOOKUP('Données projet'!$B$11,Paramètres!$A$1:$I$89,3,0)*0.475*44/12</f>
        <v>0.18661373590858751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2.9783158332163375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61.91827157428213</v>
      </c>
      <c r="CE198" s="62">
        <f t="shared" si="207"/>
        <v>358.41033295847001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2.6728604379397769</v>
      </c>
      <c r="CL198" s="23">
        <f>EXP(-LN(2)/25)*CL197+(1-EXP(-LN(2)/25))/(LN(2)/25)*Calculateur!CG198*Calculateur!CI198*VLOOKUP('Données projet'!$B$12,Paramètres!$A$1:$I$89,3,0)*0.475*44/12</f>
        <v>0.17866966262884132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2.8515301005686182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66.561949299871912</v>
      </c>
      <c r="CZ198" s="62">
        <f t="shared" si="208"/>
        <v>382.65744918271389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2.8475571985894339</v>
      </c>
      <c r="DG198" s="23">
        <f>EXP(-LN(2)/25)*DG197+(1-EXP(-LN(2)/25))/(LN(2)/25)*Calculateur!DB198*Calculateur!DD198*VLOOKUP('Données projet'!$B$13,Paramètres!$A$1:$I$89,3,0)*0.475*44/12</f>
        <v>0.19034741835621649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3.0379046169456503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>
        <f>DO198*VLOOKUP('Données projet'!$B$14,Paramètres!$A$1:$I$89,3,0)*VLOOKUP('Données projet'!$B$14,Paramètres!$A$1:$I$89,5,0)</f>
        <v>0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60.532656778089574</v>
      </c>
      <c r="DU198" s="62">
        <f t="shared" si="209"/>
        <v>348.96823267563025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2.6048962187281268</v>
      </c>
      <c r="EB198" s="23">
        <f>EXP(-LN(2)/25)*EB197+(1-EXP(-LN(2)/25))/(LN(2)/25)*Calculateur!DW198*Calculateur!DY198*VLOOKUP('Données projet'!$B$14,Paramètres!$A$1:$I$89,3,0)*0.475*44/12</f>
        <v>0.17412653574312301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2.7790227544712498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100.28927999999974</v>
      </c>
      <c r="D199" s="12">
        <f t="shared" si="202"/>
        <v>27.030902928821437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982.82246471370729</v>
      </c>
      <c r="H199" s="70">
        <f t="shared" si="192"/>
        <v>515.08265193436353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74.209918391015606</v>
      </c>
      <c r="T199" s="62">
        <f t="shared" si="204"/>
        <v>422.59746235438649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3.0743155939143945</v>
      </c>
      <c r="AA199" s="23">
        <f>EXP(-LN(2)/25)*AA198+(1-EXP(-LN(2)/25))/(LN(2)/25)*Calculateur!V199*Calculateur!X199*VLOOKUP('Données projet'!$B$9,Paramètres!$A$1:$I$89,3,0)*0.475*44/12</f>
        <v>0.20388376254812154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3.2781993564625158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65.6337514911271</v>
      </c>
      <c r="AO199" s="62">
        <f t="shared" si="205"/>
        <v>377.81060908047425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2.7574641260179242</v>
      </c>
      <c r="AV199" s="23">
        <f>EXP(-LN(2)/25)*AV198+(1-EXP(-LN(2)/25))/(LN(2)/25)*Calculateur!AQ199*Calculateur!AS199*VLOOKUP('Données projet'!$B$10,Paramètres!$A$1:$I$89,3,0)*0.475*44/12</f>
        <v>0.18287067281474964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2.9403347988326738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66.622529958850123</v>
      </c>
      <c r="BJ199" s="62">
        <f t="shared" si="206"/>
        <v>374.90853633180166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2.7369585219496901</v>
      </c>
      <c r="BQ199" s="23">
        <f>EXP(-LN(2)/25)*BQ198+(1-EXP(-LN(2)/25))/(LN(2)/25)*Calculateur!BL199*Calculateur!BN199*VLOOKUP('Données projet'!$B$11,Paramètres!$A$1:$I$89,3,0)*0.475*44/12</f>
        <v>0.18151077348657732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2.9184692954362674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61.91827157428213</v>
      </c>
      <c r="CE199" s="62">
        <f t="shared" si="207"/>
        <v>358.41033295847001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2.620447275035668</v>
      </c>
      <c r="CL199" s="23">
        <f>EXP(-LN(2)/25)*CL198+(1-EXP(-LN(2)/25))/(LN(2)/25)*Calculateur!CG199*Calculateur!CI199*VLOOKUP('Données projet'!$B$12,Paramètres!$A$1:$I$89,3,0)*0.475*44/12</f>
        <v>0.17378393130842645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2.7942312063440946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66.561949299871912</v>
      </c>
      <c r="CZ199" s="62">
        <f t="shared" si="208"/>
        <v>382.65744918271389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2.7917183387634878</v>
      </c>
      <c r="DG199" s="23">
        <f>EXP(-LN(2)/25)*DG198+(1-EXP(-LN(2)/25))/(LN(2)/25)*Calculateur!DB199*Calculateur!DD199*VLOOKUP('Données projet'!$B$13,Paramètres!$A$1:$I$89,3,0)*0.475*44/12</f>
        <v>0.18514235819133007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2.9768606969548177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>
        <f>DO199*VLOOKUP('Données projet'!$B$14,Paramètres!$A$1:$I$89,3,0)*VLOOKUP('Données projet'!$B$14,Paramètres!$A$1:$I$89,5,0)</f>
        <v>0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60.532656778089574</v>
      </c>
      <c r="DU199" s="62">
        <f t="shared" si="209"/>
        <v>348.96823267563025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2.553815792708678</v>
      </c>
      <c r="EB199" s="23">
        <f>EXP(-LN(2)/25)*EB198+(1-EXP(-LN(2)/25))/(LN(2)/25)*Calculateur!DW199*Calculateur!DY199*VLOOKUP('Données projet'!$B$14,Paramètres!$A$1:$I$89,3,0)*0.475*44/12</f>
        <v>0.16936503646631076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2.7231808291749888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100.80095999999973</v>
      </c>
      <c r="D200" s="12">
        <f t="shared" si="202"/>
        <v>27.152726536073256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987.71266799775651</v>
      </c>
      <c r="H200" s="70">
        <f t="shared" si="192"/>
        <v>516.18600405032703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74.209918391015606</v>
      </c>
      <c r="T200" s="62">
        <f t="shared" si="204"/>
        <v>422.59746235438649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3.0140301402650902</v>
      </c>
      <c r="AA200" s="23">
        <f>EXP(-LN(2)/25)*AA199+(1-EXP(-LN(2)/25))/(LN(2)/25)*Calculateur!V200*Calculateur!X200*VLOOKUP('Données projet'!$B$9,Paramètres!$A$1:$I$89,3,0)*0.475*44/12</f>
        <v>0.19830855033946207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3.2123386906045521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65.6337514911271</v>
      </c>
      <c r="AO200" s="62">
        <f t="shared" si="205"/>
        <v>377.81060908047425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2.7033919363937571</v>
      </c>
      <c r="AV200" s="23">
        <f>EXP(-LN(2)/25)*AV199+(1-EXP(-LN(2)/25))/(LN(2)/25)*Calculateur!AQ200*Calculateur!AS200*VLOOKUP('Données projet'!$B$10,Paramètres!$A$1:$I$89,3,0)*0.475*44/12</f>
        <v>0.17787006464987959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2.8812620010436367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66.622529958850123</v>
      </c>
      <c r="BJ200" s="62">
        <f t="shared" si="206"/>
        <v>374.90853633180166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2.6832884347141177</v>
      </c>
      <c r="BQ200" s="23">
        <f>EXP(-LN(2)/25)*BQ199+(1-EXP(-LN(2)/25))/(LN(2)/25)*Calculateur!BL200*Calculateur!BN200*VLOOKUP('Données projet'!$B$11,Paramètres!$A$1:$I$89,3,0)*0.475*44/12</f>
        <v>0.17654735184035014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2.8598357865544677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61.91827157428213</v>
      </c>
      <c r="CE200" s="62">
        <f t="shared" si="207"/>
        <v>358.41033295847001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2.5690619022872356</v>
      </c>
      <c r="CL200" s="23">
        <f>EXP(-LN(2)/25)*CL199+(1-EXP(-LN(2)/25))/(LN(2)/25)*Calculateur!CG200*Calculateur!CI200*VLOOKUP('Données projet'!$B$12,Paramètres!$A$1:$I$89,3,0)*0.475*44/12</f>
        <v>0.16903180056789777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2.7380937028551333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66.561949299871912</v>
      </c>
      <c r="CZ200" s="62">
        <f t="shared" si="208"/>
        <v>382.65744918271389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2.7369744449203868</v>
      </c>
      <c r="DG200" s="23">
        <f>EXP(-LN(2)/25)*DG199+(1-EXP(-LN(2)/25))/(LN(2)/25)*Calculateur!DB200*Calculateur!DD200*VLOOKUP('Données projet'!$B$13,Paramètres!$A$1:$I$89,3,0)*0.475*44/12</f>
        <v>0.18007963067037469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2.9170540755907615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>
        <f>DO200*VLOOKUP('Données projet'!$B$14,Paramètres!$A$1:$I$89,3,0)*VLOOKUP('Données projet'!$B$14,Paramètres!$A$1:$I$89,5,0)</f>
        <v>0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60.532656778089574</v>
      </c>
      <c r="DU200" s="62">
        <f t="shared" si="209"/>
        <v>348.96823267563025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2.5037370226874867</v>
      </c>
      <c r="EB200" s="23">
        <f>EXP(-LN(2)/25)*EB199+(1-EXP(-LN(2)/25))/(LN(2)/25)*Calculateur!DW200*Calculateur!DY200*VLOOKUP('Données projet'!$B$14,Paramètres!$A$1:$I$89,3,0)*0.475*44/12</f>
        <v>0.16473374063761931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2.6684707633251059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101.31263999999973</v>
      </c>
      <c r="D201" s="12">
        <f t="shared" si="202"/>
        <v>27.274478183204195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992.60231580017069</v>
      </c>
      <c r="H201" s="70">
        <f t="shared" si="192"/>
        <v>517.28923083574682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74.209918391015606</v>
      </c>
      <c r="T201" s="62">
        <f t="shared" si="204"/>
        <v>422.59746235438649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2.9549268475913526</v>
      </c>
      <c r="AA201" s="23">
        <f>EXP(-LN(2)/25)*AA200+(1-EXP(-LN(2)/25))/(LN(2)/25)*Calculateur!V201*Calculateur!X201*VLOOKUP('Données projet'!$B$9,Paramètres!$A$1:$I$89,3,0)*0.475*44/12</f>
        <v>0.19288579260183605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3.1478126401931887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65.6337514911271</v>
      </c>
      <c r="AO201" s="62">
        <f t="shared" si="205"/>
        <v>377.81060908047425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2.6503800694273409</v>
      </c>
      <c r="AV201" s="23">
        <f>EXP(-LN(2)/25)*AV200+(1-EXP(-LN(2)/25))/(LN(2)/25)*Calculateur!AQ201*Calculateur!AS201*VLOOKUP('Données projet'!$B$10,Paramètres!$A$1:$I$89,3,0)*0.475*44/12</f>
        <v>0.17300619837824846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2.8233862678055894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66.622529958850123</v>
      </c>
      <c r="BJ201" s="62">
        <f t="shared" si="206"/>
        <v>374.90853633180166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2.6306707851537139</v>
      </c>
      <c r="BQ201" s="23">
        <f>EXP(-LN(2)/25)*BQ200+(1-EXP(-LN(2)/25))/(LN(2)/25)*Calculateur!BL201*Calculateur!BN201*VLOOKUP('Données projet'!$B$11,Paramètres!$A$1:$I$89,3,0)*0.475*44/12</f>
        <v>0.17171965522005403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2.8023904403737681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61.91827157428213</v>
      </c>
      <c r="CE201" s="62">
        <f t="shared" si="207"/>
        <v>358.41033295847001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2.5186841653564178</v>
      </c>
      <c r="CL201" s="23">
        <f>EXP(-LN(2)/25)*CL200+(1-EXP(-LN(2)/25))/(LN(2)/25)*Calculateur!CG201*Calculateur!CI201*VLOOKUP('Données projet'!$B$12,Paramètres!$A$1:$I$89,3,0)*0.475*44/12</f>
        <v>0.16440961709237253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2.6830937824487902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66.561949299871912</v>
      </c>
      <c r="CZ201" s="62">
        <f t="shared" si="208"/>
        <v>382.65744918271389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2.683304045445071</v>
      </c>
      <c r="DG201" s="23">
        <f>EXP(-LN(2)/25)*DG200+(1-EXP(-LN(2)/25))/(LN(2)/25)*Calculateur!DB201*Calculateur!DD201*VLOOKUP('Données projet'!$B$13,Paramètres!$A$1:$I$89,3,0)*0.475*44/12</f>
        <v>0.17515534369971711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2.8584593891447883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>
        <f>DO201*VLOOKUP('Données projet'!$B$14,Paramètres!$A$1:$I$89,3,0)*VLOOKUP('Données projet'!$B$14,Paramètres!$A$1:$I$89,5,0)</f>
        <v>0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60.532656778089574</v>
      </c>
      <c r="DU201" s="62">
        <f t="shared" si="209"/>
        <v>348.96823267563025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2.4546402668013774</v>
      </c>
      <c r="EB201" s="23">
        <f>EXP(-LN(2)/25)*EB200+(1-EXP(-LN(2)/25))/(LN(2)/25)*Calculateur!DW201*Calculateur!DY201*VLOOKUP('Données projet'!$B$14,Paramètres!$A$1:$I$89,3,0)*0.475*44/12</f>
        <v>0.1602290878369127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2.61486935463829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101.82431999999973</v>
      </c>
      <c r="D202" s="12">
        <f t="shared" si="202"/>
        <v>27.396158275837223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997.49141125207495</v>
      </c>
      <c r="H202" s="70">
        <f t="shared" si="192"/>
        <v>518.39233299708269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74.209918391015606</v>
      </c>
      <c r="T202" s="62">
        <f t="shared" si="204"/>
        <v>422.59746235438649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2.8969825344374982</v>
      </c>
      <c r="AA202" s="23">
        <f>EXP(-LN(2)/25)*AA201+(1-EXP(-LN(2)/25))/(LN(2)/25)*Calculateur!V202*Calculateur!X202*VLOOKUP('Données projet'!$B$9,Paramètres!$A$1:$I$89,3,0)*0.475*44/12</f>
        <v>0.18761132045971585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3.0845938548972143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65.6337514911271</v>
      </c>
      <c r="AO202" s="62">
        <f t="shared" si="205"/>
        <v>377.81060908047425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2.5984077328380897</v>
      </c>
      <c r="AV202" s="23">
        <f>EXP(-LN(2)/25)*AV201+(1-EXP(-LN(2)/25))/(LN(2)/25)*Calculateur!AQ202*Calculateur!AS202*VLOOKUP('Données projet'!$B$10,Paramètres!$A$1:$I$89,3,0)*0.475*44/12</f>
        <v>0.1682753347855947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2.7666830676236844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66.622529958850123</v>
      </c>
      <c r="BJ202" s="62">
        <f t="shared" si="206"/>
        <v>374.90853633180166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2.5790849356075922</v>
      </c>
      <c r="BQ202" s="23">
        <f>EXP(-LN(2)/25)*BQ201+(1-EXP(-LN(2)/25))/(LN(2)/25)*Calculateur!BL202*Calculateur!BN202*VLOOKUP('Données projet'!$B$11,Paramètres!$A$1:$I$89,3,0)*0.475*44/12</f>
        <v>0.16702397221771745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2.7461089078253096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61.91827157428213</v>
      </c>
      <c r="CE202" s="62">
        <f t="shared" si="207"/>
        <v>358.41033295847001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2.4692943051194276</v>
      </c>
      <c r="CL202" s="23">
        <f>EXP(-LN(2)/25)*CL201+(1-EXP(-LN(2)/25))/(LN(2)/25)*Calculateur!CG202*Calculateur!CI202*VLOOKUP('Données projet'!$B$12,Paramètres!$A$1:$I$89,3,0)*0.475*44/12</f>
        <v>0.1599138274670556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2.6292081325864833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66.561949299871912</v>
      </c>
      <c r="CZ202" s="62">
        <f t="shared" si="208"/>
        <v>382.65744918271389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2.6306860897677549</v>
      </c>
      <c r="DG202" s="23">
        <f>EXP(-LN(2)/25)*DG201+(1-EXP(-LN(2)/25))/(LN(2)/25)*Calculateur!DB202*Calculateur!DD202*VLOOKUP('Données projet'!$B$13,Paramètres!$A$1:$I$89,3,0)*0.475*44/12</f>
        <v>0.17036571161522915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2.8010518013829842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>
        <f>DO202*VLOOKUP('Données projet'!$B$14,Paramètres!$A$1:$I$89,3,0)*VLOOKUP('Données projet'!$B$14,Paramètres!$A$1:$I$89,5,0)</f>
        <v>0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60.532656778089574</v>
      </c>
      <c r="DU202" s="62">
        <f t="shared" si="209"/>
        <v>348.96823267563025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2.4065062683521306</v>
      </c>
      <c r="EB202" s="23">
        <f>EXP(-LN(2)/25)*EB201+(1-EXP(-LN(2)/25))/(LN(2)/25)*Calculateur!DW202*Calculateur!DY202*VLOOKUP('Données projet'!$B$14,Paramètres!$A$1:$I$89,3,0)*0.475*44/12</f>
        <v>0.1558476150039308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2.5623538833560615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102.33599999999973</v>
      </c>
      <c r="D203" s="12">
        <f t="shared" si="202"/>
        <v>27.517767215282685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1002.3799574513027</v>
      </c>
      <c r="H203" s="70">
        <f t="shared" si="192"/>
        <v>519.49531123328347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74.209918391015606</v>
      </c>
      <c r="T203" s="62">
        <f t="shared" si="204"/>
        <v>422.59746235438649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2.8401744739220498</v>
      </c>
      <c r="AA203" s="23">
        <f>EXP(-LN(2)/25)*AA202+(1-EXP(-LN(2)/25))/(LN(2)/25)*Calculateur!V203*Calculateur!X203*VLOOKUP('Données projet'!$B$9,Paramètres!$A$1:$I$89,3,0)*0.475*44/12</f>
        <v>0.18248107903569435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3.0226555529577444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65.6337514911271</v>
      </c>
      <c r="AO203" s="62">
        <f t="shared" si="205"/>
        <v>377.81060908047425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2.5474545420693588</v>
      </c>
      <c r="AV203" s="23">
        <f>EXP(-LN(2)/25)*AV202+(1-EXP(-LN(2)/25))/(LN(2)/25)*Calculateur!AQ203*Calculateur!AS203*VLOOKUP('Données projet'!$B$10,Paramètres!$A$1:$I$89,3,0)*0.475*44/12</f>
        <v>0.16367383690666734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2.7111283789760261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66.622529958850123</v>
      </c>
      <c r="BJ203" s="62">
        <f t="shared" si="206"/>
        <v>374.90853633180166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2.5285106531068089</v>
      </c>
      <c r="BQ203" s="23">
        <f>EXP(-LN(2)/25)*BQ202+(1-EXP(-LN(2)/25))/(LN(2)/25)*Calculateur!BL203*Calculateur!BN203*VLOOKUP('Données projet'!$B$11,Paramètres!$A$1:$I$89,3,0)*0.475*44/12</f>
        <v>0.16245669291401502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2.6909673460208241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61.91827157428213</v>
      </c>
      <c r="CE203" s="62">
        <f t="shared" si="207"/>
        <v>358.41033295847001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2.4208729499168449</v>
      </c>
      <c r="CL203" s="23">
        <f>EXP(-LN(2)/25)*CL202+(1-EXP(-LN(2)/25))/(LN(2)/25)*Calculateur!CG203*Calculateur!CI203*VLOOKUP('Données projet'!$B$12,Paramètres!$A$1:$I$89,3,0)*0.475*44/12</f>
        <v>0.15554097544546627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2.5764139253623113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66.561949299871912</v>
      </c>
      <c r="CZ203" s="62">
        <f t="shared" si="208"/>
        <v>382.65744918271389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2.5790999401074868</v>
      </c>
      <c r="DG203" s="23">
        <f>EXP(-LN(2)/25)*DG202+(1-EXP(-LN(2)/25))/(LN(2)/25)*Calculateur!DB203*Calculateur!DD203*VLOOKUP('Données projet'!$B$13,Paramètres!$A$1:$I$89,3,0)*0.475*44/12</f>
        <v>0.1657070522719673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2.7448069923794542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>
        <f>DO203*VLOOKUP('Données projet'!$B$14,Paramètres!$A$1:$I$89,3,0)*VLOOKUP('Données projet'!$B$14,Paramètres!$A$1:$I$89,5,0)</f>
        <v>0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60.532656778089574</v>
      </c>
      <c r="DU203" s="62">
        <f t="shared" si="209"/>
        <v>348.96823267563025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2.3593161482536336</v>
      </c>
      <c r="EB203" s="23">
        <f>EXP(-LN(2)/25)*EB202+(1-EXP(-LN(2)/25))/(LN(2)/25)*Calculateur!DW203*Calculateur!DY203*VLOOKUP('Données projet'!$B$14,Paramètres!$A$1:$I$89,3,0)*0.475*44/12</f>
        <v>0.15158595377597842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2.5109021020296121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1.3878726056494621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1.3878726056494621</v>
      </c>
      <c r="BA205" s="88">
        <f>EXP(LN('Données projet'!B88)/'Données projet'!A88)</f>
        <v>1.3770437448054891</v>
      </c>
      <c r="BV205" s="88">
        <f>EXP(LN('Données projet'!B114)/'Données projet'!A114)</f>
        <v>1.3878726056494621</v>
      </c>
      <c r="CQ205" s="88">
        <f>EXP(LN('Données projet'!B140)/'Données projet'!A140)</f>
        <v>1.3878726056494621</v>
      </c>
      <c r="DL205" s="88">
        <f>EXP(LN('Données projet'!B166)/'Données projet'!A166)</f>
        <v>1.3846407653603228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29" workbookViewId="0">
      <selection activeCell="C52" sqref="C5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N12" sqref="N1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Lambro</v>
      </c>
      <c r="B6" s="155">
        <f>'Données projet'!D9</f>
        <v>3.1415999999999999</v>
      </c>
      <c r="C6" s="156">
        <f ca="1">IF(OR('Données projet'!B9="",'Données projet'!C9="",'Données projet'!C9=0%),0,Calculateur!S3)</f>
        <v>74.209918391015606</v>
      </c>
      <c r="D6" s="156">
        <f>IF(OR('Données projet'!B9="",'Données projet'!C9="",'Données projet'!C9=0%),0,Calculateur!T3)</f>
        <v>422.59746235438649</v>
      </c>
      <c r="E6" s="156">
        <f ca="1">MIN(C6,D6)</f>
        <v>74.209918391015606</v>
      </c>
      <c r="F6" s="156">
        <f ca="1">E6*B6</f>
        <v>233.13787961721462</v>
      </c>
      <c r="G6" s="156">
        <f ca="1">F6*(100%-'Données projet'!$C$24)*(100%-'Données projet'!$C$25)*(100%-'Données projet'!$C$26)*(100%-'Données projet'!$C$27)</f>
        <v>159.46630965817479</v>
      </c>
      <c r="H6" s="157">
        <f>IF(OR('Données projet'!B9="",'Données projet'!C9="",'Données projet'!C9=0%),0,AVERAGE(Calculateur!$AC$3:$AC$33)*B6)</f>
        <v>154.27525246990407</v>
      </c>
      <c r="I6" s="158">
        <f>H6*(100%-'Données projet'!$C$24)*(100%-'Données projet'!$C$25)*(100%-'Données projet'!$C$26)*(100%-'Données projet'!$C$27)</f>
        <v>105.52427268941439</v>
      </c>
      <c r="J6" s="159">
        <f>IF(OR('Données projet'!B9="",'Données projet'!C9="",'Données projet'!C9=0%),0,SUM(Calculateur!$V$3:$V$33)*VLOOKUP('Données projet'!$B$9,Paramètres!$A$1:$I$89,9,0)*B6)</f>
        <v>1181.0845199999999</v>
      </c>
      <c r="K6" s="160">
        <f>J6*(100%-'Données projet'!$C$24)*(100%-'Données projet'!$C$25)*(100%-'Données projet'!$C$26)*(100%-'Données projet'!$C$27)</f>
        <v>807.86181167999996</v>
      </c>
      <c r="L6" s="161">
        <f ca="1">G6+I6+K6</f>
        <v>1072.8523940275891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Beaupré</v>
      </c>
      <c r="B7" s="163">
        <f>'Données projet'!D10</f>
        <v>2.0981399999999999</v>
      </c>
      <c r="C7" s="156">
        <f ca="1">IF(OR('Données projet'!B10="",'Données projet'!C10="",'Données projet'!C10=0%),0,Calculateur!AN3)</f>
        <v>65.6337514911271</v>
      </c>
      <c r="D7" s="156">
        <f>IF(OR('Données projet'!B10="",'Données projet'!C10="",'Données projet'!C10=0%),0,Calculateur!AO3)</f>
        <v>377.81060908047425</v>
      </c>
      <c r="E7" s="156">
        <f t="shared" ref="E7:E15" ca="1" si="0">MIN(C7,D7)</f>
        <v>65.6337514911271</v>
      </c>
      <c r="F7" s="156">
        <f t="shared" ref="F7:F15" ca="1" si="1">E7*B7</f>
        <v>137.70879935359341</v>
      </c>
      <c r="G7" s="156">
        <f ca="1">F7*(100%-'Données projet'!$C$24)*(100%-'Données projet'!$C$25)*(100%-'Données projet'!$C$26)*(100%-'Données projet'!$C$27)</f>
        <v>94.192818757857893</v>
      </c>
      <c r="H7" s="164">
        <f>IF(OR('Données projet'!B10="",'Données projet'!C10="",'Données projet'!C10=0%),0,AVERAGE(Calculateur!$AX$3:$AX$33)*B7)</f>
        <v>92.414743854186312</v>
      </c>
      <c r="I7" s="158">
        <f>H7*(100%-'Données projet'!$C$24)*(100%-'Données projet'!$C$25)*(100%-'Données projet'!$C$26)*(100%-'Données projet'!$C$27)</f>
        <v>63.211684796263441</v>
      </c>
      <c r="J7" s="159">
        <f>IF(OR('Données projet'!B10="",'Données projet'!C10="",'Données projet'!C10=0%),0,SUM(Calculateur!$AQ$3:$AQ$33)*VLOOKUP('Données projet'!$B$10,Paramètres!$A$1:$I$89,9,0)*B7)</f>
        <v>788.79573299999993</v>
      </c>
      <c r="K7" s="160">
        <f>J7*(100%-'Données projet'!$C$24)*(100%-'Données projet'!$C$25)*(100%-'Données projet'!$C$26)*(100%-'Données projet'!$C$27)</f>
        <v>539.53628137200008</v>
      </c>
      <c r="L7" s="161">
        <f t="shared" ref="L7:L15" ca="1" si="2">G7+I7+K7</f>
        <v>696.94078492612141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Peuplier Taro</v>
      </c>
      <c r="B8" s="163">
        <f>'Données projet'!D11</f>
        <v>3.19957</v>
      </c>
      <c r="C8" s="156">
        <f ca="1">IF(OR('Données projet'!B11="",'Données projet'!C11="",'Données projet'!C11=0%),0,Calculateur!BI3)</f>
        <v>66.622529958850123</v>
      </c>
      <c r="D8" s="156">
        <f>IF(OR('Données projet'!B11="",'Données projet'!C11="",'Données projet'!C11=0%),0,Calculateur!BJ3)</f>
        <v>374.90853633180166</v>
      </c>
      <c r="E8" s="156">
        <f t="shared" ca="1" si="0"/>
        <v>66.622529958850123</v>
      </c>
      <c r="F8" s="156">
        <f t="shared" ca="1" si="1"/>
        <v>213.16344818043808</v>
      </c>
      <c r="G8" s="156">
        <f ca="1">F8*(100%-'Données projet'!$C$24)*(100%-'Données projet'!$C$25)*(100%-'Données projet'!$C$26)*(100%-'Données projet'!$C$27)</f>
        <v>145.80379855541966</v>
      </c>
      <c r="H8" s="164">
        <f>IF(OR('Données projet'!B11="",'Données projet'!C11="",'Données projet'!C11=0%),0,AVERAGE(Calculateur!$BS$3:$BS$33)*B8)</f>
        <v>139.88036648238722</v>
      </c>
      <c r="I8" s="158">
        <f>H8*(100%-'Données projet'!$C$24)*(100%-'Données projet'!$C$25)*(100%-'Données projet'!$C$26)*(100%-'Données projet'!$C$27)</f>
        <v>95.678170673952863</v>
      </c>
      <c r="J8" s="159">
        <f>IF(OR('Données projet'!B11="",'Données projet'!C11="",'Données projet'!C11=0%),0,SUM(Calculateur!$BL$3:$BL$33)*VLOOKUP('Données projet'!$B$11,Paramètres!$A$1:$I$89,9,0)*B8)</f>
        <v>1044.6916007</v>
      </c>
      <c r="K8" s="160">
        <f>J8*(100%-'Données projet'!$C$24)*(100%-'Données projet'!$C$25)*(100%-'Données projet'!$C$26)*(100%-'Données projet'!$C$27)</f>
        <v>714.56905487879999</v>
      </c>
      <c r="L8" s="161">
        <f t="shared" ca="1" si="2"/>
        <v>956.05102410817244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Peuplier Trichobel</v>
      </c>
      <c r="B9" s="163">
        <f>'Données projet'!D12</f>
        <v>3.99993</v>
      </c>
      <c r="C9" s="156">
        <f ca="1">IF(OR('Données projet'!B12="",'Données projet'!C12="",'Données projet'!C12=0%),0,Calculateur!CD3)</f>
        <v>61.91827157428213</v>
      </c>
      <c r="D9" s="156">
        <f>IF(OR('Données projet'!B12="",'Données projet'!C12="",'Données projet'!C12=0%),0,Calculateur!CE3)</f>
        <v>358.41033295847001</v>
      </c>
      <c r="E9" s="156">
        <f t="shared" ca="1" si="0"/>
        <v>61.91827157428213</v>
      </c>
      <c r="F9" s="156">
        <f t="shared" ca="1" si="1"/>
        <v>247.66875201811831</v>
      </c>
      <c r="G9" s="156">
        <f ca="1">F9*(100%-'Données projet'!$C$24)*(100%-'Données projet'!$C$25)*(100%-'Données projet'!$C$26)*(100%-'Données projet'!$C$27)</f>
        <v>169.40542638039292</v>
      </c>
      <c r="H9" s="164">
        <f>IF(OR('Données projet'!B12="",'Données projet'!C12="",'Données projet'!C12=0%),0,AVERAGE(Calculateur!$CN$3:$CN$33)*B9)</f>
        <v>167.42671126829853</v>
      </c>
      <c r="I9" s="158">
        <f>H9*(100%-'Données projet'!$C$24)*(100%-'Données projet'!$C$25)*(100%-'Données projet'!$C$26)*(100%-'Données projet'!$C$27)</f>
        <v>114.5198705075162</v>
      </c>
      <c r="J9" s="159">
        <f>IF(OR('Données projet'!B12="",'Données projet'!C12="",'Données projet'!C12=0%),0,SUM(Calculateur!$CG$3:$CG$33)*VLOOKUP('Données projet'!$B$12,Paramètres!$A$1:$I$89,9,0)*B9)</f>
        <v>1503.7736835000001</v>
      </c>
      <c r="K9" s="160">
        <f>J9*(100%-'Données projet'!$C$24)*(100%-'Données projet'!$C$25)*(100%-'Données projet'!$C$26)*(100%-'Données projet'!$C$27)</f>
        <v>1028.581199514</v>
      </c>
      <c r="L9" s="161">
        <f t="shared" ca="1" si="2"/>
        <v>1312.5064964019091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Peuplier Koster</v>
      </c>
      <c r="B10" s="163">
        <f>'Données projet'!D13</f>
        <v>2.1991199999999997</v>
      </c>
      <c r="C10" s="156">
        <f ca="1">IF(OR('Données projet'!B13="",'Données projet'!C13="",'Données projet'!C13=0%),0,Calculateur!CY3)</f>
        <v>66.561949299871912</v>
      </c>
      <c r="D10" s="156">
        <f>IF(OR('Données projet'!B13="",'Données projet'!C13="",'Données projet'!C13=0%),0,Calculateur!CZ3)</f>
        <v>382.65744918271389</v>
      </c>
      <c r="E10" s="156">
        <f t="shared" ca="1" si="0"/>
        <v>66.561949299871912</v>
      </c>
      <c r="F10" s="156">
        <f t="shared" ca="1" si="1"/>
        <v>146.37771394433429</v>
      </c>
      <c r="G10" s="156">
        <f ca="1">F10*(100%-'Données projet'!$C$24)*(100%-'Données projet'!$C$25)*(100%-'Données projet'!$C$26)*(100%-'Données projet'!$C$27)</f>
        <v>100.12235633792466</v>
      </c>
      <c r="H10" s="164">
        <f>IF(OR('Données projet'!B13="",'Données projet'!C13="",'Données projet'!C13=0%),0,AVERAGE(Calculateur!$DI$3:$DI$33)*B10)</f>
        <v>98.065773297025402</v>
      </c>
      <c r="I10" s="158">
        <f>H10*(100%-'Données projet'!$C$24)*(100%-'Données projet'!$C$25)*(100%-'Données projet'!$C$26)*(100%-'Données projet'!$C$27)</f>
        <v>67.076988935165375</v>
      </c>
      <c r="J10" s="159">
        <f>IF(OR('Données projet'!B13="",'Données projet'!C13="",'Données projet'!C13=0%),0,SUM(Calculateur!$DB$3:$DB$33)*VLOOKUP('Données projet'!$B$13,Paramètres!$A$1:$I$89,9,0)*B10)</f>
        <v>826.75916399999983</v>
      </c>
      <c r="K10" s="160">
        <f>J10*(100%-'Données projet'!$C$24)*(100%-'Données projet'!$C$25)*(100%-'Données projet'!$C$26)*(100%-'Données projet'!$C$27)</f>
        <v>565.50326817600001</v>
      </c>
      <c r="L10" s="161">
        <f t="shared" ca="1" si="2"/>
        <v>732.70261344908999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Peuplier Blanc du Poitou</v>
      </c>
      <c r="B11" s="163">
        <f>'Données projet'!D14</f>
        <v>4.0485499999999996</v>
      </c>
      <c r="C11" s="156">
        <f ca="1">IF(OR('Données projet'!B14="",'Données projet'!C14="",'Données projet'!C14=0%),0,Calculateur!DT3)</f>
        <v>60.532656778089574</v>
      </c>
      <c r="D11" s="156">
        <f>IF(OR('Données projet'!B14="",'Données projet'!C14="",'Données projet'!C14=0%),0,Calculateur!DU3)</f>
        <v>348.96823267563025</v>
      </c>
      <c r="E11" s="156">
        <f t="shared" ca="1" si="0"/>
        <v>60.532656778089574</v>
      </c>
      <c r="F11" s="156">
        <f t="shared" ca="1" si="1"/>
        <v>245.06948759893453</v>
      </c>
      <c r="G11" s="156">
        <f ca="1">F11*(100%-'Données projet'!$C$24)*(100%-'Données projet'!$C$25)*(100%-'Données projet'!$C$26)*(100%-'Données projet'!$C$27)</f>
        <v>167.62752951767121</v>
      </c>
      <c r="H11" s="164">
        <f>IF(OR('Données projet'!B14="",'Données projet'!C14="",'Données projet'!C14=0%),0,AVERAGE(Calculateur!$ED$3:$ED$33)*B11)</f>
        <v>165.1528243356951</v>
      </c>
      <c r="I11" s="158">
        <f>H11*(100%-'Données projet'!$C$24)*(100%-'Données projet'!$C$25)*(100%-'Données projet'!$C$26)*(100%-'Données projet'!$C$27)</f>
        <v>112.96453184561544</v>
      </c>
      <c r="J11" s="159">
        <f>IF(OR('Données projet'!B14="",'Données projet'!C14="",'Données projet'!C14=0%),0,SUM(Calculateur!$DW$3:$DW$33)*VLOOKUP('Données projet'!$B$14,Paramètres!$A$1:$I$89,9,0)*B11)</f>
        <v>1459.5022749999998</v>
      </c>
      <c r="K11" s="160">
        <f>J11*(100%-'Données projet'!$C$24)*(100%-'Données projet'!$C$25)*(100%-'Données projet'!$C$26)*(100%-'Données projet'!$C$27)</f>
        <v>998.29955609999979</v>
      </c>
      <c r="L11" s="161">
        <f t="shared" ca="1" si="2"/>
        <v>1278.8916174632864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1223.1260807126332</v>
      </c>
      <c r="G16" s="175">
        <f t="shared" ca="1" si="3"/>
        <v>836.61823920744109</v>
      </c>
      <c r="H16" s="176">
        <f t="shared" si="3"/>
        <v>817.21567170749665</v>
      </c>
      <c r="I16" s="176">
        <f t="shared" si="3"/>
        <v>558.9755194479277</v>
      </c>
      <c r="J16" s="177">
        <f t="shared" si="3"/>
        <v>6804.6069761999997</v>
      </c>
      <c r="K16" s="177">
        <f t="shared" si="3"/>
        <v>4654.3511717208003</v>
      </c>
      <c r="L16" s="178">
        <f t="shared" ca="1" si="3"/>
        <v>6049.9449303761685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Lambro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Beaupré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Peuplier Taro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Peuplier Trichobel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Peuplier Koster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Peuplier Blanc du Poitou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N16" sqref="N1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Lambro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3.1415999999999999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Beaupré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2.0981399999999999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Taro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3.19957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Peuplier Trichobel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3.99993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Lambro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Peuplier Koster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2.1991199999999997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Peuplier Blanc du Poitou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4.0485499999999996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18</v>
      </c>
      <c r="B23" s="193">
        <f>'Données projet'!D36</f>
        <v>365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Beaupré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str">
        <f>IF(O51+1&lt;=MIN('Données projet'!$E$9:$E$18),O51+1,"STOP")</f>
        <v>STOP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18</v>
      </c>
      <c r="B54" s="193">
        <f>'Données projet'!D62</f>
        <v>365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Peuplier Taro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18</v>
      </c>
      <c r="B85" s="193">
        <f>'Données projet'!D88</f>
        <v>317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Peuplier Trichobel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18</v>
      </c>
      <c r="B116" s="193">
        <f>'Données projet'!D114</f>
        <v>365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Peuplier Koster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18</v>
      </c>
      <c r="B147" s="187">
        <f>'Données projet'!D140</f>
        <v>365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Peuplier Blanc du Poitou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18</v>
      </c>
      <c r="B178" s="193">
        <f>'Données projet'!D166</f>
        <v>350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2024-11-22T09:27:13Z</dcterms:modified>
</cp:coreProperties>
</file>