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Bernede (32) - DESSANS\Doc fin\"/>
    </mc:Choice>
  </mc:AlternateContent>
  <xr:revisionPtr revIDLastSave="0" documentId="13_ncr:1_{5AEEC5FA-C5F3-4436-AA2A-F8B6719919D5}" xr6:coauthVersionLast="36" xr6:coauthVersionMax="36" xr10:uidLastSave="{00000000-0000-0000-0000-000000000000}"/>
  <bookViews>
    <workbookView xWindow="0" yWindow="0" windowWidth="21570" windowHeight="9330" tabRatio="866" activeTab="6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  <sheet name="vérification" sheetId="8" state="hidden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8" l="1"/>
  <c r="K9" i="8"/>
  <c r="J9" i="8"/>
  <c r="I9" i="8"/>
  <c r="H9" i="8"/>
  <c r="G9" i="8"/>
  <c r="F9" i="8"/>
  <c r="E9" i="8"/>
  <c r="M7" i="8"/>
  <c r="M6" i="8"/>
  <c r="C3" i="8" l="1"/>
  <c r="L3" i="8"/>
  <c r="K3" i="8"/>
  <c r="J3" i="8"/>
  <c r="I3" i="8"/>
  <c r="H3" i="8"/>
  <c r="G3" i="8"/>
  <c r="F3" i="8"/>
  <c r="E3" i="8"/>
  <c r="D3" i="8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4" i="8" s="1"/>
  <c r="D11" i="1"/>
  <c r="E4" i="8" s="1"/>
  <c r="C4" i="8" l="1"/>
  <c r="I37" i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F4" i="8" s="1"/>
  <c r="D13" i="1"/>
  <c r="G4" i="8" s="1"/>
  <c r="D14" i="1"/>
  <c r="D15" i="1"/>
  <c r="D16" i="1"/>
  <c r="D17" i="1"/>
  <c r="D18" i="1"/>
  <c r="L4" i="8" s="1"/>
  <c r="U18" i="6" l="1"/>
  <c r="V18" i="6" s="1"/>
  <c r="K4" i="8"/>
  <c r="U17" i="6"/>
  <c r="V17" i="6" s="1"/>
  <c r="J4" i="8"/>
  <c r="U16" i="6"/>
  <c r="V16" i="6" s="1"/>
  <c r="I4" i="8"/>
  <c r="U15" i="6"/>
  <c r="V15" i="6" s="1"/>
  <c r="H4" i="8"/>
  <c r="M4" i="8"/>
  <c r="P66" i="6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82" i="2" a="1"/>
  <c r="BC82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58" i="2" l="1" a="1"/>
  <c r="BC58" i="2" s="1"/>
  <c r="AH90" i="2" a="1"/>
  <c r="AH90" i="2" s="1"/>
  <c r="AH62" i="2" a="1"/>
  <c r="AH62" i="2" s="1"/>
  <c r="BC126" i="2" a="1"/>
  <c r="BC126" i="2" s="1"/>
  <c r="BC68" i="2" a="1"/>
  <c r="BC68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D9" i="8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5" i="2" l="1"/>
  <c r="BI52" i="2"/>
  <c r="BI117" i="2"/>
  <c r="BI47" i="2"/>
  <c r="BI129" i="2"/>
  <c r="BI79" i="2"/>
  <c r="BI116" i="2"/>
  <c r="BI66" i="2"/>
  <c r="BI103" i="2"/>
  <c r="BI166" i="2"/>
  <c r="BI174" i="2"/>
  <c r="BI39" i="2"/>
  <c r="BI107" i="2"/>
  <c r="BI8" i="2"/>
  <c r="BI146" i="2"/>
  <c r="BI161" i="2"/>
  <c r="BI7" i="2"/>
  <c r="BI53" i="2"/>
  <c r="BI26" i="2"/>
  <c r="BI27" i="2"/>
  <c r="BI104" i="2"/>
  <c r="BI151" i="2"/>
  <c r="BI17" i="2"/>
  <c r="BI40" i="2"/>
  <c r="BI134" i="2"/>
  <c r="BI185" i="2"/>
  <c r="BI180" i="2"/>
  <c r="BI168" i="2"/>
  <c r="BI87" i="2"/>
  <c r="BI114" i="2"/>
  <c r="BI75" i="2"/>
  <c r="BI13" i="2"/>
  <c r="BI177" i="2"/>
  <c r="BI65" i="2"/>
  <c r="BI135" i="2"/>
  <c r="BI19" i="2"/>
  <c r="BI70" i="2"/>
  <c r="BI41" i="2"/>
  <c r="BI120" i="2"/>
  <c r="BI31" i="2"/>
  <c r="BI83" i="2"/>
  <c r="BI145" i="2"/>
  <c r="BI51" i="2"/>
  <c r="BI14" i="2"/>
  <c r="BI63" i="2"/>
  <c r="BI186" i="2"/>
  <c r="BI62" i="2"/>
  <c r="BI123" i="2"/>
  <c r="BI3" i="2"/>
  <c r="C8" i="4" s="1"/>
  <c r="E8" i="4" s="1"/>
  <c r="F8" i="4" s="1"/>
  <c r="G8" i="4" s="1"/>
  <c r="L8" i="4" s="1"/>
  <c r="BI37" i="2"/>
  <c r="BI100" i="2"/>
  <c r="BI163" i="2"/>
  <c r="BI60" i="2"/>
  <c r="BI121" i="2"/>
  <c r="BI85" i="2"/>
  <c r="BI24" i="2"/>
  <c r="BI183" i="2"/>
  <c r="BI88" i="2"/>
  <c r="BI156" i="2"/>
  <c r="BI169" i="2"/>
  <c r="BI76" i="2"/>
  <c r="BI6" i="2"/>
  <c r="BI101" i="2"/>
  <c r="BI138" i="2"/>
  <c r="BI201" i="2"/>
  <c r="BI131" i="2"/>
  <c r="BI157" i="2"/>
  <c r="BI20" i="2"/>
  <c r="BI58" i="2"/>
  <c r="BI23" i="2"/>
  <c r="BI126" i="2"/>
  <c r="BI172" i="2"/>
  <c r="BI68" i="2"/>
  <c r="BI109" i="2"/>
  <c r="BI12" i="2"/>
  <c r="BI32" i="2"/>
  <c r="BI55" i="2"/>
  <c r="BI71" i="2"/>
  <c r="BI142" i="2"/>
  <c r="BI44" i="2"/>
  <c r="BI61" i="2"/>
  <c r="BI69" i="2"/>
  <c r="BI90" i="2"/>
  <c r="BI22" i="2"/>
  <c r="BI45" i="2"/>
  <c r="BI132" i="2"/>
  <c r="BI159" i="2"/>
  <c r="BI59" i="2"/>
  <c r="BI48" i="2"/>
  <c r="BI67" i="2"/>
  <c r="BI33" i="2"/>
  <c r="BI182" i="2"/>
  <c r="BI200" i="2"/>
  <c r="BI46" i="2"/>
  <c r="BI141" i="2"/>
  <c r="BI130" i="2"/>
  <c r="BI196" i="2"/>
  <c r="BI113" i="2"/>
  <c r="BI49" i="2"/>
  <c r="BI122" i="2"/>
  <c r="BI34" i="2"/>
  <c r="BI77" i="2"/>
  <c r="BI93" i="2"/>
  <c r="BI140" i="2"/>
  <c r="BI36" i="2"/>
  <c r="BI192" i="2"/>
  <c r="BI38" i="2"/>
  <c r="BI194" i="2"/>
  <c r="BI50" i="2"/>
  <c r="BI158" i="2"/>
  <c r="BI127" i="2"/>
  <c r="BI28" i="2"/>
  <c r="BI184" i="2"/>
  <c r="BI128" i="2"/>
  <c r="BI80" i="2"/>
  <c r="BI119" i="2"/>
  <c r="BI165" i="2"/>
  <c r="BI91" i="2"/>
  <c r="BI154" i="2"/>
  <c r="BI74" i="2"/>
  <c r="BI111" i="2"/>
  <c r="BI115" i="2"/>
  <c r="BI96" i="2"/>
  <c r="BI199" i="2"/>
  <c r="BI136" i="2"/>
  <c r="BI72" i="2"/>
  <c r="BI9" i="2"/>
  <c r="BI82" i="2"/>
  <c r="BI195" i="2"/>
  <c r="BI84" i="2"/>
  <c r="BI108" i="2"/>
  <c r="BI153" i="2"/>
  <c r="BI30" i="2"/>
  <c r="BI16" i="2"/>
  <c r="BI11" i="2"/>
  <c r="BI193" i="2"/>
  <c r="BI118" i="2"/>
  <c r="BI102" i="2"/>
  <c r="BI178" i="2"/>
  <c r="BI170" i="2"/>
  <c r="BI81" i="2"/>
  <c r="BI190" i="2"/>
  <c r="BI147" i="2"/>
  <c r="BI10" i="2"/>
  <c r="BI148" i="2"/>
  <c r="BI149" i="2"/>
  <c r="BI89" i="2"/>
  <c r="BI137" i="2"/>
  <c r="BI164" i="2"/>
  <c r="BI99" i="2"/>
  <c r="BI203" i="2"/>
  <c r="BI94" i="2"/>
  <c r="BI97" i="2"/>
  <c r="BI197" i="2"/>
  <c r="BI110" i="2"/>
  <c r="BI143" i="2"/>
  <c r="BI139" i="2"/>
  <c r="BI42" i="2"/>
  <c r="BI181" i="2"/>
  <c r="BI124" i="2"/>
  <c r="BI105" i="2"/>
  <c r="BI112" i="2"/>
  <c r="BI18" i="2"/>
  <c r="BI35" i="2"/>
  <c r="BI162" i="2"/>
  <c r="BI175" i="2"/>
  <c r="BI21" i="2"/>
  <c r="BI179" i="2"/>
  <c r="BI15" i="2"/>
  <c r="BI29" i="2"/>
  <c r="BI98" i="2"/>
  <c r="BI191" i="2"/>
  <c r="BI25" i="2"/>
  <c r="BI73" i="2"/>
  <c r="BI54" i="2"/>
  <c r="BI4" i="2"/>
  <c r="BI125" i="2"/>
  <c r="BI106" i="2"/>
  <c r="BI152" i="2"/>
  <c r="BI171" i="2"/>
  <c r="BI144" i="2"/>
  <c r="BI160" i="2"/>
  <c r="BI155" i="2"/>
  <c r="BI202" i="2"/>
  <c r="BI56" i="2"/>
  <c r="BI150" i="2"/>
  <c r="BI5" i="2"/>
  <c r="BI64" i="2"/>
  <c r="BI43" i="2"/>
  <c r="BI187" i="2"/>
  <c r="BI198" i="2"/>
  <c r="BI176" i="2"/>
  <c r="BI133" i="2"/>
  <c r="BI92" i="2"/>
  <c r="BI78" i="2"/>
  <c r="BI86" i="2"/>
  <c r="BI188" i="2"/>
  <c r="BI173" i="2"/>
  <c r="BI189" i="2"/>
  <c r="BI57" i="2"/>
  <c r="BI16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C9" i="8" s="1"/>
  <c r="F16" i="4"/>
  <c r="M9" i="8" l="1"/>
  <c r="BS161" i="2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<sst xmlns="http://schemas.openxmlformats.org/spreadsheetml/2006/main" count="1180" uniqueCount="333">
  <si>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</si>
  <si>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</si>
  <si>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</si>
  <si>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</si>
  <si>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</si>
  <si>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</si>
  <si>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</si>
  <si>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</si>
  <si>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</si>
  <si>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</si>
  <si>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</si>
  <si>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</si>
  <si>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</si>
  <si>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</si>
  <si>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</si>
  <si>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</si>
  <si>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</si>
  <si>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</si>
  <si>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</si>
  <si>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</si>
  <si>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</si>
  <si>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</si>
  <si>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</si>
  <si>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</si>
  <si>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</si>
  <si>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</si>
  <si>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</si>
  <si>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</si>
  <si>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</si>
  <si>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</si>
  <si>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</si>
  <si>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</si>
  <si>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</si>
  <si>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</si>
  <si>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</si>
  <si>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</si>
  <si>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</si>
  <si>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</si>
  <si>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</si>
  <si>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</si>
  <si>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</si>
  <si>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</si>
  <si>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</si>
  <si>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</si>
  <si>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</si>
  <si>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</si>
  <si>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</si>
  <si>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</si>
  <si>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</si>
  <si>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</si>
  <si>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</si>
  <si>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</si>
  <si>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</si>
  <si>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</si>
  <si>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</si>
  <si>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</si>
  <si>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</si>
  <si>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</si>
  <si>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</si>
  <si>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</si>
  <si>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</si>
  <si>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</si>
  <si>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</si>
  <si>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</si>
  <si>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</si>
  <si>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</si>
  <si>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</si>
  <si>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</si>
  <si>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</si>
  <si>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</si>
  <si>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</si>
  <si>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</si>
  <si>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</si>
  <si>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</si>
  <si>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</si>
  <si>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</si>
  <si>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</si>
  <si>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</si>
  <si>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</si>
  <si>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</si>
  <si>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</si>
  <si>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</si>
  <si>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</si>
  <si>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</si>
  <si>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</si>
  <si>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</si>
  <si>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</si>
  <si>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</si>
  <si>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</si>
  <si>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</si>
  <si>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</si>
  <si>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</si>
  <si>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</si>
  <si>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</si>
  <si>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</si>
  <si>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</si>
  <si>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</si>
  <si>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</si>
  <si>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</si>
  <si>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</si>
  <si>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</si>
  <si>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</si>
  <si>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</si>
  <si>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</si>
  <si>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</si>
  <si>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</si>
  <si>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</si>
  <si>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</si>
  <si>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</si>
  <si>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</si>
  <si>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</si>
  <si>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</si>
  <si>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</si>
  <si>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</si>
  <si>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</si>
  <si>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</si>
  <si>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</si>
  <si>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</si>
  <si>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</si>
  <si>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</si>
  <si>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</si>
  <si>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</si>
  <si>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</si>
  <si>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</si>
  <si>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</si>
  <si>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</si>
  <si>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</si>
  <si>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</si>
  <si>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</si>
  <si>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</si>
  <si>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</si>
  <si>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</si>
  <si>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</si>
  <si>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</si>
  <si>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</si>
  <si>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</si>
  <si>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</si>
  <si>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</si>
  <si>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</si>
  <si>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</si>
  <si>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</si>
  <si>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</si>
  <si>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</si>
  <si>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</si>
  <si>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</si>
  <si>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</si>
  <si>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</si>
  <si>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</si>
  <si>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</si>
  <si>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</si>
  <si>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</si>
  <si>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</si>
  <si>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</si>
  <si>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</si>
  <si>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</si>
  <si>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</si>
  <si>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</si>
  <si>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</si>
  <si>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</si>
  <si>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</si>
  <si>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</si>
  <si>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</si>
  <si>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</si>
  <si>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</si>
  <si>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</si>
  <si>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</si>
  <si>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</si>
  <si>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</si>
  <si>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</si>
  <si>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</si>
  <si>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</si>
  <si>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</si>
  <si>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</si>
  <si>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</si>
  <si>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</si>
  <si>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</si>
  <si>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</si>
  <si>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</si>
  <si>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</si>
  <si>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</si>
  <si>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</si>
  <si>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</si>
  <si>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</si>
  <si>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</si>
  <si>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</si>
  <si>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</si>
  <si>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</si>
  <si>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</si>
  <si>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</si>
  <si>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</si>
  <si>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</si>
  <si>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</si>
  <si>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</si>
  <si>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</si>
  <si>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</si>
  <si>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</si>
  <si>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</si>
  <si>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</si>
  <si>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</si>
  <si>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</si>
  <si>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</si>
  <si>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</si>
  <si>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</si>
  <si>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</si>
  <si>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</si>
  <si>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</si>
  <si>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</si>
  <si>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</si>
  <si>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</si>
  <si>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</si>
  <si>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</si>
  <si>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</si>
  <si>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</si>
  <si>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</si>
  <si>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</si>
  <si>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</si>
  <si>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</si>
  <si>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</si>
  <si>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</si>
  <si>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</si>
  <si>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</si>
  <si>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</si>
  <si>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</si>
  <si>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</si>
  <si>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</si>
  <si>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</si>
  <si>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</si>
  <si>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</si>
  <si>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</si>
  <si>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</si>
  <si>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</si>
  <si>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</si>
  <si>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</si>
  <si>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</si>
  <si>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</si>
  <si>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</si>
  <si>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</si>
  <si>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</si>
  <si>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</si>
  <si>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</si>
  <si>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</si>
  <si>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</si>
  <si>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</si>
  <si>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</si>
  <si>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</si>
  <si>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</si>
  <si>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</si>
  <si>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</si>
  <si>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</si>
  <si>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</si>
  <si>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</si>
  <si>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</si>
  <si>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</si>
  <si>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</si>
  <si>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</si>
  <si>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</si>
  <si>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</si>
  <si>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</si>
  <si>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</si>
  <si>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</si>
  <si>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</si>
  <si>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</si>
  <si>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</si>
  <si>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</si>
  <si>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</si>
  <si>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</si>
  <si>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</si>
  <si>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</si>
  <si>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</si>
  <si>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</si>
  <si>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</si>
  <si>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</si>
  <si>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</si>
  <si>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</si>
  <si>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</si>
  <si>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</si>
  <si>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</si>
  <si>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</si>
  <si>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</si>
  <si>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</si>
  <si>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</si>
  <si>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</si>
  <si>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</si>
  <si>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</si>
  <si>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</si>
  <si>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</si>
  <si>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</si>
  <si>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</si>
  <si>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</si>
  <si>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</si>
  <si>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</si>
  <si>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</si>
  <si>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</si>
  <si>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</si>
  <si>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</si>
  <si>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</si>
  <si>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</si>
  <si>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</si>
  <si>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</si>
  <si>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</si>
  <si>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</si>
  <si>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</si>
  <si>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</si>
  <si>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</si>
  <si>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</si>
  <si>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</si>
  <si>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</si>
  <si>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</si>
  <si>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</si>
  <si>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</si>
  <si>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</si>
  <si>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</si>
  <si>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</si>
  <si>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</si>
  <si>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</si>
  <si>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</si>
  <si>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</si>
  <si>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</si>
  <si>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</si>
  <si>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</si>
  <si>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</si>
  <si>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</si>
  <si>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</si>
  <si>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</si>
  <si>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Répartition de essences</t>
  </si>
  <si>
    <t>Essences prévues</t>
  </si>
  <si>
    <t>Surfaces doc 8</t>
  </si>
  <si>
    <t>Essence planté</t>
  </si>
  <si>
    <t>Total</t>
  </si>
  <si>
    <t>Nombre de plants</t>
  </si>
  <si>
    <t>Densité essence objectif</t>
  </si>
  <si>
    <t>écart REE</t>
  </si>
  <si>
    <t>chêne chevelu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</si>
</sst>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0&quot; plants/ha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6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3" fontId="10" fillId="21" borderId="1" xfId="3" applyFont="1" applyFill="1" applyBorder="1" applyAlignment="1">
      <alignment horizontal="center" vertical="center"/>
    </xf>
    <xf numFmtId="0" fontId="10" fillId="21" borderId="1" xfId="0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43" fontId="10" fillId="21" borderId="4" xfId="3" applyFont="1" applyFill="1" applyBorder="1" applyAlignment="1">
      <alignment horizontal="center" vertical="center"/>
    </xf>
    <xf numFmtId="0" fontId="10" fillId="21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21" borderId="54" xfId="0" applyFont="1" applyFill="1" applyBorder="1" applyAlignment="1">
      <alignment horizontal="center" vertical="center"/>
    </xf>
    <xf numFmtId="2" fontId="10" fillId="21" borderId="46" xfId="0" applyNumberFormat="1" applyFon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2" fontId="0" fillId="5" borderId="18" xfId="0" applyNumberFormat="1" applyFill="1" applyBorder="1" applyAlignment="1">
      <alignment horizontal="center" vertical="center"/>
    </xf>
    <xf numFmtId="0" fontId="0" fillId="22" borderId="0" xfId="0" applyFill="1"/>
    <xf numFmtId="2" fontId="0" fillId="22" borderId="0" xfId="0" applyNumberFormat="1" applyFill="1"/>
    <xf numFmtId="2" fontId="11" fillId="5" borderId="55" xfId="0" applyNumberFormat="1" applyFont="1" applyFill="1" applyBorder="1" applyAlignment="1">
      <alignment horizontal="center" vertical="center"/>
    </xf>
    <xf numFmtId="1" fontId="10" fillId="23" borderId="55" xfId="0" applyNumberFormat="1" applyFont="1" applyFill="1" applyBorder="1" applyAlignment="1">
      <alignment horizontal="center" vertical="center"/>
    </xf>
    <xf numFmtId="2" fontId="10" fillId="23" borderId="55" xfId="0" applyNumberFormat="1" applyFont="1" applyFill="1" applyBorder="1" applyAlignment="1">
      <alignment horizontal="center" vertical="center"/>
    </xf>
    <xf numFmtId="0" fontId="10" fillId="21" borderId="56" xfId="0" applyFont="1" applyFill="1" applyBorder="1" applyAlignment="1">
      <alignment horizontal="center" vertical="center"/>
    </xf>
    <xf numFmtId="0" fontId="10" fillId="21" borderId="55" xfId="0" applyFont="1" applyFill="1" applyBorder="1" applyAlignment="1">
      <alignment horizontal="center" vertical="center"/>
    </xf>
    <xf numFmtId="0" fontId="10" fillId="21" borderId="57" xfId="0" applyFont="1" applyFill="1" applyBorder="1" applyAlignment="1">
      <alignment horizontal="center" vertical="center"/>
    </xf>
    <xf numFmtId="43" fontId="32" fillId="5" borderId="1" xfId="3" applyFont="1" applyFill="1" applyBorder="1" applyAlignment="1">
      <alignment horizontal="center" vertical="center"/>
    </xf>
    <xf numFmtId="43" fontId="32" fillId="5" borderId="55" xfId="3" applyFont="1" applyFill="1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1">
    <dxf>
      <font>
        <color theme="4" tint="-0.24994659260841701"/>
      </font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2.0054761824045104</c:v>
                </c:pt>
                <c:pt idx="2">
                  <c:v>2.6975422240582509</c:v>
                </c:pt>
                <c:pt idx="3">
                  <c:v>3.6294356279679669</c:v>
                </c:pt>
                <c:pt idx="4">
                  <c:v>4.884593482228957</c:v>
                </c:pt>
                <c:pt idx="5">
                  <c:v>6.5755876141913676</c:v>
                </c:pt>
                <c:pt idx="6">
                  <c:v>8.8543324425562222</c:v>
                </c:pt>
                <c:pt idx="7">
                  <c:v>11.925880465728</c:v>
                </c:pt>
                <c:pt idx="8">
                  <c:v>16.067069875181371</c:v>
                </c:pt>
                <c:pt idx="9">
                  <c:v>21.651735609990919</c:v>
                </c:pt>
                <c:pt idx="10">
                  <c:v>29.184800257078304</c:v>
                </c:pt>
                <c:pt idx="11">
                  <c:v>39.348380722508914</c:v>
                </c:pt>
                <c:pt idx="12">
                  <c:v>53.064156697773321</c:v>
                </c:pt>
                <c:pt idx="13">
                  <c:v>71.577750855442403</c:v>
                </c:pt>
                <c:pt idx="14">
                  <c:v>96.57290840576583</c:v>
                </c:pt>
                <c:pt idx="15">
                  <c:v>130.32602494198883</c:v>
                </c:pt>
                <c:pt idx="16">
                  <c:v>175.91531381854006</c:v>
                </c:pt>
                <c:pt idx="17">
                  <c:v>237.50397678987176</c:v>
                </c:pt>
                <c:pt idx="18">
                  <c:v>320.7236178929042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vérification!$B$6</c:f>
              <c:strCache>
                <c:ptCount val="1"/>
                <c:pt idx="0">
                  <c:v>Nombre de plants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F0F-4300-9A5B-8114203107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F0F-4300-9A5B-81142031075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F0F-4300-9A5B-81142031075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F0F-4300-9A5B-81142031075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F0F-4300-9A5B-81142031075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F0F-4300-9A5B-81142031075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F0F-4300-9A5B-81142031075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F0F-4300-9A5B-81142031075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F0F-4300-9A5B-81142031075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F0F-4300-9A5B-811420310753}"/>
              </c:ext>
            </c:extLst>
          </c:dPt>
          <c:cat>
            <c:numRef>
              <c:f>vérification!$C$5:$L$5</c:f>
              <c:numCache>
                <c:formatCode>General</c:formatCode>
                <c:ptCount val="10"/>
              </c:numCache>
            </c:numRef>
          </c:cat>
          <c:val>
            <c:numRef>
              <c:f>vérification!$C$6:$L$6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A5E7-4173-BF31-C2A9A3407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3.0269032518129322</c:v>
                </c:pt>
                <c:pt idx="2">
                  <c:v>3.4510915733616798</c:v>
                </c:pt>
                <c:pt idx="3">
                  <c:v>3.9349355306541596</c:v>
                </c:pt>
                <c:pt idx="4">
                  <c:v>4.4868526974752925</c:v>
                </c:pt>
                <c:pt idx="5">
                  <c:v>5.1164520855825444</c:v>
                </c:pt>
                <c:pt idx="6">
                  <c:v>5.8347032704148916</c:v>
                </c:pt>
                <c:pt idx="7">
                  <c:v>6.6541295884695044</c:v>
                </c:pt>
                <c:pt idx="8">
                  <c:v>7.5890288408760744</c:v>
                </c:pt>
                <c:pt idx="9">
                  <c:v>8.6557254288350673</c:v>
                </c:pt>
                <c:pt idx="10">
                  <c:v>9.8728584080982102</c:v>
                </c:pt>
                <c:pt idx="11">
                  <c:v>11.26171059166041</c:v>
                </c:pt>
                <c:pt idx="12">
                  <c:v>12.846584563857478</c:v>
                </c:pt>
                <c:pt idx="13">
                  <c:v>14.655232308341526</c:v>
                </c:pt>
                <c:pt idx="14">
                  <c:v>16.719346112054513</c:v>
                </c:pt>
                <c:pt idx="15">
                  <c:v>19.075119504634994</c:v>
                </c:pt>
                <c:pt idx="16">
                  <c:v>21.763888247456226</c:v>
                </c:pt>
                <c:pt idx="17">
                  <c:v>24.832862821336619</c:v>
                </c:pt>
                <c:pt idx="18">
                  <c:v>28.335965502773913</c:v>
                </c:pt>
                <c:pt idx="19">
                  <c:v>32.334786994948594</c:v>
                </c:pt>
                <c:pt idx="20">
                  <c:v>36.899679725600237</c:v>
                </c:pt>
                <c:pt idx="21">
                  <c:v>42.111007377963539</c:v>
                </c:pt>
                <c:pt idx="22">
                  <c:v>48.060573027602352</c:v>
                </c:pt>
                <c:pt idx="23">
                  <c:v>54.853251467934228</c:v>
                </c:pt>
                <c:pt idx="24">
                  <c:v>62.608854978537124</c:v>
                </c:pt>
                <c:pt idx="25">
                  <c:v>71.464265989385623</c:v>
                </c:pt>
                <c:pt idx="26">
                  <c:v>82.563719294623567</c:v>
                </c:pt>
                <c:pt idx="27">
                  <c:v>93.625433553908593</c:v>
                </c:pt>
                <c:pt idx="28">
                  <c:v>104.65450643928448</c:v>
                </c:pt>
                <c:pt idx="29">
                  <c:v>115.65486902185846</c:v>
                </c:pt>
                <c:pt idx="30">
                  <c:v>126.62964106249451</c:v>
                </c:pt>
                <c:pt idx="31">
                  <c:v>138.03720928084971</c:v>
                </c:pt>
                <c:pt idx="32">
                  <c:v>149.42211714009736</c:v>
                </c:pt>
                <c:pt idx="33">
                  <c:v>160.78633625957769</c:v>
                </c:pt>
                <c:pt idx="34">
                  <c:v>172.13153631847419</c:v>
                </c:pt>
                <c:pt idx="35">
                  <c:v>183.4591485952582</c:v>
                </c:pt>
                <c:pt idx="36">
                  <c:v>166.23431277944658</c:v>
                </c:pt>
                <c:pt idx="37">
                  <c:v>178.47708262774123</c:v>
                </c:pt>
                <c:pt idx="38">
                  <c:v>190.70016980298033</c:v>
                </c:pt>
                <c:pt idx="39">
                  <c:v>202.90501446945498</c:v>
                </c:pt>
                <c:pt idx="40">
                  <c:v>215.09286920303433</c:v>
                </c:pt>
                <c:pt idx="41">
                  <c:v>196.1267190058785</c:v>
                </c:pt>
                <c:pt idx="42">
                  <c:v>208.77529065102974</c:v>
                </c:pt>
                <c:pt idx="43">
                  <c:v>221.40617734460454</c:v>
                </c:pt>
                <c:pt idx="44">
                  <c:v>234.02053062563991</c:v>
                </c:pt>
                <c:pt idx="45">
                  <c:v>246.61936765788826</c:v>
                </c:pt>
                <c:pt idx="46">
                  <c:v>227.71535422111776</c:v>
                </c:pt>
                <c:pt idx="47">
                  <c:v>240.32182971689394</c:v>
                </c:pt>
                <c:pt idx="48">
                  <c:v>252.91325418581553</c:v>
                </c:pt>
                <c:pt idx="49">
                  <c:v>265.49048283078872</c:v>
                </c:pt>
                <c:pt idx="50">
                  <c:v>278.05428316466646</c:v>
                </c:pt>
                <c:pt idx="51">
                  <c:v>259.20359312218585</c:v>
                </c:pt>
                <c:pt idx="52">
                  <c:v>271.77401662995698</c:v>
                </c:pt>
                <c:pt idx="53">
                  <c:v>284.33136674322265</c:v>
                </c:pt>
                <c:pt idx="54">
                  <c:v>296.87630238617851</c:v>
                </c:pt>
                <c:pt idx="55">
                  <c:v>309.4094222256216</c:v>
                </c:pt>
                <c:pt idx="56">
                  <c:v>290.60534764262889</c:v>
                </c:pt>
                <c:pt idx="57">
                  <c:v>303.14430399634108</c:v>
                </c:pt>
                <c:pt idx="58">
                  <c:v>315.67172376772379</c:v>
                </c:pt>
                <c:pt idx="59">
                  <c:v>328.18812941645922</c:v>
                </c:pt>
                <c:pt idx="60">
                  <c:v>340.69400028602269</c:v>
                </c:pt>
                <c:pt idx="61">
                  <c:v>321.03721740761074</c:v>
                </c:pt>
                <c:pt idx="62">
                  <c:v>332.65569753778607</c:v>
                </c:pt>
                <c:pt idx="63">
                  <c:v>344.26523391935984</c:v>
                </c:pt>
                <c:pt idx="64">
                  <c:v>355.86617076016728</c:v>
                </c:pt>
                <c:pt idx="65">
                  <c:v>367.4588279876163</c:v>
                </c:pt>
                <c:pt idx="66">
                  <c:v>347.83565356807134</c:v>
                </c:pt>
                <c:pt idx="67">
                  <c:v>359.43400981924492</c:v>
                </c:pt>
                <c:pt idx="68">
                  <c:v>371.024180398108</c:v>
                </c:pt>
                <c:pt idx="69">
                  <c:v>382.60645711400434</c:v>
                </c:pt>
                <c:pt idx="70">
                  <c:v>394.18111266295483</c:v>
                </c:pt>
                <c:pt idx="71">
                  <c:v>373.69770390114451</c:v>
                </c:pt>
                <c:pt idx="72">
                  <c:v>384.38766281972374</c:v>
                </c:pt>
                <c:pt idx="73">
                  <c:v>395.07116254333505</c:v>
                </c:pt>
                <c:pt idx="74">
                  <c:v>405.74840241601038</c:v>
                </c:pt>
                <c:pt idx="75">
                  <c:v>416.41957043134585</c:v>
                </c:pt>
                <c:pt idx="76">
                  <c:v>395.51617117728125</c:v>
                </c:pt>
                <c:pt idx="77">
                  <c:v>405.74840241601038</c:v>
                </c:pt>
                <c:pt idx="78">
                  <c:v>415.97505730912479</c:v>
                </c:pt>
                <c:pt idx="79">
                  <c:v>426.19629231830891</c:v>
                </c:pt>
                <c:pt idx="80">
                  <c:v>436.41225578619856</c:v>
                </c:pt>
                <c:pt idx="81">
                  <c:v>415.08600031939903</c:v>
                </c:pt>
                <c:pt idx="82">
                  <c:v>424.86338979756607</c:v>
                </c:pt>
                <c:pt idx="83">
                  <c:v>434.63593891144501</c:v>
                </c:pt>
                <c:pt idx="84">
                  <c:v>444.40377187162176</c:v>
                </c:pt>
                <c:pt idx="85">
                  <c:v>454.16700698147952</c:v>
                </c:pt>
                <c:pt idx="86">
                  <c:v>432.41532351185737</c:v>
                </c:pt>
                <c:pt idx="87">
                  <c:v>441.74027828737388</c:v>
                </c:pt>
                <c:pt idx="88">
                  <c:v>451.06101485112231</c:v>
                </c:pt>
                <c:pt idx="89">
                  <c:v>460.37763268617778</c:v>
                </c:pt>
                <c:pt idx="90">
                  <c:v>469.6902269195129</c:v>
                </c:pt>
                <c:pt idx="91">
                  <c:v>447.0669234985462</c:v>
                </c:pt>
                <c:pt idx="92">
                  <c:v>455.49800727179513</c:v>
                </c:pt>
                <c:pt idx="93">
                  <c:v>463.92575704181382</c:v>
                </c:pt>
                <c:pt idx="94">
                  <c:v>472.35024193902149</c:v>
                </c:pt>
                <c:pt idx="95">
                  <c:v>480.77152842586787</c:v>
                </c:pt>
                <c:pt idx="96">
                  <c:v>457.71615652908662</c:v>
                </c:pt>
                <c:pt idx="97">
                  <c:v>465.69960186105874</c:v>
                </c:pt>
                <c:pt idx="98">
                  <c:v>473.68012971962634</c:v>
                </c:pt>
                <c:pt idx="99">
                  <c:v>481.6577962104127</c:v>
                </c:pt>
                <c:pt idx="100">
                  <c:v>489.63265542816185</c:v>
                </c:pt>
                <c:pt idx="101">
                  <c:v>468.36009916440685</c:v>
                </c:pt>
                <c:pt idx="102">
                  <c:v>475.89643286197116</c:v>
                </c:pt>
                <c:pt idx="103">
                  <c:v>483.43022788495273</c:v>
                </c:pt>
                <c:pt idx="104">
                  <c:v>490.96152939321701</c:v>
                </c:pt>
                <c:pt idx="105">
                  <c:v>498.49038104754004</c:v>
                </c:pt>
                <c:pt idx="106">
                  <c:v>476.33966710128726</c:v>
                </c:pt>
                <c:pt idx="107">
                  <c:v>482.98713293042357</c:v>
                </c:pt>
                <c:pt idx="108">
                  <c:v>489.63265542816202</c:v>
                </c:pt>
                <c:pt idx="109">
                  <c:v>496.27626470453941</c:v>
                </c:pt>
                <c:pt idx="110">
                  <c:v>502.91798999726421</c:v>
                </c:pt>
                <c:pt idx="111">
                  <c:v>480.32838151488369</c:v>
                </c:pt>
                <c:pt idx="112">
                  <c:v>486.53165149675254</c:v>
                </c:pt>
                <c:pt idx="113">
                  <c:v>492.73324271485473</c:v>
                </c:pt>
                <c:pt idx="114">
                  <c:v>498.93317929081496</c:v>
                </c:pt>
                <c:pt idx="115">
                  <c:v>505.13148469753651</c:v>
                </c:pt>
                <c:pt idx="116">
                  <c:v>481.65779621041276</c:v>
                </c:pt>
                <c:pt idx="117">
                  <c:v>486.97467768184441</c:v>
                </c:pt>
                <c:pt idx="118">
                  <c:v>492.29032706882913</c:v>
                </c:pt>
                <c:pt idx="119">
                  <c:v>497.60475956110264</c:v>
                </c:pt>
                <c:pt idx="120">
                  <c:v>502.91798999726444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14</xdr:row>
      <xdr:rowOff>71437</xdr:rowOff>
    </xdr:from>
    <xdr:to>
      <xdr:col>8</xdr:col>
      <xdr:colOff>609600</xdr:colOff>
      <xdr:row>28</xdr:row>
      <xdr:rowOff>147637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7950EFA-E2B6-4DC4-9579-18E197079F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312" t="s">
        <v>291</v>
      </c>
      <c r="C12" s="312"/>
      <c r="D12" s="312"/>
      <c r="E12" s="312"/>
      <c r="F12" s="312"/>
      <c r="G12" s="312"/>
      <c r="H12" s="312"/>
      <c r="I12" s="312"/>
      <c r="J12" s="312"/>
      <c r="K12" s="312"/>
      <c r="L12" s="312"/>
      <c r="M12" s="312"/>
    </row>
    <row r="13" spans="2:13" ht="15" customHeight="1" x14ac:dyDescent="0.25"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  <c r="M13" s="312"/>
    </row>
    <row r="14" spans="2:13" ht="15" customHeight="1" x14ac:dyDescent="0.25">
      <c r="B14" s="312"/>
      <c r="C14" s="312"/>
      <c r="D14" s="312"/>
      <c r="E14" s="312"/>
      <c r="F14" s="312"/>
      <c r="G14" s="312"/>
      <c r="H14" s="312"/>
      <c r="I14" s="312"/>
      <c r="J14" s="312"/>
      <c r="K14" s="312"/>
      <c r="L14" s="312"/>
      <c r="M14" s="312"/>
    </row>
    <row r="15" spans="2:13" ht="18.75" customHeight="1" x14ac:dyDescent="0.25"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312"/>
      <c r="M15" s="312"/>
    </row>
    <row r="16" spans="2:13" ht="18.75" customHeight="1" x14ac:dyDescent="0.25">
      <c r="B16" s="312"/>
      <c r="C16" s="312"/>
      <c r="D16" s="312"/>
      <c r="E16" s="312"/>
      <c r="F16" s="312"/>
      <c r="G16" s="312"/>
      <c r="H16" s="312"/>
      <c r="I16" s="312"/>
      <c r="J16" s="312"/>
      <c r="K16" s="312"/>
      <c r="L16" s="312"/>
      <c r="M16" s="312"/>
    </row>
    <row r="18" spans="2:13" ht="12" customHeight="1" x14ac:dyDescent="0.25">
      <c r="B18" s="312" t="s">
        <v>292</v>
      </c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</row>
    <row r="19" spans="2:13" ht="12" customHeight="1" x14ac:dyDescent="0.25">
      <c r="B19" s="312"/>
      <c r="C19" s="312"/>
      <c r="D19" s="312"/>
      <c r="E19" s="312"/>
      <c r="F19" s="312"/>
      <c r="G19" s="312"/>
      <c r="H19" s="312"/>
      <c r="I19" s="312"/>
      <c r="J19" s="312"/>
      <c r="K19" s="312"/>
      <c r="L19" s="312"/>
      <c r="M19" s="312"/>
    </row>
    <row r="20" spans="2:13" ht="12" customHeight="1" x14ac:dyDescent="0.25">
      <c r="B20" s="312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</row>
    <row r="21" spans="2:13" ht="12" customHeight="1" x14ac:dyDescent="0.25">
      <c r="B21" s="312"/>
      <c r="C21" s="312"/>
      <c r="D21" s="312"/>
      <c r="E21" s="312"/>
      <c r="F21" s="312"/>
      <c r="G21" s="312"/>
      <c r="H21" s="312"/>
      <c r="I21" s="312"/>
      <c r="J21" s="312"/>
      <c r="K21" s="312"/>
      <c r="L21" s="312"/>
      <c r="M21" s="312"/>
    </row>
    <row r="22" spans="2:13" ht="12" customHeight="1" x14ac:dyDescent="0.25"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</row>
    <row r="23" spans="2:13" ht="12" customHeight="1" x14ac:dyDescent="0.25">
      <c r="B23" s="312"/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</row>
    <row r="24" spans="2:13" ht="12" customHeight="1" x14ac:dyDescent="0.25"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</row>
    <row r="25" spans="2:13" ht="12" customHeight="1" x14ac:dyDescent="0.25"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2:13" ht="12" customHeight="1" x14ac:dyDescent="0.25">
      <c r="B26" s="312"/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</row>
    <row r="27" spans="2:13" ht="12" customHeight="1" x14ac:dyDescent="0.25">
      <c r="B27" s="312"/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</row>
    <row r="28" spans="2:13" ht="12" customHeight="1" x14ac:dyDescent="0.25">
      <c r="B28" s="312"/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</row>
    <row r="29" spans="2:13" ht="12" customHeight="1" x14ac:dyDescent="0.25"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</row>
    <row r="30" spans="2:13" ht="12" customHeight="1" x14ac:dyDescent="0.25">
      <c r="B30" s="312"/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</row>
    <row r="31" spans="2:13" ht="12" customHeight="1" x14ac:dyDescent="0.25">
      <c r="B31" s="312"/>
      <c r="C31" s="312"/>
      <c r="D31" s="312"/>
      <c r="E31" s="312"/>
      <c r="F31" s="312"/>
      <c r="G31" s="312"/>
      <c r="H31" s="312"/>
      <c r="I31" s="312"/>
      <c r="J31" s="312"/>
      <c r="K31" s="312"/>
      <c r="L31" s="312"/>
      <c r="M31" s="31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F44" sqref="F4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317" t="s">
        <v>190</v>
      </c>
      <c r="D1" s="317"/>
      <c r="E1" s="31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18" t="s">
        <v>192</v>
      </c>
      <c r="C3" s="319"/>
      <c r="D3" s="319"/>
      <c r="E3" s="319"/>
      <c r="F3" s="32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24" t="s">
        <v>231</v>
      </c>
      <c r="B5" s="324"/>
      <c r="C5" s="26">
        <v>3.11</v>
      </c>
      <c r="D5" s="325" t="s">
        <v>229</v>
      </c>
      <c r="E5" s="32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22" t="s">
        <v>226</v>
      </c>
      <c r="B7" s="32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118</v>
      </c>
      <c r="C9" s="35">
        <v>0.88</v>
      </c>
      <c r="D9" s="36">
        <f t="shared" ref="D9:D18" si="0">C9*$C$5</f>
        <v>2.7368000000000001</v>
      </c>
      <c r="E9" s="37">
        <v>18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332</v>
      </c>
      <c r="C10" s="35">
        <v>0.12</v>
      </c>
      <c r="D10" s="36">
        <f t="shared" si="0"/>
        <v>0.37319999999999998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3.1100000000000003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21" t="s">
        <v>232</v>
      </c>
      <c r="B22" s="32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23" t="s">
        <v>227</v>
      </c>
      <c r="B30" s="32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Taro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313" t="s">
        <v>186</v>
      </c>
      <c r="D34" s="313"/>
      <c r="E34" s="314" t="s">
        <v>187</v>
      </c>
      <c r="F34" s="315"/>
      <c r="G34" s="315"/>
      <c r="H34" s="31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18</v>
      </c>
      <c r="B36" s="63">
        <v>255</v>
      </c>
      <c r="C36" s="63">
        <v>1</v>
      </c>
      <c r="D36" s="63">
        <v>255</v>
      </c>
      <c r="E36" s="54">
        <v>0.77</v>
      </c>
      <c r="F36" s="54">
        <v>0.21</v>
      </c>
      <c r="G36" s="54"/>
      <c r="H36" s="54"/>
      <c r="I36" s="52">
        <f>IFERROR(B36/A36,"")</f>
        <v>14.166666666666666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chevelu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313" t="s">
        <v>186</v>
      </c>
      <c r="D60" s="313"/>
      <c r="E60" s="314" t="s">
        <v>187</v>
      </c>
      <c r="F60" s="315"/>
      <c r="G60" s="315"/>
      <c r="H60" s="31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30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1.2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54</v>
      </c>
      <c r="C63" s="63">
        <v>2</v>
      </c>
      <c r="D63" s="63">
        <v>0</v>
      </c>
      <c r="E63" s="54"/>
      <c r="F63" s="54"/>
      <c r="G63" s="54"/>
      <c r="H63" s="54"/>
      <c r="I63" s="52">
        <f>IF(A63&lt;&gt;0,(B63-(B62-D62))/(A63-A62),"")</f>
        <v>4.8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79</v>
      </c>
      <c r="C64" s="63">
        <v>3</v>
      </c>
      <c r="D64" s="63">
        <v>13</v>
      </c>
      <c r="E64" s="54"/>
      <c r="F64" s="54"/>
      <c r="G64" s="54"/>
      <c r="H64" s="54"/>
      <c r="I64" s="52">
        <f>IF(A64&lt;&gt;0,(B64-(B63-D63))/(A64-A63),"")</f>
        <v>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93</v>
      </c>
      <c r="C65" s="63">
        <v>4</v>
      </c>
      <c r="D65" s="63">
        <v>14</v>
      </c>
      <c r="E65" s="54"/>
      <c r="F65" s="54"/>
      <c r="G65" s="54"/>
      <c r="H65" s="54"/>
      <c r="I65" s="52">
        <f>IF(A65&lt;&gt;0,(B65-(B64-D64))/(A65-A64),"")</f>
        <v>5.4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107</v>
      </c>
      <c r="C66" s="63">
        <v>5</v>
      </c>
      <c r="D66" s="63">
        <v>14</v>
      </c>
      <c r="E66" s="54"/>
      <c r="F66" s="54"/>
      <c r="G66" s="54"/>
      <c r="H66" s="54"/>
      <c r="I66" s="52">
        <f t="shared" ref="I66:I81" si="2">IF(A66&lt;&gt;0,(B66-(B65-D65))/(A66-A65),"")</f>
        <v>5.6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121</v>
      </c>
      <c r="C67" s="63">
        <v>6</v>
      </c>
      <c r="D67" s="63">
        <v>14</v>
      </c>
      <c r="E67" s="54"/>
      <c r="F67" s="54"/>
      <c r="G67" s="54"/>
      <c r="H67" s="54"/>
      <c r="I67" s="52">
        <f t="shared" si="2"/>
        <v>5.6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135</v>
      </c>
      <c r="C68" s="63">
        <v>7</v>
      </c>
      <c r="D68" s="63">
        <v>14</v>
      </c>
      <c r="E68" s="54"/>
      <c r="F68" s="54"/>
      <c r="G68" s="54"/>
      <c r="H68" s="54"/>
      <c r="I68" s="52">
        <f t="shared" si="2"/>
        <v>5.6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149</v>
      </c>
      <c r="C69" s="53">
        <v>8</v>
      </c>
      <c r="D69" s="53">
        <v>14</v>
      </c>
      <c r="E69" s="54"/>
      <c r="F69" s="54"/>
      <c r="G69" s="54"/>
      <c r="H69" s="54"/>
      <c r="I69" s="52">
        <f t="shared" si="2"/>
        <v>5.6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161</v>
      </c>
      <c r="C70" s="53">
        <v>9</v>
      </c>
      <c r="D70" s="53">
        <v>14</v>
      </c>
      <c r="E70" s="54"/>
      <c r="F70" s="54"/>
      <c r="G70" s="54"/>
      <c r="H70" s="54"/>
      <c r="I70" s="52">
        <f t="shared" si="2"/>
        <v>5.2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173</v>
      </c>
      <c r="C71" s="53">
        <v>10</v>
      </c>
      <c r="D71" s="53">
        <v>14</v>
      </c>
      <c r="E71" s="54"/>
      <c r="F71" s="54"/>
      <c r="G71" s="54"/>
      <c r="H71" s="54"/>
      <c r="I71" s="52">
        <f t="shared" si="2"/>
        <v>5.2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183</v>
      </c>
      <c r="C72" s="53">
        <v>11</v>
      </c>
      <c r="D72" s="53">
        <v>14</v>
      </c>
      <c r="E72" s="54"/>
      <c r="F72" s="54"/>
      <c r="G72" s="54"/>
      <c r="H72" s="54"/>
      <c r="I72" s="52">
        <f t="shared" si="2"/>
        <v>4.8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192</v>
      </c>
      <c r="C73" s="53">
        <v>12</v>
      </c>
      <c r="D73" s="53">
        <v>14</v>
      </c>
      <c r="E73" s="54"/>
      <c r="F73" s="54"/>
      <c r="G73" s="54"/>
      <c r="H73" s="54"/>
      <c r="I73" s="52">
        <f t="shared" si="2"/>
        <v>4.5999999999999996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200</v>
      </c>
      <c r="C74" s="53">
        <v>13</v>
      </c>
      <c r="D74" s="53">
        <v>14</v>
      </c>
      <c r="E74" s="54"/>
      <c r="F74" s="54"/>
      <c r="G74" s="54"/>
      <c r="H74" s="54"/>
      <c r="I74" s="52">
        <f t="shared" si="2"/>
        <v>4.4000000000000004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207</v>
      </c>
      <c r="C75" s="53">
        <v>14</v>
      </c>
      <c r="D75" s="53">
        <v>14</v>
      </c>
      <c r="E75" s="54"/>
      <c r="F75" s="54"/>
      <c r="G75" s="54"/>
      <c r="H75" s="54"/>
      <c r="I75" s="52">
        <f t="shared" si="2"/>
        <v>4.2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212</v>
      </c>
      <c r="C76" s="53">
        <v>15</v>
      </c>
      <c r="D76" s="53">
        <v>14</v>
      </c>
      <c r="E76" s="54"/>
      <c r="F76" s="54"/>
      <c r="G76" s="54"/>
      <c r="H76" s="54"/>
      <c r="I76" s="52">
        <f t="shared" si="2"/>
        <v>3.8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216</v>
      </c>
      <c r="C77" s="53">
        <v>16</v>
      </c>
      <c r="D77" s="53">
        <v>13</v>
      </c>
      <c r="E77" s="54"/>
      <c r="F77" s="54"/>
      <c r="G77" s="54"/>
      <c r="H77" s="54"/>
      <c r="I77" s="52">
        <f t="shared" si="2"/>
        <v>3.6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220</v>
      </c>
      <c r="C78" s="53">
        <v>17</v>
      </c>
      <c r="D78" s="53">
        <v>13</v>
      </c>
      <c r="E78" s="54"/>
      <c r="F78" s="54"/>
      <c r="G78" s="54"/>
      <c r="H78" s="54"/>
      <c r="I78" s="52">
        <f t="shared" si="2"/>
        <v>3.4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222</v>
      </c>
      <c r="C79" s="53">
        <v>18</v>
      </c>
      <c r="D79" s="53">
        <v>13</v>
      </c>
      <c r="E79" s="54"/>
      <c r="F79" s="54"/>
      <c r="G79" s="54"/>
      <c r="H79" s="54"/>
      <c r="I79" s="52">
        <f t="shared" si="2"/>
        <v>3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223</v>
      </c>
      <c r="C80" s="53">
        <v>19</v>
      </c>
      <c r="D80" s="53">
        <v>13</v>
      </c>
      <c r="E80" s="54"/>
      <c r="F80" s="54"/>
      <c r="G80" s="54"/>
      <c r="H80" s="54"/>
      <c r="I80" s="52">
        <f t="shared" si="2"/>
        <v>2.8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222</v>
      </c>
      <c r="C81" s="53">
        <v>20</v>
      </c>
      <c r="D81" s="53">
        <v>222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313" t="s">
        <v>186</v>
      </c>
      <c r="D86" s="313"/>
      <c r="E86" s="314" t="s">
        <v>187</v>
      </c>
      <c r="F86" s="315"/>
      <c r="G86" s="315"/>
      <c r="H86" s="31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313" t="s">
        <v>186</v>
      </c>
      <c r="D112" s="313"/>
      <c r="E112" s="314" t="s">
        <v>187</v>
      </c>
      <c r="F112" s="315"/>
      <c r="G112" s="315"/>
      <c r="H112" s="31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313" t="s">
        <v>186</v>
      </c>
      <c r="D138" s="313"/>
      <c r="E138" s="314" t="s">
        <v>187</v>
      </c>
      <c r="F138" s="315"/>
      <c r="G138" s="315"/>
      <c r="H138" s="31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313" t="s">
        <v>186</v>
      </c>
      <c r="D164" s="313"/>
      <c r="E164" s="314" t="s">
        <v>187</v>
      </c>
      <c r="F164" s="315"/>
      <c r="G164" s="315"/>
      <c r="H164" s="31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313" t="s">
        <v>186</v>
      </c>
      <c r="D190" s="313"/>
      <c r="E190" s="314" t="s">
        <v>187</v>
      </c>
      <c r="F190" s="315"/>
      <c r="G190" s="315"/>
      <c r="H190" s="31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313" t="s">
        <v>186</v>
      </c>
      <c r="D216" s="313"/>
      <c r="E216" s="314" t="s">
        <v>187</v>
      </c>
      <c r="F216" s="315"/>
      <c r="G216" s="315"/>
      <c r="H216" s="31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313" t="s">
        <v>186</v>
      </c>
      <c r="D242" s="313"/>
      <c r="E242" s="314" t="s">
        <v>187</v>
      </c>
      <c r="F242" s="315"/>
      <c r="G242" s="315"/>
      <c r="H242" s="31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313" t="s">
        <v>186</v>
      </c>
      <c r="D268" s="313"/>
      <c r="E268" s="314" t="s">
        <v>187</v>
      </c>
      <c r="F268" s="315"/>
      <c r="G268" s="315"/>
      <c r="H268" s="31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30" t="s">
        <v>176</v>
      </c>
      <c r="C1" s="331"/>
      <c r="D1" s="331"/>
      <c r="E1" s="331"/>
      <c r="F1" s="331"/>
      <c r="G1" s="331"/>
      <c r="H1" s="332"/>
      <c r="I1" s="327" t="str">
        <f>IF('Données projet'!$B$9="","",'Données projet'!$B$9)</f>
        <v>Peuplier Taro</v>
      </c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9"/>
      <c r="AD1" s="328" t="str">
        <f>IF('Données projet'!$B$10="","",'Données projet'!$B$10)</f>
        <v>chêne chevelu</v>
      </c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9"/>
      <c r="AY1" s="327" t="str">
        <f>IF('Données projet'!$B$11="","",'Données projet'!$B$11)</f>
        <v/>
      </c>
      <c r="AZ1" s="328"/>
      <c r="BA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28"/>
      <c r="BQ1" s="328"/>
      <c r="BR1" s="328"/>
      <c r="BS1" s="329"/>
      <c r="BT1" s="327" t="str">
        <f>IF('Données projet'!$B$12="","",'Données projet'!$B$12)</f>
        <v/>
      </c>
      <c r="BU1" s="328"/>
      <c r="BV1" s="328"/>
      <c r="BW1" s="328"/>
      <c r="BX1" s="328"/>
      <c r="BY1" s="328"/>
      <c r="BZ1" s="328"/>
      <c r="CA1" s="328"/>
      <c r="CB1" s="328"/>
      <c r="CC1" s="328"/>
      <c r="CD1" s="328"/>
      <c r="CE1" s="328"/>
      <c r="CF1" s="328"/>
      <c r="CG1" s="328"/>
      <c r="CH1" s="328"/>
      <c r="CI1" s="328"/>
      <c r="CJ1" s="328"/>
      <c r="CK1" s="328"/>
      <c r="CL1" s="328"/>
      <c r="CM1" s="328"/>
      <c r="CN1" s="329"/>
      <c r="CO1" s="327" t="str">
        <f>IF('Données projet'!$B$13="","",'Données projet'!$B$13)</f>
        <v/>
      </c>
      <c r="CP1" s="328"/>
      <c r="CQ1" s="328"/>
      <c r="CR1" s="328"/>
      <c r="CS1" s="328"/>
      <c r="CT1" s="328"/>
      <c r="CU1" s="328"/>
      <c r="CV1" s="328"/>
      <c r="CW1" s="328"/>
      <c r="CX1" s="328"/>
      <c r="CY1" s="328"/>
      <c r="CZ1" s="328"/>
      <c r="DA1" s="328"/>
      <c r="DB1" s="328"/>
      <c r="DC1" s="328"/>
      <c r="DD1" s="328"/>
      <c r="DE1" s="328"/>
      <c r="DF1" s="328"/>
      <c r="DG1" s="328"/>
      <c r="DH1" s="328"/>
      <c r="DI1" s="329"/>
      <c r="DJ1" s="327" t="str">
        <f>IF('Données projet'!$B$14="","",'Données projet'!$B$14)</f>
        <v/>
      </c>
      <c r="DK1" s="328"/>
      <c r="DL1" s="328"/>
      <c r="DM1" s="328"/>
      <c r="DN1" s="328"/>
      <c r="DO1" s="328"/>
      <c r="DP1" s="328"/>
      <c r="DQ1" s="328"/>
      <c r="DR1" s="328"/>
      <c r="DS1" s="328"/>
      <c r="DT1" s="328"/>
      <c r="DU1" s="328"/>
      <c r="DV1" s="328"/>
      <c r="DW1" s="328"/>
      <c r="DX1" s="328"/>
      <c r="DY1" s="328"/>
      <c r="DZ1" s="328"/>
      <c r="EA1" s="328"/>
      <c r="EB1" s="328"/>
      <c r="EC1" s="328"/>
      <c r="ED1" s="329"/>
      <c r="EE1" s="327" t="str">
        <f>IF('Données projet'!$B$15="","",'Données projet'!$B$15)</f>
        <v/>
      </c>
      <c r="EF1" s="328"/>
      <c r="EG1" s="328"/>
      <c r="EH1" s="328"/>
      <c r="EI1" s="328"/>
      <c r="EJ1" s="328"/>
      <c r="EK1" s="328"/>
      <c r="EL1" s="328"/>
      <c r="EM1" s="328"/>
      <c r="EN1" s="328"/>
      <c r="EO1" s="328"/>
      <c r="EP1" s="328"/>
      <c r="EQ1" s="328"/>
      <c r="ER1" s="328"/>
      <c r="ES1" s="328"/>
      <c r="ET1" s="328"/>
      <c r="EU1" s="328"/>
      <c r="EV1" s="328"/>
      <c r="EW1" s="328"/>
      <c r="EX1" s="328"/>
      <c r="EY1" s="329"/>
      <c r="EZ1" s="327" t="str">
        <f>IF('Données projet'!$B$16="","",'Données projet'!$B$16)</f>
        <v/>
      </c>
      <c r="FA1" s="328"/>
      <c r="FB1" s="328"/>
      <c r="FC1" s="328"/>
      <c r="FD1" s="328"/>
      <c r="FE1" s="328"/>
      <c r="FF1" s="328"/>
      <c r="FG1" s="328"/>
      <c r="FH1" s="328"/>
      <c r="FI1" s="328"/>
      <c r="FJ1" s="328"/>
      <c r="FK1" s="328"/>
      <c r="FL1" s="328"/>
      <c r="FM1" s="328"/>
      <c r="FN1" s="328"/>
      <c r="FO1" s="328"/>
      <c r="FP1" s="328"/>
      <c r="FQ1" s="328"/>
      <c r="FR1" s="328"/>
      <c r="FS1" s="328"/>
      <c r="FT1" s="329"/>
      <c r="FU1" s="327" t="str">
        <f>IF('Données projet'!$B$17="","",'Données projet'!$B$17)</f>
        <v/>
      </c>
      <c r="FV1" s="328"/>
      <c r="FW1" s="328"/>
      <c r="FX1" s="328"/>
      <c r="FY1" s="328"/>
      <c r="FZ1" s="328"/>
      <c r="GA1" s="328"/>
      <c r="GB1" s="328"/>
      <c r="GC1" s="328"/>
      <c r="GD1" s="328"/>
      <c r="GE1" s="328"/>
      <c r="GF1" s="328"/>
      <c r="GG1" s="328"/>
      <c r="GH1" s="328"/>
      <c r="GI1" s="328"/>
      <c r="GJ1" s="328"/>
      <c r="GK1" s="328"/>
      <c r="GL1" s="328"/>
      <c r="GM1" s="328"/>
      <c r="GN1" s="328"/>
      <c r="GO1" s="329"/>
      <c r="GP1" s="327" t="str">
        <f>IF('Données projet'!$B$18="","",'Données projet'!$B$18)</f>
        <v/>
      </c>
      <c r="GQ1" s="328"/>
      <c r="GR1" s="328"/>
      <c r="GS1" s="328"/>
      <c r="GT1" s="328"/>
      <c r="GU1" s="328"/>
      <c r="GV1" s="328"/>
      <c r="GW1" s="328"/>
      <c r="GX1" s="328"/>
      <c r="GY1" s="328"/>
      <c r="GZ1" s="328"/>
      <c r="HA1" s="328"/>
      <c r="HB1" s="328"/>
      <c r="HC1" s="328"/>
      <c r="HD1" s="328"/>
      <c r="HE1" s="328"/>
      <c r="HF1" s="328"/>
      <c r="HG1" s="328"/>
      <c r="HH1" s="328"/>
      <c r="HI1" s="328"/>
      <c r="HJ1" s="32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4.4000000000000004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16.133333333333336</v>
      </c>
      <c r="H3" s="70">
        <f>(B3+E3+F3)*44/12+(C3+D3)*0.475*44/12</f>
        <v>192.13333333333333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176</v>
      </c>
      <c r="S3" s="62">
        <f ca="1">AVERAGE(OFFSET($R$3,0,0,'Données projet'!$E$9+1,1))-AVERAGE(OFFSET($H$3,0,0,'Données projet'!$E$9+1,1))</f>
        <v>71.173545323577173</v>
      </c>
      <c r="T3" s="62">
        <f>IF('Données projet'!E9&gt;30,$R$33-$H$33,LOOKUP('Données projet'!$E$9,$A$3:$A$203,R3:R203)-LOOKUP('Données projet'!$E$9,$A$3:$A$203,$H$3:$H$203))</f>
        <v>348.38731536853368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176</v>
      </c>
      <c r="AN3" s="62">
        <f ca="1">AVERAGE(OFFSET($AM$3,0,0,'Données projet'!$E$10+1,1))-AVERAGE(OFFSET($H$3,0,0,'Données projet'!$E$10+1,1))</f>
        <v>349.85922977910184</v>
      </c>
      <c r="AO3" s="62">
        <f>IF('Données projet'!E10&gt;30,$AM$33-$H$33,LOOKUP('Données projet'!$E$10,$A$3:$A$203,AM3:AM203)-LOOKUP('Données projet'!$E$10,$A$3:$A$203,$H$3:$H$203))</f>
        <v>180.11084167023813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4.4000000000000004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16.133333333333336</v>
      </c>
      <c r="H4" s="70">
        <f t="shared" ref="H4:H67" si="1">(B4+E4+F4)*44/12+(C4+D4)*0.475*44/12</f>
        <v>192.13333333333333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48.381650815368388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14.166666666666666</v>
      </c>
      <c r="N4" s="14">
        <f>IF('Données projet'!$A$36&gt;35,N3+M4-V3,IF(A4&lt;'Données projet'!$A$36,$K$205^A4,IF(A4='Données projet'!$A$36,'Données projet'!$B$36,N3+M4-V3)))</f>
        <v>1.3604941437265583</v>
      </c>
      <c r="O4" s="14">
        <f>N4*VLOOKUP('Données projet'!$B$9,Paramètres!$A$1:$I$89,3,0)*VLOOKUP('Données projet'!$B$9,Paramètres!$A$1:$I$89,5,0)</f>
        <v>0.78103247803054254</v>
      </c>
      <c r="P4" s="14">
        <f>EXP(-1.0587+0.8836*LN(O4)+0.284)</f>
        <v>0.37043710038353039</v>
      </c>
      <c r="Q4" s="22">
        <f t="shared" ref="Q4:Q34" si="2">(O4+P4)*0.475*44/12</f>
        <v>2.0054761824045104</v>
      </c>
      <c r="R4" s="62">
        <f t="shared" si="0"/>
        <v>180.62708472764416</v>
      </c>
      <c r="S4" s="62">
        <f ca="1">AVERAGE(OFFSET($R$3,0,0,'Données projet'!$E$9+1,1))-AVERAGE(OFFSET($H$3,0,0,'Données projet'!$E$9+1,1))</f>
        <v>71.173545323577173</v>
      </c>
      <c r="T4" s="62">
        <f>$T$3</f>
        <v>348.38731536853368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48.381650815368388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1.2</v>
      </c>
      <c r="AI4" s="14">
        <f>IF('Données projet'!$A$62&gt;35,AI3+AH4-AQ3,IF(A4&lt;'Données projet'!$A$62,$AF$205^A4,IF(A4='Données projet'!$A$62,'Données projet'!$B$62,AI3+AH4-AQ3)))</f>
        <v>1.1457367676485573</v>
      </c>
      <c r="AJ4" s="14">
        <f>AI4*VLOOKUP('Données projet'!$B$10,Paramètres!$A$1:$I$89,3,0)*VLOOKUP('Données projet'!$B$10,Paramètres!$A$1:$I$89,5,0)</f>
        <v>1.1975240695462721</v>
      </c>
      <c r="AK4" s="14">
        <f>EXP(-1.0587+0.8836*LN(AJ4)+0.284)</f>
        <v>0.54041081187742124</v>
      </c>
      <c r="AL4" s="22">
        <f t="shared" ref="AL4:AL67" si="4">(AJ4+AK4)*0.475*44/12</f>
        <v>3.0269032518129322</v>
      </c>
      <c r="AM4" s="62">
        <f t="shared" ref="AM4:AM67" si="5">AL4+(AD4+AE4)*44/12</f>
        <v>181.64851179705258</v>
      </c>
      <c r="AN4" s="62">
        <f ca="1">AVERAGE(OFFSET($AM$3,0,0,'Données projet'!$E$10+1,1))-AVERAGE(OFFSET($H$3,0,0,'Données projet'!$E$10+1,1))</f>
        <v>349.85922977910184</v>
      </c>
      <c r="AO4" s="62">
        <f>$AO$3</f>
        <v>180.11084167023813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48.381650815368388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48.381650815368388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48.381650815368388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48.381650815368388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48.381650815368388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48.381650815368388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48.381650815368388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48.381650815368388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4.4000000000000004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16.133333333333336</v>
      </c>
      <c r="H5" s="70">
        <f t="shared" si="1"/>
        <v>192.13333333333333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48.756680842333537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14.166666666666666</v>
      </c>
      <c r="N5" s="14">
        <f>IF('Données projet'!$A$36&gt;35,N4+M5-V4,IF(A5&lt;'Données projet'!$A$36,$K$205^A5,IF(A5='Données projet'!$A$36,'Données projet'!$B$36,N4+M5-V4)))</f>
        <v>1.8509443151142611</v>
      </c>
      <c r="O5" s="14">
        <f>N5*VLOOKUP('Données projet'!$B$9,Paramètres!$A$1:$I$89,3,0)*VLOOKUP('Données projet'!$B$9,Paramètres!$A$1:$I$89,5,0)</f>
        <v>1.062590112420795</v>
      </c>
      <c r="P5" s="14">
        <f t="shared" ref="P5:P68" si="33">EXP(-1.0587+0.8836*LN(O5)+0.284)</f>
        <v>0.48623795880882253</v>
      </c>
      <c r="Q5" s="22">
        <f t="shared" si="2"/>
        <v>2.6975422240582509</v>
      </c>
      <c r="R5" s="62">
        <f t="shared" si="0"/>
        <v>183.91648309039232</v>
      </c>
      <c r="S5" s="62">
        <f ca="1">AVERAGE(OFFSET($R$3,0,0,'Données projet'!$E$9+1,1))-AVERAGE(OFFSET($H$3,0,0,'Données projet'!$E$9+1,1))</f>
        <v>71.173545323577173</v>
      </c>
      <c r="T5" s="62">
        <f t="shared" ref="T5:T68" si="34">$T$3</f>
        <v>348.38731536853368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48.756680842333537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1.2</v>
      </c>
      <c r="AI5" s="14">
        <f>IF('Données projet'!$A$62&gt;35,AI4+AH5-AQ4,IF(A5&lt;'Données projet'!$A$62,$AF$205^A5,IF(A5='Données projet'!$A$62,'Données projet'!$B$62,AI4+AH5-AQ4)))</f>
        <v>1.312712740741764</v>
      </c>
      <c r="AJ5" s="14">
        <f>AI5*VLOOKUP('Données projet'!$B$10,Paramètres!$A$1:$I$89,3,0)*VLOOKUP('Données projet'!$B$10,Paramètres!$A$1:$I$89,5,0)</f>
        <v>1.3720473566232918</v>
      </c>
      <c r="AK5" s="14">
        <f t="shared" ref="AK5:AK68" si="35">EXP(-1.0587+0.8836*LN(AJ5)+0.284)</f>
        <v>0.60944062808197874</v>
      </c>
      <c r="AL5" s="22">
        <f t="shared" si="4"/>
        <v>3.4510915733616798</v>
      </c>
      <c r="AM5" s="62">
        <f t="shared" si="5"/>
        <v>184.67003243969575</v>
      </c>
      <c r="AN5" s="62">
        <f ca="1">AVERAGE(OFFSET($AM$3,0,0,'Données projet'!$E$10+1,1))-AVERAGE(OFFSET($H$3,0,0,'Données projet'!$E$10+1,1))</f>
        <v>349.85922977910184</v>
      </c>
      <c r="AO5" s="62">
        <f t="shared" ref="AO5:AO68" si="36">$AO$3</f>
        <v>180.11084167023813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48.756680842333537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48.756680842333537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48.756680842333537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48.756680842333537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48.756680842333537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48.756680842333537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48.756680842333537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48.756680842333537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4.4000000000000004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16.133333333333336</v>
      </c>
      <c r="H6" s="70">
        <f t="shared" si="1"/>
        <v>192.13333333333333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49.12520493677237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14.166666666666666</v>
      </c>
      <c r="N6" s="14">
        <f>IF('Données projet'!$A$36&gt;35,N5+M6-V5,IF(A6&lt;'Données projet'!$A$36,$K$205^A6,IF(A6='Données projet'!$A$36,'Données projet'!$B$36,N5+M6-V5)))</f>
        <v>2.5181989010769175</v>
      </c>
      <c r="O6" s="14">
        <f>N6*VLOOKUP('Données projet'!$B$9,Paramètres!$A$1:$I$89,3,0)*VLOOKUP('Données projet'!$B$9,Paramètres!$A$1:$I$89,5,0)</f>
        <v>1.4456476251302368</v>
      </c>
      <c r="P6" s="14">
        <f t="shared" si="33"/>
        <v>0.63823885982744766</v>
      </c>
      <c r="Q6" s="22">
        <f t="shared" si="2"/>
        <v>3.6294356279679669</v>
      </c>
      <c r="R6" s="62">
        <f t="shared" si="0"/>
        <v>187.42185372946668</v>
      </c>
      <c r="S6" s="62">
        <f ca="1">AVERAGE(OFFSET($R$3,0,0,'Données projet'!$E$9+1,1))-AVERAGE(OFFSET($H$3,0,0,'Données projet'!$E$9+1,1))</f>
        <v>71.173545323577173</v>
      </c>
      <c r="T6" s="62">
        <f t="shared" si="34"/>
        <v>348.38731536853368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49.12520493677237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1.2</v>
      </c>
      <c r="AI6" s="14">
        <f>IF('Données projet'!$A$62&gt;35,AI5+AH6-AQ5,IF(A6&lt;'Données projet'!$A$62,$AF$205^A6,IF(A6='Données projet'!$A$62,'Données projet'!$B$62,AI5+AH6-AQ5)))</f>
        <v>1.5040232524285473</v>
      </c>
      <c r="AJ6" s="14">
        <f>AI6*VLOOKUP('Données projet'!$B$10,Paramètres!$A$1:$I$89,3,0)*VLOOKUP('Données projet'!$B$10,Paramètres!$A$1:$I$89,5,0)</f>
        <v>1.5720051034383178</v>
      </c>
      <c r="AK6" s="14">
        <f t="shared" si="35"/>
        <v>0.68728802421000335</v>
      </c>
      <c r="AL6" s="22">
        <f t="shared" si="4"/>
        <v>3.9349355306541596</v>
      </c>
      <c r="AM6" s="62">
        <f t="shared" si="5"/>
        <v>187.72735363215287</v>
      </c>
      <c r="AN6" s="62">
        <f ca="1">AVERAGE(OFFSET($AM$3,0,0,'Données projet'!$E$10+1,1))-AVERAGE(OFFSET($H$3,0,0,'Données projet'!$E$10+1,1))</f>
        <v>349.85922977910184</v>
      </c>
      <c r="AO6" s="62">
        <f t="shared" si="36"/>
        <v>180.11084167023813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49.12520493677237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49.12520493677237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49.12520493677237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49.12520493677237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49.12520493677237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49.12520493677237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49.12520493677237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49.12520493677237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4.4000000000000004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16.133333333333336</v>
      </c>
      <c r="H7" s="70">
        <f t="shared" si="1"/>
        <v>192.13333333333333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49.487335962069132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14.166666666666666</v>
      </c>
      <c r="N7" s="14">
        <f>IF('Données projet'!$A$36&gt;35,N6+M7-V6,IF(A7&lt;'Données projet'!$A$36,$K$205^A7,IF(A7='Données projet'!$A$36,'Données projet'!$B$36,N6+M7-V6)))</f>
        <v>3.4259948576538011</v>
      </c>
      <c r="O7" s="14">
        <f>N7*VLOOKUP('Données projet'!$B$9,Paramètres!$A$1:$I$89,3,0)*VLOOKUP('Données projet'!$B$9,Paramètres!$A$1:$I$89,5,0)</f>
        <v>1.9667951278818943</v>
      </c>
      <c r="P7" s="14">
        <f t="shared" si="33"/>
        <v>0.83775615378066459</v>
      </c>
      <c r="Q7" s="22">
        <f t="shared" si="2"/>
        <v>4.884593482228957</v>
      </c>
      <c r="R7" s="62">
        <f t="shared" si="0"/>
        <v>191.22704756537132</v>
      </c>
      <c r="S7" s="62">
        <f ca="1">AVERAGE(OFFSET($R$3,0,0,'Données projet'!$E$9+1,1))-AVERAGE(OFFSET($H$3,0,0,'Données projet'!$E$9+1,1))</f>
        <v>71.173545323577173</v>
      </c>
      <c r="T7" s="62">
        <f t="shared" si="34"/>
        <v>348.38731536853368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49.487335962069132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1.2</v>
      </c>
      <c r="AI7" s="14">
        <f>IF('Données projet'!$A$62&gt;35,AI6+AH7-AQ6,IF(A7&lt;'Données projet'!$A$62,$AF$205^A7,IF(A7='Données projet'!$A$62,'Données projet'!$B$62,AI6+AH7-AQ6)))</f>
        <v>1.7232147397057538</v>
      </c>
      <c r="AJ7" s="14">
        <f>AI7*VLOOKUP('Données projet'!$B$10,Paramètres!$A$1:$I$89,3,0)*VLOOKUP('Données projet'!$B$10,Paramètres!$A$1:$I$89,5,0)</f>
        <v>1.8011040459404539</v>
      </c>
      <c r="AK7" s="14">
        <f t="shared" si="35"/>
        <v>0.77507932103100641</v>
      </c>
      <c r="AL7" s="22">
        <f t="shared" si="4"/>
        <v>4.4868526974752925</v>
      </c>
      <c r="AM7" s="62">
        <f t="shared" si="5"/>
        <v>190.82930678061766</v>
      </c>
      <c r="AN7" s="62">
        <f ca="1">AVERAGE(OFFSET($AM$3,0,0,'Données projet'!$E$10+1,1))-AVERAGE(OFFSET($H$3,0,0,'Données projet'!$E$10+1,1))</f>
        <v>349.85922977910184</v>
      </c>
      <c r="AO7" s="62">
        <f t="shared" si="36"/>
        <v>180.11084167023813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49.487335962069132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49.487335962069132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49.487335962069132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49.487335962069132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49.487335962069132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49.487335962069132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49.487335962069132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49.487335962069132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4.4000000000000004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16.133333333333336</v>
      </c>
      <c r="H8" s="70">
        <f t="shared" si="1"/>
        <v>192.13333333333333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49.843184823680694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14.166666666666666</v>
      </c>
      <c r="N8" s="14">
        <f>IF('Données projet'!$A$36&gt;35,N7+M8-V7,IF(A8&lt;'Données projet'!$A$36,$K$205^A8,IF(A8='Données projet'!$A$36,'Données projet'!$B$36,N7+M8-V7)))</f>
        <v>4.6610459402752999</v>
      </c>
      <c r="O8" s="14">
        <f>N8*VLOOKUP('Données projet'!$B$9,Paramètres!$A$1:$I$89,3,0)*VLOOKUP('Données projet'!$B$9,Paramètres!$A$1:$I$89,5,0)</f>
        <v>2.6758132533932444</v>
      </c>
      <c r="P8" s="14">
        <f t="shared" si="33"/>
        <v>1.0996437499702205</v>
      </c>
      <c r="Q8" s="22">
        <f t="shared" si="2"/>
        <v>6.5755876141913676</v>
      </c>
      <c r="R8" s="62">
        <f t="shared" si="0"/>
        <v>195.44504307879834</v>
      </c>
      <c r="S8" s="62">
        <f ca="1">AVERAGE(OFFSET($R$3,0,0,'Données projet'!$E$9+1,1))-AVERAGE(OFFSET($H$3,0,0,'Données projet'!$E$9+1,1))</f>
        <v>71.173545323577173</v>
      </c>
      <c r="T8" s="62">
        <f t="shared" si="34"/>
        <v>348.38731536853368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49.843184823680694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1.2</v>
      </c>
      <c r="AI8" s="14">
        <f>IF('Données projet'!$A$62&gt;35,AI7+AH8-AQ7,IF(A8&lt;'Données projet'!$A$62,$AF$205^A8,IF(A8='Données projet'!$A$62,'Données projet'!$B$62,AI7+AH8-AQ7)))</f>
        <v>1.9743504858348202</v>
      </c>
      <c r="AJ8" s="14">
        <f>AI8*VLOOKUP('Données projet'!$B$10,Paramètres!$A$1:$I$89,3,0)*VLOOKUP('Données projet'!$B$10,Paramètres!$A$1:$I$89,5,0)</f>
        <v>2.0635911277945542</v>
      </c>
      <c r="AK8" s="14">
        <f t="shared" si="35"/>
        <v>0.87408471081743333</v>
      </c>
      <c r="AL8" s="22">
        <f t="shared" si="4"/>
        <v>5.1164520855825444</v>
      </c>
      <c r="AM8" s="62">
        <f t="shared" si="5"/>
        <v>193.98590755018952</v>
      </c>
      <c r="AN8" s="62">
        <f ca="1">AVERAGE(OFFSET($AM$3,0,0,'Données projet'!$E$10+1,1))-AVERAGE(OFFSET($H$3,0,0,'Données projet'!$E$10+1,1))</f>
        <v>349.85922977910184</v>
      </c>
      <c r="AO8" s="62">
        <f t="shared" si="36"/>
        <v>180.11084167023813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49.843184823680694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49.843184823680694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49.843184823680694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49.843184823680694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49.843184823680694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49.843184823680694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49.843184823680694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49.843184823680694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4.4000000000000004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16.133333333333336</v>
      </c>
      <c r="H9" s="70">
        <f t="shared" si="1"/>
        <v>192.13333333333333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50.192860503102153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14.166666666666666</v>
      </c>
      <c r="N9" s="14">
        <f>IF('Données projet'!$A$36&gt;35,N8+M9-V8,IF(A9&lt;'Données projet'!$A$36,$K$205^A9,IF(A9='Données projet'!$A$36,'Données projet'!$B$36,N8+M9-V8)))</f>
        <v>6.3413257053849952</v>
      </c>
      <c r="O9" s="14">
        <f>N9*VLOOKUP('Données projet'!$B$9,Paramètres!$A$1:$I$89,3,0)*VLOOKUP('Données projet'!$B$9,Paramètres!$A$1:$I$89,5,0)</f>
        <v>3.6404282609474179</v>
      </c>
      <c r="P9" s="14">
        <f t="shared" si="33"/>
        <v>1.4433989787977821</v>
      </c>
      <c r="Q9" s="22">
        <f t="shared" si="2"/>
        <v>8.8543324425562222</v>
      </c>
      <c r="R9" s="62">
        <f t="shared" si="0"/>
        <v>200.22815428726412</v>
      </c>
      <c r="S9" s="62">
        <f ca="1">AVERAGE(OFFSET($R$3,0,0,'Données projet'!$E$9+1,1))-AVERAGE(OFFSET($H$3,0,0,'Données projet'!$E$9+1,1))</f>
        <v>71.173545323577173</v>
      </c>
      <c r="T9" s="62">
        <f t="shared" si="34"/>
        <v>348.38731536853368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50.192860503102153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1.2</v>
      </c>
      <c r="AI9" s="14">
        <f>IF('Données projet'!$A$62&gt;35,AI8+AH9-AQ8,IF(A9&lt;'Données projet'!$A$62,$AF$205^A9,IF(A9='Données projet'!$A$62,'Données projet'!$B$62,AI8+AH9-AQ8)))</f>
        <v>2.2620859438457455</v>
      </c>
      <c r="AJ9" s="14">
        <f>AI9*VLOOKUP('Données projet'!$B$10,Paramètres!$A$1:$I$89,3,0)*VLOOKUP('Données projet'!$B$10,Paramètres!$A$1:$I$89,5,0)</f>
        <v>2.3643322285075734</v>
      </c>
      <c r="AK9" s="14">
        <f t="shared" si="35"/>
        <v>0.98573663488853658</v>
      </c>
      <c r="AL9" s="22">
        <f t="shared" si="4"/>
        <v>5.8347032704148916</v>
      </c>
      <c r="AM9" s="62">
        <f t="shared" si="5"/>
        <v>197.20852511512277</v>
      </c>
      <c r="AN9" s="62">
        <f ca="1">AVERAGE(OFFSET($AM$3,0,0,'Données projet'!$E$10+1,1))-AVERAGE(OFFSET($H$3,0,0,'Données projet'!$E$10+1,1))</f>
        <v>349.85922977910184</v>
      </c>
      <c r="AO9" s="62">
        <f t="shared" si="36"/>
        <v>180.11084167023813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50.192860503102153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50.192860503102153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50.192860503102153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50.192860503102153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50.192860503102153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50.192860503102153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50.192860503102153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50.192860503102153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4.4000000000000004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16.133333333333336</v>
      </c>
      <c r="H10" s="70">
        <f t="shared" si="1"/>
        <v>192.13333333333333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50.536470091243359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14.166666666666666</v>
      </c>
      <c r="N10" s="14">
        <f>IF('Données projet'!$A$36&gt;35,N9+M10-V9,IF(A10&lt;'Données projet'!$A$36,$K$205^A10,IF(A10='Données projet'!$A$36,'Données projet'!$B$36,N9+M10-V9)))</f>
        <v>8.6273364856389723</v>
      </c>
      <c r="O10" s="14">
        <f>N10*VLOOKUP('Données projet'!$B$9,Paramètres!$A$1:$I$89,3,0)*VLOOKUP('Données projet'!$B$9,Paramètres!$A$1:$I$89,5,0)</f>
        <v>4.9527813296756209</v>
      </c>
      <c r="P10" s="14">
        <f t="shared" si="33"/>
        <v>1.894614153039019</v>
      </c>
      <c r="Q10" s="22">
        <f t="shared" si="2"/>
        <v>11.925880465728</v>
      </c>
      <c r="R10" s="62">
        <f t="shared" si="0"/>
        <v>205.78182635584255</v>
      </c>
      <c r="S10" s="62">
        <f ca="1">AVERAGE(OFFSET($R$3,0,0,'Données projet'!$E$9+1,1))-AVERAGE(OFFSET($H$3,0,0,'Données projet'!$E$9+1,1))</f>
        <v>71.173545323577173</v>
      </c>
      <c r="T10" s="62">
        <f t="shared" si="34"/>
        <v>348.38731536853368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50.536470091243359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1.2</v>
      </c>
      <c r="AI10" s="14">
        <f>IF('Données projet'!$A$62&gt;35,AI9+AH10-AQ9,IF(A10&lt;'Données projet'!$A$62,$AF$205^A10,IF(A10='Données projet'!$A$62,'Données projet'!$B$62,AI9+AH10-AQ9)))</f>
        <v>2.5917550374450604</v>
      </c>
      <c r="AJ10" s="14">
        <f>AI10*VLOOKUP('Données projet'!$B$10,Paramètres!$A$1:$I$89,3,0)*VLOOKUP('Données projet'!$B$10,Paramètres!$A$1:$I$89,5,0)</f>
        <v>2.7089023651375772</v>
      </c>
      <c r="AK10" s="14">
        <f t="shared" si="35"/>
        <v>1.1116505086248174</v>
      </c>
      <c r="AL10" s="22">
        <f t="shared" si="4"/>
        <v>6.6541295884695044</v>
      </c>
      <c r="AM10" s="62">
        <f t="shared" si="5"/>
        <v>200.51007547858407</v>
      </c>
      <c r="AN10" s="62">
        <f ca="1">AVERAGE(OFFSET($AM$3,0,0,'Données projet'!$E$10+1,1))-AVERAGE(OFFSET($H$3,0,0,'Données projet'!$E$10+1,1))</f>
        <v>349.85922977910184</v>
      </c>
      <c r="AO10" s="62">
        <f t="shared" si="36"/>
        <v>180.11084167023813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50.536470091243359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50.536470091243359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50.536470091243359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50.536470091243359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50.536470091243359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50.536470091243359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50.536470091243359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50.536470091243359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4.4000000000000004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16.133333333333336</v>
      </c>
      <c r="H11" s="70">
        <f t="shared" si="1"/>
        <v>192.13333333333333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50.874118821226276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14.166666666666666</v>
      </c>
      <c r="N11" s="14">
        <f>IF('Données projet'!$A$36&gt;35,N10+M11-V10,IF(A11&lt;'Données projet'!$A$36,$K$205^A11,IF(A11='Données projet'!$A$36,'Données projet'!$B$36,N10+M11-V10)))</f>
        <v>11.737440764670289</v>
      </c>
      <c r="O11" s="14">
        <f>N11*VLOOKUP('Données projet'!$B$9,Paramètres!$A$1:$I$89,3,0)*VLOOKUP('Données projet'!$B$9,Paramètres!$A$1:$I$89,5,0)</f>
        <v>6.7382299941819195</v>
      </c>
      <c r="P11" s="14">
        <f t="shared" si="33"/>
        <v>2.4868818958743715</v>
      </c>
      <c r="Q11" s="22">
        <f t="shared" si="2"/>
        <v>16.067069875181371</v>
      </c>
      <c r="R11" s="62">
        <f t="shared" si="0"/>
        <v>212.38328333078883</v>
      </c>
      <c r="S11" s="62">
        <f ca="1">AVERAGE(OFFSET($R$3,0,0,'Données projet'!$E$9+1,1))-AVERAGE(OFFSET($H$3,0,0,'Données projet'!$E$9+1,1))</f>
        <v>71.173545323577173</v>
      </c>
      <c r="T11" s="62">
        <f t="shared" si="34"/>
        <v>348.38731536853368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50.874118821226276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1.2</v>
      </c>
      <c r="AI11" s="14">
        <f>IF('Données projet'!$A$62&gt;35,AI10+AH11-AQ10,IF(A11&lt;'Données projet'!$A$62,$AF$205^A11,IF(A11='Données projet'!$A$62,'Données projet'!$B$62,AI10+AH11-AQ10)))</f>
        <v>2.9694690391391689</v>
      </c>
      <c r="AJ11" s="14">
        <f>AI11*VLOOKUP('Données projet'!$B$10,Paramètres!$A$1:$I$89,3,0)*VLOOKUP('Données projet'!$B$10,Paramètres!$A$1:$I$89,5,0)</f>
        <v>3.1036890397082595</v>
      </c>
      <c r="AK11" s="14">
        <f t="shared" si="35"/>
        <v>1.2536480938091046</v>
      </c>
      <c r="AL11" s="22">
        <f t="shared" si="4"/>
        <v>7.5890288408760744</v>
      </c>
      <c r="AM11" s="62">
        <f t="shared" si="5"/>
        <v>203.90524229648352</v>
      </c>
      <c r="AN11" s="62">
        <f ca="1">AVERAGE(OFFSET($AM$3,0,0,'Données projet'!$E$10+1,1))-AVERAGE(OFFSET($H$3,0,0,'Données projet'!$E$10+1,1))</f>
        <v>349.85922977910184</v>
      </c>
      <c r="AO11" s="62">
        <f t="shared" si="36"/>
        <v>180.11084167023813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50.874118821226276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50.874118821226276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50.874118821226276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50.874118821226276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50.874118821226276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50.874118821226276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50.874118821226276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50.874118821226276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4.4000000000000004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16.133333333333336</v>
      </c>
      <c r="H12" s="70">
        <f t="shared" si="1"/>
        <v>192.13333333333333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51.205910100613451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14.166666666666666</v>
      </c>
      <c r="N12" s="14">
        <f>IF('Données projet'!$A$36&gt;35,N11+M12-V11,IF(A12&lt;'Données projet'!$A$36,$K$205^A12,IF(A12='Données projet'!$A$36,'Données projet'!$B$36,N11+M12-V11)))</f>
        <v>15.968719422671304</v>
      </c>
      <c r="O12" s="14">
        <f>N12*VLOOKUP('Données projet'!$B$9,Paramètres!$A$1:$I$89,3,0)*VLOOKUP('Données projet'!$B$9,Paramètres!$A$1:$I$89,5,0)</f>
        <v>9.1673224461671428</v>
      </c>
      <c r="P12" s="14">
        <f t="shared" si="33"/>
        <v>3.2642960858850589</v>
      </c>
      <c r="Q12" s="22">
        <f t="shared" si="2"/>
        <v>21.651735609990919</v>
      </c>
      <c r="R12" s="62">
        <f t="shared" si="0"/>
        <v>220.40673931224021</v>
      </c>
      <c r="S12" s="62">
        <f ca="1">AVERAGE(OFFSET($R$3,0,0,'Données projet'!$E$9+1,1))-AVERAGE(OFFSET($H$3,0,0,'Données projet'!$E$9+1,1))</f>
        <v>71.173545323577173</v>
      </c>
      <c r="T12" s="62">
        <f t="shared" si="34"/>
        <v>348.38731536853368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51.205910100613451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1.2</v>
      </c>
      <c r="AI12" s="14">
        <f>IF('Données projet'!$A$62&gt;35,AI11+AH12-AQ11,IF(A12&lt;'Données projet'!$A$62,$AF$205^A12,IF(A12='Données projet'!$A$62,'Données projet'!$B$62,AI11+AH12-AQ11)))</f>
        <v>3.4022298585357786</v>
      </c>
      <c r="AJ12" s="14">
        <f>AI12*VLOOKUP('Données projet'!$B$10,Paramètres!$A$1:$I$89,3,0)*VLOOKUP('Données projet'!$B$10,Paramètres!$A$1:$I$89,5,0)</f>
        <v>3.5560106481415956</v>
      </c>
      <c r="AK12" s="14">
        <f t="shared" si="35"/>
        <v>1.4137838564527014</v>
      </c>
      <c r="AL12" s="22">
        <f t="shared" si="4"/>
        <v>8.6557254288350673</v>
      </c>
      <c r="AM12" s="62">
        <f t="shared" si="5"/>
        <v>207.41072913108437</v>
      </c>
      <c r="AN12" s="62">
        <f ca="1">AVERAGE(OFFSET($AM$3,0,0,'Données projet'!$E$10+1,1))-AVERAGE(OFFSET($H$3,0,0,'Données projet'!$E$10+1,1))</f>
        <v>349.85922977910184</v>
      </c>
      <c r="AO12" s="62">
        <f t="shared" si="36"/>
        <v>180.11084167023813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51.205910100613451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51.205910100613451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51.205910100613451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51.205910100613451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51.205910100613451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51.205910100613451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51.205910100613451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51.205910100613451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4.4000000000000004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16.133333333333336</v>
      </c>
      <c r="H13" s="70">
        <f t="shared" si="1"/>
        <v>192.13333333333333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51.531945543077441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14.166666666666666</v>
      </c>
      <c r="N13" s="14">
        <f>IF('Données projet'!$A$36&gt;35,N12+M13-V12,IF(A13&lt;'Données projet'!$A$36,$K$205^A13,IF(A13='Données projet'!$A$36,'Données projet'!$B$36,N12+M13-V12)))</f>
        <v>21.725349257356857</v>
      </c>
      <c r="O13" s="14">
        <f>N13*VLOOKUP('Données projet'!$B$9,Paramètres!$A$1:$I$89,3,0)*VLOOKUP('Données projet'!$B$9,Paramètres!$A$1:$I$89,5,0)</f>
        <v>12.472088501663425</v>
      </c>
      <c r="P13" s="14">
        <f t="shared" si="33"/>
        <v>4.2847346124485215</v>
      </c>
      <c r="Q13" s="22">
        <f t="shared" si="2"/>
        <v>29.184800257078304</v>
      </c>
      <c r="R13" s="62">
        <f t="shared" si="0"/>
        <v>230.35748947058448</v>
      </c>
      <c r="S13" s="62">
        <f ca="1">AVERAGE(OFFSET($R$3,0,0,'Données projet'!$E$9+1,1))-AVERAGE(OFFSET($H$3,0,0,'Données projet'!$E$9+1,1))</f>
        <v>71.173545323577173</v>
      </c>
      <c r="T13" s="62">
        <f t="shared" si="34"/>
        <v>348.38731536853368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51.531945543077441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1.2</v>
      </c>
      <c r="AI13" s="14">
        <f>IF('Données projet'!$A$62&gt;35,AI12+AH13-AQ12,IF(A13&lt;'Données projet'!$A$62,$AF$205^A13,IF(A13='Données projet'!$A$62,'Données projet'!$B$62,AI12+AH13-AQ12)))</f>
        <v>3.8980598409161908</v>
      </c>
      <c r="AJ13" s="14">
        <f>AI13*VLOOKUP('Données projet'!$B$10,Paramètres!$A$1:$I$89,3,0)*VLOOKUP('Données projet'!$B$10,Paramètres!$A$1:$I$89,5,0)</f>
        <v>4.0742521457256036</v>
      </c>
      <c r="AK13" s="14">
        <f t="shared" si="35"/>
        <v>1.5943746914599719</v>
      </c>
      <c r="AL13" s="22">
        <f t="shared" si="4"/>
        <v>9.8728584080982102</v>
      </c>
      <c r="AM13" s="62">
        <f t="shared" si="5"/>
        <v>211.04554762160438</v>
      </c>
      <c r="AN13" s="62">
        <f ca="1">AVERAGE(OFFSET($AM$3,0,0,'Données projet'!$E$10+1,1))-AVERAGE(OFFSET($H$3,0,0,'Données projet'!$E$10+1,1))</f>
        <v>349.85922977910184</v>
      </c>
      <c r="AO13" s="62">
        <f t="shared" si="36"/>
        <v>180.11084167023813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51.531945543077441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51.531945543077441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51.531945543077441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51.531945543077441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51.531945543077441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51.531945543077441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51.531945543077441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51.531945543077441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4.4000000000000004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16.133333333333336</v>
      </c>
      <c r="H14" s="70">
        <f t="shared" si="1"/>
        <v>192.13333333333333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51.852324999520725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14.166666666666666</v>
      </c>
      <c r="N14" s="14">
        <f>IF('Données projet'!$A$36&gt;35,N13+M14-V13,IF(A14&lt;'Données projet'!$A$36,$K$205^A14,IF(A14='Données projet'!$A$36,'Données projet'!$B$36,N13+M14-V13)))</f>
        <v>29.557210435048137</v>
      </c>
      <c r="O14" s="14">
        <f>N14*VLOOKUP('Données projet'!$B$9,Paramètres!$A$1:$I$89,3,0)*VLOOKUP('Données projet'!$B$9,Paramètres!$A$1:$I$89,5,0)</f>
        <v>16.968203366552437</v>
      </c>
      <c r="P14" s="14">
        <f t="shared" si="33"/>
        <v>5.6241683401512468</v>
      </c>
      <c r="Q14" s="22">
        <f t="shared" si="2"/>
        <v>39.348380722508914</v>
      </c>
      <c r="R14" s="62">
        <f t="shared" si="0"/>
        <v>242.91801683186267</v>
      </c>
      <c r="S14" s="62">
        <f ca="1">AVERAGE(OFFSET($R$3,0,0,'Données projet'!$E$9+1,1))-AVERAGE(OFFSET($H$3,0,0,'Données projet'!$E$9+1,1))</f>
        <v>71.173545323577173</v>
      </c>
      <c r="T14" s="62">
        <f t="shared" si="34"/>
        <v>348.38731536853368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51.852324999520725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1.2</v>
      </c>
      <c r="AI14" s="14">
        <f>IF('Données projet'!$A$62&gt;35,AI13+AH14-AQ13,IF(A14&lt;'Données projet'!$A$62,$AF$205^A14,IF(A14='Données projet'!$A$62,'Données projet'!$B$62,AI13+AH14-AQ13)))</f>
        <v>4.4661504822319662</v>
      </c>
      <c r="AJ14" s="14">
        <f>AI14*VLOOKUP('Données projet'!$B$10,Paramètres!$A$1:$I$89,3,0)*VLOOKUP('Données projet'!$B$10,Paramètres!$A$1:$I$89,5,0)</f>
        <v>4.6680204840288511</v>
      </c>
      <c r="AK14" s="14">
        <f t="shared" si="35"/>
        <v>1.798033444197221</v>
      </c>
      <c r="AL14" s="22">
        <f t="shared" si="4"/>
        <v>11.26171059166041</v>
      </c>
      <c r="AM14" s="62">
        <f t="shared" si="5"/>
        <v>214.83134670101416</v>
      </c>
      <c r="AN14" s="62">
        <f ca="1">AVERAGE(OFFSET($AM$3,0,0,'Données projet'!$E$10+1,1))-AVERAGE(OFFSET($H$3,0,0,'Données projet'!$E$10+1,1))</f>
        <v>349.85922977910184</v>
      </c>
      <c r="AO14" s="62">
        <f t="shared" si="36"/>
        <v>180.11084167023813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51.852324999520725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51.852324999520725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51.852324999520725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51.852324999520725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51.852324999520725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51.852324999520725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51.852324999520725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51.852324999520725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4.4000000000000004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16.133333333333336</v>
      </c>
      <c r="H15" s="70">
        <f t="shared" si="1"/>
        <v>192.13333333333333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52.167146588655882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14.166666666666666</v>
      </c>
      <c r="N15" s="14">
        <f>IF('Données projet'!$A$36&gt;35,N14+M15-V14,IF(A15&lt;'Données projet'!$A$36,$K$205^A15,IF(A15='Données projet'!$A$36,'Données projet'!$B$36,N14+M15-V14)))</f>
        <v>40.21241170177651</v>
      </c>
      <c r="O15" s="14">
        <f>N15*VLOOKUP('Données projet'!$B$9,Paramètres!$A$1:$I$89,3,0)*VLOOKUP('Données projet'!$B$9,Paramètres!$A$1:$I$89,5,0)</f>
        <v>23.085141309755858</v>
      </c>
      <c r="P15" s="14">
        <f t="shared" si="33"/>
        <v>7.3823170813101653</v>
      </c>
      <c r="Q15" s="22">
        <f t="shared" si="2"/>
        <v>53.064156697773321</v>
      </c>
      <c r="R15" s="62">
        <f t="shared" si="0"/>
        <v>259.01036085617824</v>
      </c>
      <c r="S15" s="62">
        <f ca="1">AVERAGE(OFFSET($R$3,0,0,'Données projet'!$E$9+1,1))-AVERAGE(OFFSET($H$3,0,0,'Données projet'!$E$9+1,1))</f>
        <v>71.173545323577173</v>
      </c>
      <c r="T15" s="62">
        <f t="shared" si="34"/>
        <v>348.38731536853368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52.167146588655882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1.2</v>
      </c>
      <c r="AI15" s="14">
        <f>IF('Données projet'!$A$62&gt;35,AI14+AH15-AQ14,IF(A15&lt;'Données projet'!$A$62,$AF$205^A15,IF(A15='Données projet'!$A$62,'Données projet'!$B$62,AI14+AH15-AQ14)))</f>
        <v>5.1170328173444979</v>
      </c>
      <c r="AJ15" s="14">
        <f>AI15*VLOOKUP('Données projet'!$B$10,Paramètres!$A$1:$I$89,3,0)*VLOOKUP('Données projet'!$B$10,Paramètres!$A$1:$I$89,5,0)</f>
        <v>5.3483227006884695</v>
      </c>
      <c r="AK15" s="14">
        <f t="shared" si="35"/>
        <v>2.027706713966543</v>
      </c>
      <c r="AL15" s="22">
        <f t="shared" si="4"/>
        <v>12.846584563857478</v>
      </c>
      <c r="AM15" s="62">
        <f t="shared" si="5"/>
        <v>218.7927887222624</v>
      </c>
      <c r="AN15" s="62">
        <f ca="1">AVERAGE(OFFSET($AM$3,0,0,'Données projet'!$E$10+1,1))-AVERAGE(OFFSET($H$3,0,0,'Données projet'!$E$10+1,1))</f>
        <v>349.85922977910184</v>
      </c>
      <c r="AO15" s="62">
        <f t="shared" si="36"/>
        <v>180.11084167023813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52.167146588655882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52.167146588655882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52.167146588655882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52.167146588655882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52.167146588655882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52.167146588655882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52.167146588655882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52.167146588655882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4.4000000000000004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16.133333333333336</v>
      </c>
      <c r="H16" s="70">
        <f t="shared" si="1"/>
        <v>192.13333333333333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52.476506727055181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14.166666666666666</v>
      </c>
      <c r="N16" s="14">
        <f>IF('Données projet'!$A$36&gt;35,N15+M16-V15,IF(A16&lt;'Données projet'!$A$36,$K$205^A16,IF(A16='Données projet'!$A$36,'Données projet'!$B$36,N15+M16-V15)))</f>
        <v>54.708750625388262</v>
      </c>
      <c r="O16" s="14">
        <f>N16*VLOOKUP('Données projet'!$B$9,Paramètres!$A$1:$I$89,3,0)*VLOOKUP('Données projet'!$B$9,Paramètres!$A$1:$I$89,5,0)</f>
        <v>31.407199559022892</v>
      </c>
      <c r="P16" s="14">
        <f t="shared" si="33"/>
        <v>9.6900736594129473</v>
      </c>
      <c r="Q16" s="22">
        <f t="shared" si="2"/>
        <v>71.577750855442403</v>
      </c>
      <c r="R16" s="62">
        <f t="shared" si="0"/>
        <v>279.88049774353362</v>
      </c>
      <c r="S16" s="62">
        <f ca="1">AVERAGE(OFFSET($R$3,0,0,'Données projet'!$E$9+1,1))-AVERAGE(OFFSET($H$3,0,0,'Données projet'!$E$9+1,1))</f>
        <v>71.173545323577173</v>
      </c>
      <c r="T16" s="62">
        <f t="shared" si="34"/>
        <v>348.38731536853368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52.476506727055181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1.2</v>
      </c>
      <c r="AI16" s="14">
        <f>IF('Données projet'!$A$62&gt;35,AI15+AH16-AQ15,IF(A16&lt;'Données projet'!$A$62,$AF$205^A16,IF(A16='Données projet'!$A$62,'Données projet'!$B$62,AI15+AH16-AQ15)))</f>
        <v>5.8627726400958746</v>
      </c>
      <c r="AJ16" s="14">
        <f>AI16*VLOOKUP('Données projet'!$B$10,Paramètres!$A$1:$I$89,3,0)*VLOOKUP('Données projet'!$B$10,Paramètres!$A$1:$I$89,5,0)</f>
        <v>6.127769963428209</v>
      </c>
      <c r="AK16" s="14">
        <f t="shared" si="35"/>
        <v>2.286717486337261</v>
      </c>
      <c r="AL16" s="22">
        <f t="shared" si="4"/>
        <v>14.655232308341526</v>
      </c>
      <c r="AM16" s="62">
        <f t="shared" si="5"/>
        <v>222.95797919643275</v>
      </c>
      <c r="AN16" s="62">
        <f ca="1">AVERAGE(OFFSET($AM$3,0,0,'Données projet'!$E$10+1,1))-AVERAGE(OFFSET($H$3,0,0,'Données projet'!$E$10+1,1))</f>
        <v>349.85922977910184</v>
      </c>
      <c r="AO16" s="62">
        <f t="shared" si="36"/>
        <v>180.11084167023813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52.476506727055181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52.476506727055181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52.476506727055181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52.476506727055181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52.476506727055181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52.476506727055181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52.476506727055181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52.476506727055181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4.4000000000000004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16.133333333333336</v>
      </c>
      <c r="H17" s="70">
        <f t="shared" si="1"/>
        <v>192.13333333333333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52.780500158678905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14.166666666666666</v>
      </c>
      <c r="N17" s="14">
        <f>IF('Données projet'!$A$36&gt;35,N16+M17-V16,IF(A17&lt;'Données projet'!$A$36,$K$205^A17,IF(A17='Données projet'!$A$36,'Données projet'!$B$36,N16+M17-V16)))</f>
        <v>74.430934836437416</v>
      </c>
      <c r="O17" s="14">
        <f>N17*VLOOKUP('Données projet'!$B$9,Paramètres!$A$1:$I$89,3,0)*VLOOKUP('Données projet'!$B$9,Paramètres!$A$1:$I$89,5,0)</f>
        <v>42.729311070901993</v>
      </c>
      <c r="P17" s="14">
        <f t="shared" si="33"/>
        <v>12.719248779298491</v>
      </c>
      <c r="Q17" s="22">
        <f t="shared" si="2"/>
        <v>96.57290840576583</v>
      </c>
      <c r="R17" s="62">
        <f t="shared" si="0"/>
        <v>307.2125200986996</v>
      </c>
      <c r="S17" s="62">
        <f ca="1">AVERAGE(OFFSET($R$3,0,0,'Données projet'!$E$9+1,1))-AVERAGE(OFFSET($H$3,0,0,'Données projet'!$E$9+1,1))</f>
        <v>71.173545323577173</v>
      </c>
      <c r="T17" s="62">
        <f t="shared" si="34"/>
        <v>348.38731536853368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52.780500158678905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1.2</v>
      </c>
      <c r="AI17" s="14">
        <f>IF('Données projet'!$A$62&gt;35,AI16+AH17-AQ16,IF(A17&lt;'Données projet'!$A$62,$AF$205^A17,IF(A17='Données projet'!$A$62,'Données projet'!$B$62,AI16+AH17-AQ16)))</f>
        <v>6.7171941741218459</v>
      </c>
      <c r="AJ17" s="14">
        <f>AI17*VLOOKUP('Données projet'!$B$10,Paramètres!$A$1:$I$89,3,0)*VLOOKUP('Données projet'!$B$10,Paramètres!$A$1:$I$89,5,0)</f>
        <v>7.0208113507921537</v>
      </c>
      <c r="AK17" s="14">
        <f t="shared" si="35"/>
        <v>2.5788132111530211</v>
      </c>
      <c r="AL17" s="22">
        <f t="shared" si="4"/>
        <v>16.719346112054513</v>
      </c>
      <c r="AM17" s="62">
        <f t="shared" si="5"/>
        <v>227.35895780498828</v>
      </c>
      <c r="AN17" s="62">
        <f ca="1">AVERAGE(OFFSET($AM$3,0,0,'Données projet'!$E$10+1,1))-AVERAGE(OFFSET($H$3,0,0,'Données projet'!$E$10+1,1))</f>
        <v>349.85922977910184</v>
      </c>
      <c r="AO17" s="62">
        <f t="shared" si="36"/>
        <v>180.11084167023813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52.780500158678905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52.780500158678905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52.780500158678905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52.780500158678905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52.780500158678905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52.780500158678905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52.780500158678905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52.780500158678905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4.4000000000000004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16.133333333333336</v>
      </c>
      <c r="H18" s="70">
        <f t="shared" si="1"/>
        <v>192.13333333333333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53.079219983891448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14.166666666666666</v>
      </c>
      <c r="N18" s="14">
        <f>IF('Données projet'!$A$36&gt;35,N17+M18-V17,IF(A18&lt;'Données projet'!$A$36,$K$205^A18,IF(A18='Données projet'!$A$36,'Données projet'!$B$36,N17+M18-V17)))</f>
        <v>101.26285095706618</v>
      </c>
      <c r="O18" s="14">
        <f>N18*VLOOKUP('Données projet'!$B$9,Paramètres!$A$1:$I$89,3,0)*VLOOKUP('Données projet'!$B$9,Paramètres!$A$1:$I$89,5,0)</f>
        <v>58.132977477432554</v>
      </c>
      <c r="P18" s="14">
        <f t="shared" si="33"/>
        <v>16.695362202178252</v>
      </c>
      <c r="Q18" s="22">
        <f t="shared" si="2"/>
        <v>130.32602494198883</v>
      </c>
      <c r="R18" s="62">
        <f t="shared" si="0"/>
        <v>343.28316488292415</v>
      </c>
      <c r="S18" s="62">
        <f ca="1">AVERAGE(OFFSET($R$3,0,0,'Données projet'!$E$9+1,1))-AVERAGE(OFFSET($H$3,0,0,'Données projet'!$E$9+1,1))</f>
        <v>71.173545323577173</v>
      </c>
      <c r="T18" s="62">
        <f t="shared" si="34"/>
        <v>348.38731536853368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53.079219983891448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1.2</v>
      </c>
      <c r="AI18" s="14">
        <f>IF('Données projet'!$A$62&gt;35,AI17+AH18-AQ17,IF(A18&lt;'Données projet'!$A$62,$AF$205^A18,IF(A18='Données projet'!$A$62,'Données projet'!$B$62,AI17+AH18-AQ17)))</f>
        <v>7.6961363407260848</v>
      </c>
      <c r="AJ18" s="14">
        <f>AI18*VLOOKUP('Données projet'!$B$10,Paramètres!$A$1:$I$89,3,0)*VLOOKUP('Données projet'!$B$10,Paramètres!$A$1:$I$89,5,0)</f>
        <v>8.044001703326904</v>
      </c>
      <c r="AK18" s="14">
        <f t="shared" si="35"/>
        <v>2.9082200218223746</v>
      </c>
      <c r="AL18" s="22">
        <f t="shared" si="4"/>
        <v>19.075119504634994</v>
      </c>
      <c r="AM18" s="62">
        <f t="shared" si="5"/>
        <v>232.0322594455703</v>
      </c>
      <c r="AN18" s="62">
        <f ca="1">AVERAGE(OFFSET($AM$3,0,0,'Données projet'!$E$10+1,1))-AVERAGE(OFFSET($H$3,0,0,'Données projet'!$E$10+1,1))</f>
        <v>349.85922977910184</v>
      </c>
      <c r="AO18" s="62">
        <f t="shared" si="36"/>
        <v>180.11084167023813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53.079219983891448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53.079219983891448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53.079219983891448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53.079219983891448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53.079219983891448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53.079219983891448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53.079219983891448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53.079219983891448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4.4000000000000004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16.133333333333336</v>
      </c>
      <c r="H19" s="70">
        <f t="shared" si="1"/>
        <v>192.13333333333333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53.372757687974037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14.166666666666666</v>
      </c>
      <c r="N19" s="14">
        <f>IF('Données projet'!$A$36&gt;35,N18+M19-V18,IF(A19&lt;'Données projet'!$A$36,$K$205^A19,IF(A19='Données projet'!$A$36,'Données projet'!$B$36,N18+M19-V18)))</f>
        <v>137.76751570414388</v>
      </c>
      <c r="O19" s="14">
        <f>N19*VLOOKUP('Données projet'!$B$9,Paramètres!$A$1:$I$89,3,0)*VLOOKUP('Données projet'!$B$9,Paramètres!$A$1:$I$89,5,0)</f>
        <v>79.089575415434922</v>
      </c>
      <c r="P19" s="14">
        <f t="shared" si="33"/>
        <v>21.914432518655047</v>
      </c>
      <c r="Q19" s="22">
        <f t="shared" si="2"/>
        <v>175.91531381854006</v>
      </c>
      <c r="R19" s="62">
        <f t="shared" si="0"/>
        <v>391.17098089666706</v>
      </c>
      <c r="S19" s="62">
        <f ca="1">AVERAGE(OFFSET($R$3,0,0,'Données projet'!$E$9+1,1))-AVERAGE(OFFSET($H$3,0,0,'Données projet'!$E$9+1,1))</f>
        <v>71.173545323577173</v>
      </c>
      <c r="T19" s="62">
        <f t="shared" si="34"/>
        <v>348.38731536853368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53.372757687974037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1.2</v>
      </c>
      <c r="AI19" s="14">
        <f>IF('Données projet'!$A$62&gt;35,AI18+AH19-AQ18,IF(A19&lt;'Données projet'!$A$62,$AF$205^A19,IF(A19='Données projet'!$A$62,'Données projet'!$B$62,AI18+AH19-AQ18)))</f>
        <v>8.8177463744060987</v>
      </c>
      <c r="AJ19" s="14">
        <f>AI19*VLOOKUP('Données projet'!$B$10,Paramètres!$A$1:$I$89,3,0)*VLOOKUP('Données projet'!$B$10,Paramètres!$A$1:$I$89,5,0)</f>
        <v>9.2163085105292541</v>
      </c>
      <c r="AK19" s="14">
        <f t="shared" si="35"/>
        <v>3.2797038803547029</v>
      </c>
      <c r="AL19" s="22">
        <f t="shared" si="4"/>
        <v>21.763888247456226</v>
      </c>
      <c r="AM19" s="62">
        <f t="shared" si="5"/>
        <v>237.01955532558324</v>
      </c>
      <c r="AN19" s="62">
        <f ca="1">AVERAGE(OFFSET($AM$3,0,0,'Données projet'!$E$10+1,1))-AVERAGE(OFFSET($H$3,0,0,'Données projet'!$E$10+1,1))</f>
        <v>349.85922977910184</v>
      </c>
      <c r="AO19" s="62">
        <f t="shared" si="36"/>
        <v>180.11084167023813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53.372757687974037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53.372757687974037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53.372757687974037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53.372757687974037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53.372757687974037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53.372757687974037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53.372757687974037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53.372757687974037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4.4000000000000004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16.133333333333336</v>
      </c>
      <c r="H20" s="70">
        <f t="shared" si="1"/>
        <v>192.13333333333333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53.661203169142787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14.166666666666666</v>
      </c>
      <c r="N20" s="14">
        <f>IF('Données projet'!$A$36&gt;35,N19+M20-V19,IF(A20&lt;'Données projet'!$A$36,$K$205^A20,IF(A20='Données projet'!$A$36,'Données projet'!$B$36,N19+M20-V19)))</f>
        <v>187.4318983112444</v>
      </c>
      <c r="O20" s="14">
        <f>N20*VLOOKUP('Données projet'!$B$9,Paramètres!$A$1:$I$89,3,0)*VLOOKUP('Données projet'!$B$9,Paramètres!$A$1:$I$89,5,0)</f>
        <v>107.60090418251917</v>
      </c>
      <c r="P20" s="14">
        <f t="shared" si="33"/>
        <v>28.765015505445483</v>
      </c>
      <c r="Q20" s="22">
        <f t="shared" si="2"/>
        <v>237.50397678987176</v>
      </c>
      <c r="R20" s="62">
        <f t="shared" si="0"/>
        <v>455.03949952117307</v>
      </c>
      <c r="S20" s="62">
        <f ca="1">AVERAGE(OFFSET($R$3,0,0,'Données projet'!$E$9+1,1))-AVERAGE(OFFSET($H$3,0,0,'Données projet'!$E$9+1,1))</f>
        <v>71.173545323577173</v>
      </c>
      <c r="T20" s="62">
        <f t="shared" si="34"/>
        <v>348.38731536853368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53.661203169142787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1.2</v>
      </c>
      <c r="AI20" s="14">
        <f>IF('Données projet'!$A$62&gt;35,AI19+AH20-AQ19,IF(A20&lt;'Données projet'!$A$62,$AF$205^A20,IF(A20='Données projet'!$A$62,'Données projet'!$B$62,AI19+AH20-AQ19)))</f>
        <v>10.102816228956828</v>
      </c>
      <c r="AJ20" s="14">
        <f>AI20*VLOOKUP('Données projet'!$B$10,Paramètres!$A$1:$I$89,3,0)*VLOOKUP('Données projet'!$B$10,Paramètres!$A$1:$I$89,5,0)</f>
        <v>10.559463522505677</v>
      </c>
      <c r="AK20" s="14">
        <f t="shared" si="35"/>
        <v>3.6986395328072152</v>
      </c>
      <c r="AL20" s="22">
        <f t="shared" si="4"/>
        <v>24.832862821336619</v>
      </c>
      <c r="AM20" s="62">
        <f t="shared" si="5"/>
        <v>242.36838555263793</v>
      </c>
      <c r="AN20" s="62">
        <f ca="1">AVERAGE(OFFSET($AM$3,0,0,'Données projet'!$E$10+1,1))-AVERAGE(OFFSET($H$3,0,0,'Données projet'!$E$10+1,1))</f>
        <v>349.85922977910184</v>
      </c>
      <c r="AO20" s="62">
        <f t="shared" si="36"/>
        <v>180.11084167023813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53.661203169142787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53.661203169142787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53.661203169142787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53.661203169142787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53.661203169142787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53.661203169142787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53.661203169142787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53.661203169142787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4.4000000000000004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16.133333333333336</v>
      </c>
      <c r="H21" s="70">
        <f t="shared" si="1"/>
        <v>192.13333333333333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53.944644766080749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255</v>
      </c>
      <c r="L21" s="13">
        <f>VLOOKUP(A21,'Données projet'!$A$35:$I$55,9,0)</f>
        <v>14.166666666666666</v>
      </c>
      <c r="M21" s="13">
        <f t="array" ref="M21">INDEX(L:L,MIN(IF(ISNUMBER(L21:L217),ROW(L21:L217),"")))</f>
        <v>14.166666666666666</v>
      </c>
      <c r="N21" s="14">
        <f>IF('Données projet'!$A$36&gt;35,N20+M21-V20,IF(A21&lt;'Données projet'!$A$36,$K$205^A21,IF(A21='Données projet'!$A$36,'Données projet'!$B$36,N20+M21-V20)))</f>
        <v>255</v>
      </c>
      <c r="O21" s="14">
        <f>N21*VLOOKUP('Données projet'!$B$9,Paramètres!$A$1:$I$89,3,0)*VLOOKUP('Données projet'!$B$9,Paramètres!$A$1:$I$89,5,0)</f>
        <v>146.3904</v>
      </c>
      <c r="P21" s="14">
        <f t="shared" si="33"/>
        <v>37.757131804538304</v>
      </c>
      <c r="Q21" s="22">
        <f t="shared" si="2"/>
        <v>320.7236178929042</v>
      </c>
      <c r="R21" s="62">
        <f t="shared" si="0"/>
        <v>540.520648701867</v>
      </c>
      <c r="S21" s="62">
        <f ca="1">AVERAGE(OFFSET($R$3,0,0,'Données projet'!$E$9+1,1))-AVERAGE(OFFSET($H$3,0,0,'Données projet'!$E$9+1,1))</f>
        <v>71.173545323577173</v>
      </c>
      <c r="T21" s="62">
        <f t="shared" si="34"/>
        <v>348.38731536853368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255</v>
      </c>
      <c r="W21" s="17">
        <f>IF(ISNA(VLOOKUP(A21,'Données projet'!$A$35:$I$55,5,0)),0%,VLOOKUP(A21,'Données projet'!$A$35:$I$55,5,0)*VLOOKUP('Données projet'!$B$9,Paramètres!$A$1:$I$89,7,0))</f>
        <v>0.46199999999999997</v>
      </c>
      <c r="X21" s="17">
        <f>IF(ISNA(VLOOKUP(A21,'Données projet'!$A$35:$I$55,6,0)),0%,VLOOKUP(A21,'Données projet'!$A$35:$I$55,6,0)*VLOOKUP('Données projet'!$B$9,Paramètres!$A$1:$I$89,7,0))</f>
        <v>0.126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74.765575984166915</v>
      </c>
      <c r="AA21" s="23">
        <f>EXP(-LN(2)/25)*AA20+(1-EXP(-LN(2)/25))/(LN(2)/25)*Calculateur!V21*Calculateur!X21*VLOOKUP('Données projet'!$B$9,Paramètres!$A$1:$I$89,3,0)*0.475*44/12</f>
        <v>20.310326024618025</v>
      </c>
      <c r="AB21" s="23">
        <f>EXP(-LN(2)/2)*AB20+(1-EXP(-LN(2)/2))/(LN(2)/2)*V21*Y21*VLOOKUP('Données projet'!$B$9,Paramètres!$A$1:$I$89,3,0)*0.475*44/12</f>
        <v>0</v>
      </c>
      <c r="AC21" s="24">
        <f t="shared" si="3"/>
        <v>95.075902008784936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53.944644766080749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1.2</v>
      </c>
      <c r="AI21" s="14">
        <f>IF('Données projet'!$A$62&gt;35,AI20+AH21-AQ20,IF(A21&lt;'Données projet'!$A$62,$AF$205^A21,IF(A21='Données projet'!$A$62,'Données projet'!$B$62,AI20+AH21-AQ20)))</f>
        <v>11.575168010312384</v>
      </c>
      <c r="AJ21" s="14">
        <f>AI21*VLOOKUP('Données projet'!$B$10,Paramètres!$A$1:$I$89,3,0)*VLOOKUP('Données projet'!$B$10,Paramètres!$A$1:$I$89,5,0)</f>
        <v>12.098365604378504</v>
      </c>
      <c r="AK21" s="14">
        <f t="shared" si="35"/>
        <v>4.1710882728122609</v>
      </c>
      <c r="AL21" s="22">
        <f t="shared" si="4"/>
        <v>28.335965502773913</v>
      </c>
      <c r="AM21" s="62">
        <f t="shared" si="5"/>
        <v>248.13299631173666</v>
      </c>
      <c r="AN21" s="62">
        <f ca="1">AVERAGE(OFFSET($AM$3,0,0,'Données projet'!$E$10+1,1))-AVERAGE(OFFSET($H$3,0,0,'Données projet'!$E$10+1,1))</f>
        <v>349.85922977910184</v>
      </c>
      <c r="AO21" s="62">
        <f t="shared" si="36"/>
        <v>180.11084167023813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53.944644766080749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53.944644766080749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53.944644766080749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53.944644766080749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53.944644766080749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53.944644766080749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53.944644766080749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53.944644766080749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4.4000000000000004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16.133333333333336</v>
      </c>
      <c r="H22" s="70">
        <f t="shared" si="1"/>
        <v>192.13333333333333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54.223169284992316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71.173545323577173</v>
      </c>
      <c r="T22" s="62">
        <f t="shared" si="34"/>
        <v>348.38731536853368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73.299468641615874</v>
      </c>
      <c r="AA22" s="23">
        <f>EXP(-LN(2)/25)*AA21+(1-EXP(-LN(2)/25))/(LN(2)/25)*Calculateur!V22*Calculateur!X22*VLOOKUP('Données projet'!$B$9,Paramètres!$A$1:$I$89,3,0)*0.475*44/12</f>
        <v>19.754939091401219</v>
      </c>
      <c r="AB22" s="23">
        <f>EXP(-LN(2)/2)*AB21+(1-EXP(-LN(2)/2))/(LN(2)/2)*V22*Y22*VLOOKUP('Données projet'!$B$9,Paramètres!$A$1:$I$89,3,0)*0.475*44/12</f>
        <v>0</v>
      </c>
      <c r="AC22" s="24">
        <f t="shared" si="3"/>
        <v>93.054407733017086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54.223169284992316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1.2</v>
      </c>
      <c r="AI22" s="14">
        <f>IF('Données projet'!$A$62&gt;35,AI21+AH22-AQ21,IF(A22&lt;'Données projet'!$A$62,$AF$205^A22,IF(A22='Données projet'!$A$62,'Données projet'!$B$62,AI21+AH22-AQ21)))</f>
        <v>13.262095581124292</v>
      </c>
      <c r="AJ22" s="14">
        <f>AI22*VLOOKUP('Données projet'!$B$10,Paramètres!$A$1:$I$89,3,0)*VLOOKUP('Données projet'!$B$10,Paramètres!$A$1:$I$89,5,0)</f>
        <v>13.861542301391113</v>
      </c>
      <c r="AK22" s="14">
        <f t="shared" si="35"/>
        <v>4.7038856382922933</v>
      </c>
      <c r="AL22" s="22">
        <f t="shared" si="4"/>
        <v>32.334786994948594</v>
      </c>
      <c r="AM22" s="62">
        <f t="shared" si="5"/>
        <v>254.37529659547596</v>
      </c>
      <c r="AN22" s="62">
        <f ca="1">AVERAGE(OFFSET($AM$3,0,0,'Données projet'!$E$10+1,1))-AVERAGE(OFFSET($H$3,0,0,'Données projet'!$E$10+1,1))</f>
        <v>349.85922977910184</v>
      </c>
      <c r="AO22" s="62">
        <f t="shared" si="36"/>
        <v>180.11084167023813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54.223169284992316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54.223169284992316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54.223169284992316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54.223169284992316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54.223169284992316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54.223169284992316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54.223169284992316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54.223169284992316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4.4000000000000004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16.133333333333336</v>
      </c>
      <c r="H23" s="70">
        <f t="shared" si="1"/>
        <v>192.13333333333333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54.496862026188303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71.173545323577173</v>
      </c>
      <c r="T23" s="62">
        <f t="shared" si="34"/>
        <v>348.38731536853368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71.862110769815089</v>
      </c>
      <c r="AA23" s="23">
        <f>EXP(-LN(2)/25)*AA22+(1-EXP(-LN(2)/25))/(LN(2)/25)*Calculateur!V23*Calculateur!X23*VLOOKUP('Données projet'!$B$9,Paramètres!$A$1:$I$89,3,0)*0.475*44/12</f>
        <v>19.214739243079755</v>
      </c>
      <c r="AB23" s="23">
        <f>EXP(-LN(2)/2)*AB22+(1-EXP(-LN(2)/2))/(LN(2)/2)*V23*Y23*VLOOKUP('Données projet'!$B$9,Paramètres!$A$1:$I$89,3,0)*0.475*44/12</f>
        <v>0</v>
      </c>
      <c r="AC23" s="24">
        <f t="shared" si="3"/>
        <v>91.076850012894852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54.496862026188303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1.2</v>
      </c>
      <c r="AI23" s="14">
        <f>IF('Données projet'!$A$62&gt;35,AI22+AH23-AQ22,IF(A23&lt;'Données projet'!$A$62,$AF$205^A23,IF(A23='Données projet'!$A$62,'Données projet'!$B$62,AI22+AH23-AQ22)))</f>
        <v>15.194870523363559</v>
      </c>
      <c r="AJ23" s="14">
        <f>AI23*VLOOKUP('Données projet'!$B$10,Paramètres!$A$1:$I$89,3,0)*VLOOKUP('Données projet'!$B$10,Paramètres!$A$1:$I$89,5,0)</f>
        <v>15.881678671019593</v>
      </c>
      <c r="AK23" s="14">
        <f t="shared" si="35"/>
        <v>5.3047403101862871</v>
      </c>
      <c r="AL23" s="22">
        <f t="shared" si="4"/>
        <v>36.899679725600237</v>
      </c>
      <c r="AM23" s="62">
        <f t="shared" si="5"/>
        <v>261.16595159940175</v>
      </c>
      <c r="AN23" s="62">
        <f ca="1">AVERAGE(OFFSET($AM$3,0,0,'Données projet'!$E$10+1,1))-AVERAGE(OFFSET($H$3,0,0,'Données projet'!$E$10+1,1))</f>
        <v>349.85922977910184</v>
      </c>
      <c r="AO23" s="62">
        <f t="shared" si="36"/>
        <v>180.11084167023813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54.496862026188303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54.496862026188303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54.496862026188303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54.496862026188303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54.496862026188303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54.496862026188303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54.496862026188303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54.496862026188303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4.4000000000000004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16.133333333333336</v>
      </c>
      <c r="H24" s="70">
        <f t="shared" si="1"/>
        <v>192.13333333333333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54.765806810209845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71.173545323577173</v>
      </c>
      <c r="T24" s="62">
        <f t="shared" si="34"/>
        <v>348.38731536853368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70.452938609178574</v>
      </c>
      <c r="AA24" s="23">
        <f>EXP(-LN(2)/25)*AA23+(1-EXP(-LN(2)/25))/(LN(2)/25)*Calculateur!V24*Calculateur!X24*VLOOKUP('Données projet'!$B$9,Paramètres!$A$1:$I$89,3,0)*0.475*44/12</f>
        <v>18.689311188018518</v>
      </c>
      <c r="AB24" s="23">
        <f>EXP(-LN(2)/2)*AB23+(1-EXP(-LN(2)/2))/(LN(2)/2)*V24*Y24*VLOOKUP('Données projet'!$B$9,Paramètres!$A$1:$I$89,3,0)*0.475*44/12</f>
        <v>0</v>
      </c>
      <c r="AC24" s="24">
        <f t="shared" si="3"/>
        <v>89.142249797197096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54.765806810209845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1.2</v>
      </c>
      <c r="AI24" s="14">
        <f>IF('Données projet'!$A$62&gt;35,AI23+AH24-AQ23,IF(A24&lt;'Données projet'!$A$62,$AF$205^A24,IF(A24='Données projet'!$A$62,'Données projet'!$B$62,AI23+AH24-AQ23)))</f>
        <v>17.409321838276906</v>
      </c>
      <c r="AJ24" s="14">
        <f>AI24*VLOOKUP('Données projet'!$B$10,Paramètres!$A$1:$I$89,3,0)*VLOOKUP('Données projet'!$B$10,Paramètres!$A$1:$I$89,5,0)</f>
        <v>18.196223185367025</v>
      </c>
      <c r="AK24" s="14">
        <f t="shared" si="35"/>
        <v>5.9823456440857257</v>
      </c>
      <c r="AL24" s="22">
        <f t="shared" si="4"/>
        <v>42.111007377963539</v>
      </c>
      <c r="AM24" s="62">
        <f t="shared" si="5"/>
        <v>268.58563234873299</v>
      </c>
      <c r="AN24" s="62">
        <f ca="1">AVERAGE(OFFSET($AM$3,0,0,'Données projet'!$E$10+1,1))-AVERAGE(OFFSET($H$3,0,0,'Données projet'!$E$10+1,1))</f>
        <v>349.85922977910184</v>
      </c>
      <c r="AO24" s="62">
        <f t="shared" si="36"/>
        <v>180.11084167023813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54.765806810209845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54.765806810209845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54.765806810209845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54.765806810209845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54.765806810209845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54.765806810209845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54.765806810209845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54.765806810209845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4.4000000000000004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16.133333333333336</v>
      </c>
      <c r="H25" s="70">
        <f t="shared" si="1"/>
        <v>192.13333333333333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55.030086003499072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71.173545323577173</v>
      </c>
      <c r="T25" s="62">
        <f t="shared" si="34"/>
        <v>348.38731536853368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69.071399455101997</v>
      </c>
      <c r="AA25" s="23">
        <f>EXP(-LN(2)/25)*AA24+(1-EXP(-LN(2)/25))/(LN(2)/25)*Calculateur!V25*Calculateur!X25*VLOOKUP('Données projet'!$B$9,Paramètres!$A$1:$I$89,3,0)*0.475*44/12</f>
        <v>18.178250990753991</v>
      </c>
      <c r="AB25" s="23">
        <f>EXP(-LN(2)/2)*AB24+(1-EXP(-LN(2)/2))/(LN(2)/2)*V25*Y25*VLOOKUP('Données projet'!$B$9,Paramètres!$A$1:$I$89,3,0)*0.475*44/12</f>
        <v>0</v>
      </c>
      <c r="AC25" s="24">
        <f t="shared" si="3"/>
        <v>87.249650445855991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55.030086003499072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1.2</v>
      </c>
      <c r="AI25" s="14">
        <f>IF('Données projet'!$A$62&gt;35,AI24+AH25-AQ24,IF(A25&lt;'Données projet'!$A$62,$AF$205^A25,IF(A25='Données projet'!$A$62,'Données projet'!$B$62,AI24+AH25-AQ24)))</f>
        <v>19.946500129940819</v>
      </c>
      <c r="AJ25" s="14">
        <f>AI25*VLOOKUP('Données projet'!$B$10,Paramètres!$A$1:$I$89,3,0)*VLOOKUP('Données projet'!$B$10,Paramètres!$A$1:$I$89,5,0)</f>
        <v>20.848081935814147</v>
      </c>
      <c r="AK25" s="14">
        <f t="shared" si="35"/>
        <v>6.7465054484551477</v>
      </c>
      <c r="AL25" s="22">
        <f t="shared" si="4"/>
        <v>48.060573027602352</v>
      </c>
      <c r="AM25" s="62">
        <f t="shared" si="5"/>
        <v>276.72644392932119</v>
      </c>
      <c r="AN25" s="62">
        <f ca="1">AVERAGE(OFFSET($AM$3,0,0,'Données projet'!$E$10+1,1))-AVERAGE(OFFSET($H$3,0,0,'Données projet'!$E$10+1,1))</f>
        <v>349.85922977910184</v>
      </c>
      <c r="AO25" s="62">
        <f t="shared" si="36"/>
        <v>180.11084167023813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55.030086003499072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55.030086003499072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55.030086003499072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55.030086003499072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55.030086003499072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55.030086003499072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55.030086003499072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55.030086003499072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4.4000000000000004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16.133333333333336</v>
      </c>
      <c r="H26" s="70">
        <f t="shared" si="1"/>
        <v>192.13333333333333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55.289780543624495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71.173545323577173</v>
      </c>
      <c r="T26" s="62">
        <f t="shared" si="34"/>
        <v>348.38731536853368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67.71695144118118</v>
      </c>
      <c r="AA26" s="23">
        <f>EXP(-LN(2)/25)*AA25+(1-EXP(-LN(2)/25))/(LN(2)/25)*Calculateur!V26*Calculateur!X26*VLOOKUP('Données projet'!$B$9,Paramètres!$A$1:$I$89,3,0)*0.475*44/12</f>
        <v>17.681165761459152</v>
      </c>
      <c r="AB26" s="23">
        <f>EXP(-LN(2)/2)*AB25+(1-EXP(-LN(2)/2))/(LN(2)/2)*V26*Y26*VLOOKUP('Données projet'!$B$9,Paramètres!$A$1:$I$89,3,0)*0.475*44/12</f>
        <v>0</v>
      </c>
      <c r="AC26" s="24">
        <f t="shared" si="3"/>
        <v>85.398117202640336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55.289780543624495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1.2</v>
      </c>
      <c r="AI26" s="14">
        <f>IF('Données projet'!$A$62&gt;35,AI25+AH26-AQ25,IF(A26&lt;'Données projet'!$A$62,$AF$205^A26,IF(A26='Données projet'!$A$62,'Données projet'!$B$62,AI25+AH26-AQ25)))</f>
        <v>22.853438584779923</v>
      </c>
      <c r="AJ26" s="14">
        <f>AI26*VLOOKUP('Données projet'!$B$10,Paramètres!$A$1:$I$89,3,0)*VLOOKUP('Données projet'!$B$10,Paramètres!$A$1:$I$89,5,0)</f>
        <v>23.886414008811979</v>
      </c>
      <c r="AK26" s="14">
        <f t="shared" si="35"/>
        <v>7.6082758292363835</v>
      </c>
      <c r="AL26" s="22">
        <f t="shared" si="4"/>
        <v>54.853251467934228</v>
      </c>
      <c r="AM26" s="62">
        <f t="shared" si="5"/>
        <v>285.69355790566851</v>
      </c>
      <c r="AN26" s="62">
        <f ca="1">AVERAGE(OFFSET($AM$3,0,0,'Données projet'!$E$10+1,1))-AVERAGE(OFFSET($H$3,0,0,'Données projet'!$E$10+1,1))</f>
        <v>349.85922977910184</v>
      </c>
      <c r="AO26" s="62">
        <f t="shared" si="36"/>
        <v>180.11084167023813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55.289780543624495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55.289780543624495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55.289780543624495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55.289780543624495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55.289780543624495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55.289780543624495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55.289780543624495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55.289780543624495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4.4000000000000004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16.133333333333336</v>
      </c>
      <c r="H27" s="70">
        <f t="shared" si="1"/>
        <v>192.13333333333333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55.544969964068748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71.173545323577173</v>
      </c>
      <c r="T27" s="62">
        <f t="shared" si="34"/>
        <v>348.38731536853368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66.389063326681637</v>
      </c>
      <c r="AA27" s="23">
        <f>EXP(-LN(2)/25)*AA26+(1-EXP(-LN(2)/25))/(LN(2)/25)*Calculateur!V27*Calculateur!X27*VLOOKUP('Données projet'!$B$9,Paramètres!$A$1:$I$89,3,0)*0.475*44/12</f>
        <v>17.197673353899955</v>
      </c>
      <c r="AB27" s="23">
        <f>EXP(-LN(2)/2)*AB26+(1-EXP(-LN(2)/2))/(LN(2)/2)*V27*Y27*VLOOKUP('Données projet'!$B$9,Paramètres!$A$1:$I$89,3,0)*0.475*44/12</f>
        <v>0</v>
      </c>
      <c r="AC27" s="24">
        <f t="shared" si="3"/>
        <v>83.586736680581595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55.544969964068748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1.2</v>
      </c>
      <c r="AI27" s="14">
        <f>IF('Données projet'!$A$62&gt;35,AI26+AH27-AQ26,IF(A27&lt;'Données projet'!$A$62,$AF$205^A27,IF(A27='Données projet'!$A$62,'Données projet'!$B$62,AI26+AH27-AQ26)))</f>
        <v>26.184024853780567</v>
      </c>
      <c r="AJ27" s="14">
        <f>AI27*VLOOKUP('Données projet'!$B$10,Paramètres!$A$1:$I$89,3,0)*VLOOKUP('Données projet'!$B$10,Paramètres!$A$1:$I$89,5,0)</f>
        <v>27.367542777171455</v>
      </c>
      <c r="AK27" s="14">
        <f t="shared" si="35"/>
        <v>8.5801251530890958</v>
      </c>
      <c r="AL27" s="22">
        <f t="shared" si="4"/>
        <v>62.608854978537124</v>
      </c>
      <c r="AM27" s="62">
        <f t="shared" si="5"/>
        <v>295.60707818012258</v>
      </c>
      <c r="AN27" s="62">
        <f ca="1">AVERAGE(OFFSET($AM$3,0,0,'Données projet'!$E$10+1,1))-AVERAGE(OFFSET($H$3,0,0,'Données projet'!$E$10+1,1))</f>
        <v>349.85922977910184</v>
      </c>
      <c r="AO27" s="62">
        <f t="shared" si="36"/>
        <v>180.11084167023813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55.544969964068748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55.544969964068748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55.544969964068748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55.544969964068748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55.544969964068748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55.544969964068748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55.544969964068748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55.544969964068748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4.4000000000000004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16.133333333333336</v>
      </c>
      <c r="H28" s="70">
        <f t="shared" si="1"/>
        <v>192.13333333333333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55.795732418586368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71.173545323577173</v>
      </c>
      <c r="T28" s="62">
        <f t="shared" si="34"/>
        <v>348.38731536853368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65.087214288175659</v>
      </c>
      <c r="AA28" s="23">
        <f>EXP(-LN(2)/25)*AA27+(1-EXP(-LN(2)/25))/(LN(2)/25)*Calculateur!V28*Calculateur!X28*VLOOKUP('Données projet'!$B$9,Paramètres!$A$1:$I$89,3,0)*0.475*44/12</f>
        <v>16.727402071651223</v>
      </c>
      <c r="AB28" s="23">
        <f>EXP(-LN(2)/2)*AB27+(1-EXP(-LN(2)/2))/(LN(2)/2)*V28*Y28*VLOOKUP('Données projet'!$B$9,Paramètres!$A$1:$I$89,3,0)*0.475*44/12</f>
        <v>0</v>
      </c>
      <c r="AC28" s="24">
        <f t="shared" si="3"/>
        <v>81.814616359826886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55.795732418586368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30</v>
      </c>
      <c r="AG28" s="13">
        <f>VLOOKUP(A28,'Données projet'!$A$61:$I$81,9,0)</f>
        <v>1.2</v>
      </c>
      <c r="AH28" s="13">
        <f t="array" ref="AH28">INDEX(AG:AG,MIN(IF(ISNUMBER(AG28:AG224),ROW(AG28:AG224),"")))</f>
        <v>1.2</v>
      </c>
      <c r="AI28" s="14">
        <f>IF('Données projet'!$A$62&gt;35,AI27+AH28-AQ27,IF(A28&lt;'Données projet'!$A$62,$AF$205^A28,IF(A28='Données projet'!$A$62,'Données projet'!$B$62,AI27+AH28-AQ27)))</f>
        <v>30</v>
      </c>
      <c r="AJ28" s="14">
        <f>AI28*VLOOKUP('Données projet'!$B$10,Paramètres!$A$1:$I$89,3,0)*VLOOKUP('Données projet'!$B$10,Paramètres!$A$1:$I$89,5,0)</f>
        <v>31.356000000000002</v>
      </c>
      <c r="AK28" s="14">
        <f t="shared" si="35"/>
        <v>9.6761144436663891</v>
      </c>
      <c r="AL28" s="22">
        <f t="shared" si="4"/>
        <v>71.464265989385623</v>
      </c>
      <c r="AM28" s="62">
        <f t="shared" si="5"/>
        <v>306.60417374642452</v>
      </c>
      <c r="AN28" s="62">
        <f ca="1">AVERAGE(OFFSET($AM$3,0,0,'Données projet'!$E$10+1,1))-AVERAGE(OFFSET($H$3,0,0,'Données projet'!$E$10+1,1))</f>
        <v>349.85922977910184</v>
      </c>
      <c r="AO28" s="62">
        <f t="shared" si="36"/>
        <v>180.11084167023813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55.795732418586368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55.795732418586368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55.795732418586368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55.795732418586368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55.795732418586368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55.795732418586368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55.795732418586368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55.795732418586368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4.4000000000000004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16.133333333333336</v>
      </c>
      <c r="H29" s="70">
        <f t="shared" si="1"/>
        <v>192.13333333333333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56.04214470513898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71.173545323577173</v>
      </c>
      <c r="T29" s="62">
        <f t="shared" si="34"/>
        <v>348.38731536853368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63.810893715265273</v>
      </c>
      <c r="AA29" s="23">
        <f>EXP(-LN(2)/25)*AA28+(1-EXP(-LN(2)/25))/(LN(2)/25)*Calculateur!V29*Calculateur!X29*VLOOKUP('Données projet'!$B$9,Paramètres!$A$1:$I$89,3,0)*0.475*44/12</f>
        <v>16.269990382346077</v>
      </c>
      <c r="AB29" s="23">
        <f>EXP(-LN(2)/2)*AB28+(1-EXP(-LN(2)/2))/(LN(2)/2)*V29*Y29*VLOOKUP('Données projet'!$B$9,Paramètres!$A$1:$I$89,3,0)*0.475*44/12</f>
        <v>0</v>
      </c>
      <c r="AC29" s="24">
        <f t="shared" si="3"/>
        <v>80.080884097611346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56.04214470513898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4.8</v>
      </c>
      <c r="AI29" s="14">
        <f>IF('Données projet'!$A$62&gt;35,AI28+AH29-AQ28,IF(A29&lt;'Données projet'!$A$62,$AF$205^A29,IF(A29='Données projet'!$A$62,'Données projet'!$B$62,AI28+AH29-AQ28)))</f>
        <v>34.799999999999997</v>
      </c>
      <c r="AJ29" s="14">
        <f>AI29*VLOOKUP('Données projet'!$B$10,Paramètres!$A$1:$I$89,3,0)*VLOOKUP('Données projet'!$B$10,Paramètres!$A$1:$I$89,5,0)</f>
        <v>36.372959999999999</v>
      </c>
      <c r="AK29" s="14">
        <f t="shared" si="35"/>
        <v>11.032046293563772</v>
      </c>
      <c r="AL29" s="22">
        <f t="shared" si="4"/>
        <v>82.563719294623567</v>
      </c>
      <c r="AM29" s="62">
        <f t="shared" si="5"/>
        <v>319.8293609912443</v>
      </c>
      <c r="AN29" s="62">
        <f ca="1">AVERAGE(OFFSET($AM$3,0,0,'Données projet'!$E$10+1,1))-AVERAGE(OFFSET($H$3,0,0,'Données projet'!$E$10+1,1))</f>
        <v>349.85922977910184</v>
      </c>
      <c r="AO29" s="62">
        <f t="shared" si="36"/>
        <v>180.11084167023813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56.04214470513898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56.04214470513898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56.04214470513898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56.04214470513898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56.04214470513898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56.04214470513898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56.04214470513898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56.04214470513898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4.4000000000000004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16.133333333333336</v>
      </c>
      <c r="H30" s="70">
        <f t="shared" si="1"/>
        <v>192.13333333333333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56.284282289415238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71.173545323577173</v>
      </c>
      <c r="T30" s="62">
        <f t="shared" si="34"/>
        <v>348.38731536853368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62.559601010310978</v>
      </c>
      <c r="AA30" s="23">
        <f>EXP(-LN(2)/25)*AA29+(1-EXP(-LN(2)/25))/(LN(2)/25)*Calculateur!V30*Calculateur!X30*VLOOKUP('Données projet'!$B$9,Paramètres!$A$1:$I$89,3,0)*0.475*44/12</f>
        <v>15.825086639739215</v>
      </c>
      <c r="AB30" s="23">
        <f>EXP(-LN(2)/2)*AB29+(1-EXP(-LN(2)/2))/(LN(2)/2)*V30*Y30*VLOOKUP('Données projet'!$B$9,Paramètres!$A$1:$I$89,3,0)*0.475*44/12</f>
        <v>0</v>
      </c>
      <c r="AC30" s="24">
        <f t="shared" si="3"/>
        <v>78.384687650050196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56.284282289415238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4.8</v>
      </c>
      <c r="AI30" s="14">
        <f>IF('Données projet'!$A$62&gt;35,AI29+AH30-AQ29,IF(A30&lt;'Données projet'!$A$62,$AF$205^A30,IF(A30='Données projet'!$A$62,'Données projet'!$B$62,AI29+AH30-AQ29)))</f>
        <v>39.599999999999994</v>
      </c>
      <c r="AJ30" s="14">
        <f>AI30*VLOOKUP('Données projet'!$B$10,Paramètres!$A$1:$I$89,3,0)*VLOOKUP('Données projet'!$B$10,Paramètres!$A$1:$I$89,5,0)</f>
        <v>41.389919999999996</v>
      </c>
      <c r="AK30" s="14">
        <f t="shared" si="35"/>
        <v>12.366309791717869</v>
      </c>
      <c r="AL30" s="22">
        <f t="shared" si="4"/>
        <v>93.625433553908593</v>
      </c>
      <c r="AM30" s="62">
        <f t="shared" si="5"/>
        <v>333.0011352817645</v>
      </c>
      <c r="AN30" s="62">
        <f ca="1">AVERAGE(OFFSET($AM$3,0,0,'Données projet'!$E$10+1,1))-AVERAGE(OFFSET($H$3,0,0,'Données projet'!$E$10+1,1))</f>
        <v>349.85922977910184</v>
      </c>
      <c r="AO30" s="62">
        <f t="shared" si="36"/>
        <v>180.11084167023813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56.284282289415238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56.284282289415238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56.284282289415238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56.284282289415238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56.284282289415238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56.284282289415238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56.284282289415238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56.284282289415238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4.4000000000000004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16.133333333333336</v>
      </c>
      <c r="H31" s="70">
        <f t="shared" si="1"/>
        <v>192.13333333333333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56.522219327942842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71.173545323577173</v>
      </c>
      <c r="T31" s="62">
        <f t="shared" si="34"/>
        <v>348.38731536853368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61.332845392087648</v>
      </c>
      <c r="AA31" s="23">
        <f>EXP(-LN(2)/25)*AA30+(1-EXP(-LN(2)/25))/(LN(2)/25)*Calculateur!V31*Calculateur!X31*VLOOKUP('Données projet'!$B$9,Paramètres!$A$1:$I$89,3,0)*0.475*44/12</f>
        <v>15.392348813370409</v>
      </c>
      <c r="AB31" s="23">
        <f>EXP(-LN(2)/2)*AB30+(1-EXP(-LN(2)/2))/(LN(2)/2)*V31*Y31*VLOOKUP('Données projet'!$B$9,Paramètres!$A$1:$I$89,3,0)*0.475*44/12</f>
        <v>0</v>
      </c>
      <c r="AC31" s="24">
        <f t="shared" si="3"/>
        <v>76.725194205458052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56.522219327942842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4.8</v>
      </c>
      <c r="AI31" s="14">
        <f>IF('Données projet'!$A$62&gt;35,AI30+AH31-AQ30,IF(A31&lt;'Données projet'!$A$62,$AF$205^A31,IF(A31='Données projet'!$A$62,'Données projet'!$B$62,AI30+AH31-AQ30)))</f>
        <v>44.399999999999991</v>
      </c>
      <c r="AJ31" s="14">
        <f>AI31*VLOOKUP('Données projet'!$B$10,Paramètres!$A$1:$I$89,3,0)*VLOOKUP('Données projet'!$B$10,Paramètres!$A$1:$I$89,5,0)</f>
        <v>46.406880000000001</v>
      </c>
      <c r="AK31" s="14">
        <f t="shared" si="35"/>
        <v>13.681831831168125</v>
      </c>
      <c r="AL31" s="22">
        <f t="shared" si="4"/>
        <v>104.65450643928448</v>
      </c>
      <c r="AM31" s="62">
        <f t="shared" si="5"/>
        <v>346.12486619729714</v>
      </c>
      <c r="AN31" s="62">
        <f ca="1">AVERAGE(OFFSET($AM$3,0,0,'Données projet'!$E$10+1,1))-AVERAGE(OFFSET($H$3,0,0,'Données projet'!$E$10+1,1))</f>
        <v>349.85922977910184</v>
      </c>
      <c r="AO31" s="62">
        <f t="shared" si="36"/>
        <v>180.11084167023813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56.522219327942842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56.522219327942842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56.522219327942842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56.522219327942842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56.522219327942842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56.522219327942842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56.522219327942842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56.522219327942842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4.4000000000000004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16.133333333333336</v>
      </c>
      <c r="H32" s="70">
        <f t="shared" si="1"/>
        <v>192.13333333333333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56.756028690799532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71.173545323577173</v>
      </c>
      <c r="T32" s="62">
        <f t="shared" si="34"/>
        <v>348.38731536853368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60.13014570329063</v>
      </c>
      <c r="AA32" s="23">
        <f>EXP(-LN(2)/25)*AA31+(1-EXP(-LN(2)/25))/(LN(2)/25)*Calculateur!V32*Calculateur!X32*VLOOKUP('Données projet'!$B$9,Paramètres!$A$1:$I$89,3,0)*0.475*44/12</f>
        <v>14.971444225620351</v>
      </c>
      <c r="AB32" s="23">
        <f>EXP(-LN(2)/2)*AB31+(1-EXP(-LN(2)/2))/(LN(2)/2)*V32*Y32*VLOOKUP('Données projet'!$B$9,Paramètres!$A$1:$I$89,3,0)*0.475*44/12</f>
        <v>0</v>
      </c>
      <c r="AC32" s="24">
        <f t="shared" si="3"/>
        <v>75.101589928910983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56.756028690799532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4.8</v>
      </c>
      <c r="AI32" s="14">
        <f>IF('Données projet'!$A$62&gt;35,AI31+AH32-AQ31,IF(A32&lt;'Données projet'!$A$62,$AF$205^A32,IF(A32='Données projet'!$A$62,'Données projet'!$B$62,AI31+AH32-AQ31)))</f>
        <v>49.199999999999989</v>
      </c>
      <c r="AJ32" s="14">
        <f>AI32*VLOOKUP('Données projet'!$B$10,Paramètres!$A$1:$I$89,3,0)*VLOOKUP('Données projet'!$B$10,Paramètres!$A$1:$I$89,5,0)</f>
        <v>51.423839999999991</v>
      </c>
      <c r="AK32" s="14">
        <f t="shared" si="35"/>
        <v>14.980869486234537</v>
      </c>
      <c r="AL32" s="22">
        <f t="shared" si="4"/>
        <v>115.65486902185846</v>
      </c>
      <c r="AM32" s="62">
        <f t="shared" si="5"/>
        <v>359.20475199923447</v>
      </c>
      <c r="AN32" s="62">
        <f ca="1">AVERAGE(OFFSET($AM$3,0,0,'Données projet'!$E$10+1,1))-AVERAGE(OFFSET($H$3,0,0,'Données projet'!$E$10+1,1))</f>
        <v>349.85922977910184</v>
      </c>
      <c r="AO32" s="62">
        <f t="shared" si="36"/>
        <v>180.11084167023813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56.756028690799532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56.756028690799532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56.756028690799532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56.756028690799532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56.756028690799532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56.756028690799532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56.756028690799532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56.756028690799532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4.4000000000000004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16.133333333333336</v>
      </c>
      <c r="H33" s="70">
        <f t="shared" si="1"/>
        <v>192.13333333333333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56.985781983930067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71.173545323577173</v>
      </c>
      <c r="T33" s="62">
        <f t="shared" si="34"/>
        <v>348.38731536853368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58.951030221816545</v>
      </c>
      <c r="AA33" s="23">
        <f>EXP(-LN(2)/25)*AA32+(1-EXP(-LN(2)/25))/(LN(2)/25)*Calculateur!V33*Calculateur!X33*VLOOKUP('Données projet'!$B$9,Paramètres!$A$1:$I$89,3,0)*0.475*44/12</f>
        <v>14.562049295956728</v>
      </c>
      <c r="AB33" s="23">
        <f>EXP(-LN(2)/2)*AB32+(1-EXP(-LN(2)/2))/(LN(2)/2)*V33*Y33*VLOOKUP('Données projet'!$B$9,Paramètres!$A$1:$I$89,3,0)*0.475*44/12</f>
        <v>0</v>
      </c>
      <c r="AC33" s="24">
        <f t="shared" si="3"/>
        <v>73.513079517773278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56.985781983930067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54</v>
      </c>
      <c r="AG33" s="13">
        <f>VLOOKUP(A33,'Données projet'!$A$61:$I$81,9,0)</f>
        <v>4.8</v>
      </c>
      <c r="AH33" s="13">
        <f t="array" ref="AH33">INDEX(AG:AG,MIN(IF(ISNUMBER(AG33:AG229),ROW(AG33:AG229),"")))</f>
        <v>4.8</v>
      </c>
      <c r="AI33" s="14">
        <f>IF('Données projet'!$A$62&gt;35,AI32+AH33-AQ32,IF(A33&lt;'Données projet'!$A$62,$AF$205^A33,IF(A33='Données projet'!$A$62,'Données projet'!$B$62,AI32+AH33-AQ32)))</f>
        <v>53.999999999999986</v>
      </c>
      <c r="AJ33" s="14">
        <f>AI33*VLOOKUP('Données projet'!$B$10,Paramètres!$A$1:$I$89,3,0)*VLOOKUP('Données projet'!$B$10,Paramètres!$A$1:$I$89,5,0)</f>
        <v>56.440799999999989</v>
      </c>
      <c r="AK33" s="14">
        <f t="shared" si="35"/>
        <v>16.265214007173903</v>
      </c>
      <c r="AL33" s="22">
        <f t="shared" si="4"/>
        <v>126.62964106249451</v>
      </c>
      <c r="AM33" s="62">
        <f t="shared" si="5"/>
        <v>372.24417500357146</v>
      </c>
      <c r="AN33" s="62">
        <f ca="1">AVERAGE(OFFSET($AM$3,0,0,'Données projet'!$E$10+1,1))-AVERAGE(OFFSET($H$3,0,0,'Données projet'!$E$10+1,1))</f>
        <v>349.85922977910184</v>
      </c>
      <c r="AO33" s="62">
        <f t="shared" si="36"/>
        <v>180.11084167023813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56.985781983930067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56.985781983930067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56.985781983930067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56.985781983930067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56.985781983930067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56.985781983930067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56.985781983930067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56.985781983930067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4.4000000000000004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16.133333333333336</v>
      </c>
      <c r="H34" s="70">
        <f t="shared" si="1"/>
        <v>192.13333333333333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57.211549571076205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71.173545323577173</v>
      </c>
      <c r="T34" s="62">
        <f t="shared" si="34"/>
        <v>348.38731536853368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57.795036475744737</v>
      </c>
      <c r="AA34" s="23">
        <f>EXP(-LN(2)/25)*AA33+(1-EXP(-LN(2)/25))/(LN(2)/25)*Calculateur!V34*Calculateur!X34*VLOOKUP('Données projet'!$B$9,Paramètres!$A$1:$I$89,3,0)*0.475*44/12</f>
        <v>14.1638492921739</v>
      </c>
      <c r="AB34" s="23">
        <f>EXP(-LN(2)/2)*AB33+(1-EXP(-LN(2)/2))/(LN(2)/2)*V34*Y34*VLOOKUP('Données projet'!$B$9,Paramètres!$A$1:$I$89,3,0)*0.475*44/12</f>
        <v>0</v>
      </c>
      <c r="AC34" s="24">
        <f t="shared" si="3"/>
        <v>71.958885767918645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57.211549571076205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</v>
      </c>
      <c r="AI34" s="14">
        <f>IF('Données projet'!$A$62&gt;35,AI33+AH34-AQ33,IF(A34&lt;'Données projet'!$A$62,$AF$205^A34,IF(A34='Données projet'!$A$62,'Données projet'!$B$62,AI33+AH34-AQ33)))</f>
        <v>58.999999999999986</v>
      </c>
      <c r="AJ34" s="14">
        <f>AI34*VLOOKUP('Données projet'!$B$10,Paramètres!$A$1:$I$89,3,0)*VLOOKUP('Données projet'!$B$10,Paramètres!$A$1:$I$89,5,0)</f>
        <v>61.666799999999995</v>
      </c>
      <c r="AK34" s="14">
        <f t="shared" si="35"/>
        <v>17.589013941157731</v>
      </c>
      <c r="AL34" s="22">
        <f t="shared" si="4"/>
        <v>138.03720928084971</v>
      </c>
      <c r="AM34" s="62">
        <f t="shared" si="5"/>
        <v>384.47955770812916</v>
      </c>
      <c r="AN34" s="62">
        <f ca="1">AVERAGE(OFFSET($AM$3,0,0,'Données projet'!$E$10+1,1))-AVERAGE(OFFSET($H$3,0,0,'Données projet'!$E$10+1,1))</f>
        <v>349.85922977910184</v>
      </c>
      <c r="AO34" s="62">
        <f t="shared" si="36"/>
        <v>180.11084167023813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57.211549571076205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57.211549571076205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57.211549571076205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57.211549571076205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57.211549571076205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57.211549571076205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57.211549571076205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57.211549571076205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4.4000000000000004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16.133333333333336</v>
      </c>
      <c r="H35" s="70">
        <f t="shared" si="1"/>
        <v>192.13333333333333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57.43340059532607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71.173545323577173</v>
      </c>
      <c r="T35" s="62">
        <f t="shared" si="34"/>
        <v>348.38731536853368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56.661711061946839</v>
      </c>
      <c r="AA35" s="23">
        <f>EXP(-LN(2)/25)*AA34+(1-EXP(-LN(2)/25))/(LN(2)/25)*Calculateur!V35*Calculateur!X35*VLOOKUP('Données projet'!$B$9,Paramètres!$A$1:$I$89,3,0)*0.475*44/12</f>
        <v>13.776538088434943</v>
      </c>
      <c r="AB35" s="23">
        <f>EXP(-LN(2)/2)*AB34+(1-EXP(-LN(2)/2))/(LN(2)/2)*V35*Y35*VLOOKUP('Données projet'!$B$9,Paramètres!$A$1:$I$89,3,0)*0.475*44/12</f>
        <v>0</v>
      </c>
      <c r="AC35" s="24">
        <f t="shared" si="3"/>
        <v>70.438249150381779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57.43340059532607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</v>
      </c>
      <c r="AI35" s="14">
        <f>IF('Données projet'!$A$62&gt;35,AI34+AH35-AQ34,IF(A35&lt;'Données projet'!$A$62,$AF$205^A35,IF(A35='Données projet'!$A$62,'Données projet'!$B$62,AI34+AH35-AQ34)))</f>
        <v>63.999999999999986</v>
      </c>
      <c r="AJ35" s="14">
        <f>AI35*VLOOKUP('Données projet'!$B$10,Paramètres!$A$1:$I$89,3,0)*VLOOKUP('Données projet'!$B$10,Paramètres!$A$1:$I$89,5,0)</f>
        <v>66.892799999999994</v>
      </c>
      <c r="AK35" s="14">
        <f t="shared" si="35"/>
        <v>18.899803142639634</v>
      </c>
      <c r="AL35" s="22">
        <f t="shared" si="4"/>
        <v>149.42211714009736</v>
      </c>
      <c r="AM35" s="62">
        <f t="shared" si="5"/>
        <v>396.67791932295967</v>
      </c>
      <c r="AN35" s="62">
        <f ca="1">AVERAGE(OFFSET($AM$3,0,0,'Données projet'!$E$10+1,1))-AVERAGE(OFFSET($H$3,0,0,'Données projet'!$E$10+1,1))</f>
        <v>349.85922977910184</v>
      </c>
      <c r="AO35" s="62">
        <f t="shared" si="36"/>
        <v>180.11084167023813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57.43340059532607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57.43340059532607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57.43340059532607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57.43340059532607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57.43340059532607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57.43340059532607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57.43340059532607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57.43340059532607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4.4000000000000004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16.133333333333336</v>
      </c>
      <c r="H36" s="70">
        <f t="shared" si="1"/>
        <v>192.13333333333333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57.651403000289783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71.173545323577173</v>
      </c>
      <c r="T36" s="62">
        <f t="shared" si="34"/>
        <v>348.38731536853368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55.550609468253271</v>
      </c>
      <c r="AA36" s="23">
        <f>EXP(-LN(2)/25)*AA35+(1-EXP(-LN(2)/25))/(LN(2)/25)*Calculateur!V36*Calculateur!X36*VLOOKUP('Données projet'!$B$9,Paramètres!$A$1:$I$89,3,0)*0.475*44/12</f>
        <v>13.399817929930039</v>
      </c>
      <c r="AB36" s="23">
        <f>EXP(-LN(2)/2)*AB35+(1-EXP(-LN(2)/2))/(LN(2)/2)*V36*Y36*VLOOKUP('Données projet'!$B$9,Paramètres!$A$1:$I$89,3,0)*0.475*44/12</f>
        <v>0</v>
      </c>
      <c r="AC36" s="24">
        <f t="shared" si="3"/>
        <v>68.950427398183308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57.651403000289783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</v>
      </c>
      <c r="AI36" s="14">
        <f>IF('Données projet'!$A$62&gt;35,AI35+AH36-AQ35,IF(A36&lt;'Données projet'!$A$62,$AF$205^A36,IF(A36='Données projet'!$A$62,'Données projet'!$B$62,AI35+AH36-AQ35)))</f>
        <v>68.999999999999986</v>
      </c>
      <c r="AJ36" s="14">
        <f>AI36*VLOOKUP('Données projet'!$B$10,Paramètres!$A$1:$I$89,3,0)*VLOOKUP('Données projet'!$B$10,Paramètres!$A$1:$I$89,5,0)</f>
        <v>72.118799999999993</v>
      </c>
      <c r="AK36" s="14">
        <f t="shared" si="35"/>
        <v>20.198713641862817</v>
      </c>
      <c r="AL36" s="22">
        <f t="shared" si="4"/>
        <v>160.78633625957769</v>
      </c>
      <c r="AM36" s="62">
        <f t="shared" si="5"/>
        <v>408.84148059397353</v>
      </c>
      <c r="AN36" s="62">
        <f ca="1">AVERAGE(OFFSET($AM$3,0,0,'Données projet'!$E$10+1,1))-AVERAGE(OFFSET($H$3,0,0,'Données projet'!$E$10+1,1))</f>
        <v>349.85922977910184</v>
      </c>
      <c r="AO36" s="62">
        <f t="shared" si="36"/>
        <v>180.11084167023813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57.651403000289783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57.651403000289783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57.651403000289783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57.651403000289783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57.651403000289783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57.651403000289783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57.651403000289783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57.651403000289783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4.4000000000000004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16.133333333333336</v>
      </c>
      <c r="H37" s="70">
        <f t="shared" si="1"/>
        <v>192.13333333333333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57.865623550907742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71.173545323577173</v>
      </c>
      <c r="T37" s="62">
        <f t="shared" si="34"/>
        <v>348.38731536853368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54.461295899106979</v>
      </c>
      <c r="AA37" s="23">
        <f>EXP(-LN(2)/25)*AA36+(1-EXP(-LN(2)/25))/(LN(2)/25)*Calculateur!V37*Calculateur!X37*VLOOKUP('Données projet'!$B$9,Paramètres!$A$1:$I$89,3,0)*0.475*44/12</f>
        <v>13.033399203970303</v>
      </c>
      <c r="AB37" s="23">
        <f>EXP(-LN(2)/2)*AB36+(1-EXP(-LN(2)/2))/(LN(2)/2)*V37*Y37*VLOOKUP('Données projet'!$B$9,Paramètres!$A$1:$I$89,3,0)*0.475*44/12</f>
        <v>0</v>
      </c>
      <c r="AC37" s="24">
        <f t="shared" si="3"/>
        <v>67.494695103077277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57.865623550907742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</v>
      </c>
      <c r="AI37" s="14">
        <f>IF('Données projet'!$A$62&gt;35,AI36+AH37-AQ36,IF(A37&lt;'Données projet'!$A$62,$AF$205^A37,IF(A37='Données projet'!$A$62,'Données projet'!$B$62,AI36+AH37-AQ36)))</f>
        <v>73.999999999999986</v>
      </c>
      <c r="AJ37" s="14">
        <f>AI37*VLOOKUP('Données projet'!$B$10,Paramètres!$A$1:$I$89,3,0)*VLOOKUP('Données projet'!$B$10,Paramètres!$A$1:$I$89,5,0)</f>
        <v>77.344799999999992</v>
      </c>
      <c r="AK37" s="14">
        <f t="shared" si="35"/>
        <v>21.486704106300962</v>
      </c>
      <c r="AL37" s="22">
        <f t="shared" si="4"/>
        <v>172.13153631847419</v>
      </c>
      <c r="AM37" s="62">
        <f t="shared" si="5"/>
        <v>420.97215600513596</v>
      </c>
      <c r="AN37" s="62">
        <f ca="1">AVERAGE(OFFSET($AM$3,0,0,'Données projet'!$E$10+1,1))-AVERAGE(OFFSET($H$3,0,0,'Données projet'!$E$10+1,1))</f>
        <v>349.85922977910184</v>
      </c>
      <c r="AO37" s="62">
        <f t="shared" si="36"/>
        <v>180.11084167023813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57.865623550907742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57.865623550907742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57.865623550907742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57.865623550907742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57.865623550907742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57.865623550907742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57.865623550907742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57.865623550907742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4.4000000000000004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16.133333333333336</v>
      </c>
      <c r="H38" s="70">
        <f t="shared" si="1"/>
        <v>192.13333333333333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58.07612785389788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71.173545323577173</v>
      </c>
      <c r="T38" s="62">
        <f t="shared" si="34"/>
        <v>348.38731536853368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53.393343104635974</v>
      </c>
      <c r="AA38" s="23">
        <f>EXP(-LN(2)/25)*AA37+(1-EXP(-LN(2)/25))/(LN(2)/25)*Calculateur!V38*Calculateur!X38*VLOOKUP('Données projet'!$B$9,Paramètres!$A$1:$I$89,3,0)*0.475*44/12</f>
        <v>12.677000217341059</v>
      </c>
      <c r="AB38" s="23">
        <f>EXP(-LN(2)/2)*AB37+(1-EXP(-LN(2)/2))/(LN(2)/2)*V38*Y38*VLOOKUP('Données projet'!$B$9,Paramètres!$A$1:$I$89,3,0)*0.475*44/12</f>
        <v>0</v>
      </c>
      <c r="AC38" s="24">
        <f t="shared" si="3"/>
        <v>66.070343321977035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58.07612785389788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79</v>
      </c>
      <c r="AG38" s="13">
        <f>VLOOKUP(A38,'Données projet'!$A$61:$I$81,9,0)</f>
        <v>5</v>
      </c>
      <c r="AH38" s="13">
        <f t="array" ref="AH38">INDEX(AG:AG,MIN(IF(ISNUMBER(AG38:AG234),ROW(AG38:AG234),"")))</f>
        <v>5</v>
      </c>
      <c r="AI38" s="14">
        <f>IF('Données projet'!$A$62&gt;35,AI37+AH38-AQ37,IF(A38&lt;'Données projet'!$A$62,$AF$205^A38,IF(A38='Données projet'!$A$62,'Données projet'!$B$62,AI37+AH38-AQ37)))</f>
        <v>78.999999999999986</v>
      </c>
      <c r="AJ38" s="14">
        <f>AI38*VLOOKUP('Données projet'!$B$10,Paramètres!$A$1:$I$89,3,0)*VLOOKUP('Données projet'!$B$10,Paramètres!$A$1:$I$89,5,0)</f>
        <v>82.570799999999991</v>
      </c>
      <c r="AK38" s="14">
        <f t="shared" si="35"/>
        <v>22.764596322636297</v>
      </c>
      <c r="AL38" s="22">
        <f t="shared" si="4"/>
        <v>183.4591485952582</v>
      </c>
      <c r="AM38" s="62">
        <f t="shared" si="5"/>
        <v>433.0716173928837</v>
      </c>
      <c r="AN38" s="62">
        <f ca="1">AVERAGE(OFFSET($AM$3,0,0,'Données projet'!$E$10+1,1))-AVERAGE(OFFSET($H$3,0,0,'Données projet'!$E$10+1,1))</f>
        <v>349.85922977910184</v>
      </c>
      <c r="AO38" s="62">
        <f t="shared" si="36"/>
        <v>180.11084167023813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13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58.07612785389788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58.07612785389788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58.07612785389788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58.07612785389788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58.07612785389788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58.07612785389788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58.07612785389788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58.07612785389788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4.4000000000000004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16.133333333333336</v>
      </c>
      <c r="H39" s="70">
        <f t="shared" si="1"/>
        <v>192.13333333333333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58.282980377848261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71.173545323577173</v>
      </c>
      <c r="T39" s="62">
        <f t="shared" si="34"/>
        <v>348.38731536853368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52.346332213077659</v>
      </c>
      <c r="AA39" s="23">
        <f>EXP(-LN(2)/25)*AA38+(1-EXP(-LN(2)/25))/(LN(2)/25)*Calculateur!V39*Calculateur!X39*VLOOKUP('Données projet'!$B$9,Paramètres!$A$1:$I$89,3,0)*0.475*44/12</f>
        <v>12.3303469797434</v>
      </c>
      <c r="AB39" s="23">
        <f>EXP(-LN(2)/2)*AB38+(1-EXP(-LN(2)/2))/(LN(2)/2)*V39*Y39*VLOOKUP('Données projet'!$B$9,Paramètres!$A$1:$I$89,3,0)*0.475*44/12</f>
        <v>0</v>
      </c>
      <c r="AC39" s="24">
        <f t="shared" si="3"/>
        <v>64.676679192821055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58.282980377848261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5.4</v>
      </c>
      <c r="AI39" s="14">
        <f>IF('Données projet'!$A$62&gt;35,AI38+AH39-AQ38,IF(A39&lt;'Données projet'!$A$62,$AF$205^A39,IF(A39='Données projet'!$A$62,'Données projet'!$B$62,AI38+AH39-AQ38)))</f>
        <v>71.399999999999991</v>
      </c>
      <c r="AJ39" s="14">
        <f>AI39*VLOOKUP('Données projet'!$B$10,Paramètres!$A$1:$I$89,3,0)*VLOOKUP('Données projet'!$B$10,Paramètres!$A$1:$I$89,5,0)</f>
        <v>74.627279999999999</v>
      </c>
      <c r="AK39" s="14">
        <f t="shared" si="35"/>
        <v>20.81825843795977</v>
      </c>
      <c r="AL39" s="22">
        <f t="shared" si="4"/>
        <v>166.23431277944658</v>
      </c>
      <c r="AM39" s="62">
        <f t="shared" si="5"/>
        <v>416.6052408315569</v>
      </c>
      <c r="AN39" s="62">
        <f ca="1">AVERAGE(OFFSET($AM$3,0,0,'Données projet'!$E$10+1,1))-AVERAGE(OFFSET($H$3,0,0,'Données projet'!$E$10+1,1))</f>
        <v>349.85922977910184</v>
      </c>
      <c r="AO39" s="62">
        <f t="shared" si="36"/>
        <v>180.11084167023813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58.282980377848261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58.282980377848261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58.282980377848261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58.282980377848261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58.282980377848261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58.282980377848261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58.282980377848261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58.282980377848261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4.4000000000000004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16.133333333333336</v>
      </c>
      <c r="H40" s="70">
        <f t="shared" si="1"/>
        <v>192.13333333333333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58.486244472961062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71.173545323577173</v>
      </c>
      <c r="T40" s="62">
        <f t="shared" si="34"/>
        <v>348.38731536853368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51.319852566489217</v>
      </c>
      <c r="AA40" s="23">
        <f>EXP(-LN(2)/25)*AA39+(1-EXP(-LN(2)/25))/(LN(2)/25)*Calculateur!V40*Calculateur!X40*VLOOKUP('Données projet'!$B$9,Paramètres!$A$1:$I$89,3,0)*0.475*44/12</f>
        <v>11.99317299315755</v>
      </c>
      <c r="AB40" s="23">
        <f>EXP(-LN(2)/2)*AB39+(1-EXP(-LN(2)/2))/(LN(2)/2)*V40*Y40*VLOOKUP('Données projet'!$B$9,Paramètres!$A$1:$I$89,3,0)*0.475*44/12</f>
        <v>0</v>
      </c>
      <c r="AC40" s="24">
        <f t="shared" si="3"/>
        <v>63.313025559646768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58.486244472961062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5.4</v>
      </c>
      <c r="AI40" s="14">
        <f>IF('Données projet'!$A$62&gt;35,AI39+AH40-AQ39,IF(A40&lt;'Données projet'!$A$62,$AF$205^A40,IF(A40='Données projet'!$A$62,'Données projet'!$B$62,AI39+AH40-AQ39)))</f>
        <v>76.8</v>
      </c>
      <c r="AJ40" s="14">
        <f>AI40*VLOOKUP('Données projet'!$B$10,Paramètres!$A$1:$I$89,3,0)*VLOOKUP('Données projet'!$B$10,Paramètres!$A$1:$I$89,5,0)</f>
        <v>80.271360000000001</v>
      </c>
      <c r="AK40" s="14">
        <f t="shared" si="35"/>
        <v>22.203519977650487</v>
      </c>
      <c r="AL40" s="22">
        <f t="shared" si="4"/>
        <v>178.47708262774123</v>
      </c>
      <c r="AM40" s="62">
        <f t="shared" si="5"/>
        <v>429.59331236193179</v>
      </c>
      <c r="AN40" s="62">
        <f ca="1">AVERAGE(OFFSET($AM$3,0,0,'Données projet'!$E$10+1,1))-AVERAGE(OFFSET($H$3,0,0,'Données projet'!$E$10+1,1))</f>
        <v>349.85922977910184</v>
      </c>
      <c r="AO40" s="62">
        <f t="shared" si="36"/>
        <v>180.11084167023813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58.486244472961062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58.486244472961062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58.486244472961062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58.486244472961062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58.486244472961062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58.486244472961062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58.486244472961062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58.486244472961062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4.4000000000000004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16.133333333333336</v>
      </c>
      <c r="H41" s="70">
        <f t="shared" si="1"/>
        <v>192.13333333333333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58.6859823904541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71.173545323577173</v>
      </c>
      <c r="T41" s="62">
        <f t="shared" si="34"/>
        <v>348.38731536853368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50.313501559679615</v>
      </c>
      <c r="AA41" s="23">
        <f>EXP(-LN(2)/25)*AA40+(1-EXP(-LN(2)/25))/(LN(2)/25)*Calculateur!V41*Calculateur!X41*VLOOKUP('Données projet'!$B$9,Paramètres!$A$1:$I$89,3,0)*0.475*44/12</f>
        <v>11.665219046966101</v>
      </c>
      <c r="AB41" s="23">
        <f>EXP(-LN(2)/2)*AB40+(1-EXP(-LN(2)/2))/(LN(2)/2)*V41*Y41*VLOOKUP('Données projet'!$B$9,Paramètres!$A$1:$I$89,3,0)*0.475*44/12</f>
        <v>0</v>
      </c>
      <c r="AC41" s="24">
        <f t="shared" si="3"/>
        <v>61.978720606645716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58.6859823904541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5.4</v>
      </c>
      <c r="AI41" s="14">
        <f>IF('Données projet'!$A$62&gt;35,AI40+AH41-AQ40,IF(A41&lt;'Données projet'!$A$62,$AF$205^A41,IF(A41='Données projet'!$A$62,'Données projet'!$B$62,AI40+AH41-AQ40)))</f>
        <v>82.2</v>
      </c>
      <c r="AJ41" s="14">
        <f>AI41*VLOOKUP('Données projet'!$B$10,Paramètres!$A$1:$I$89,3,0)*VLOOKUP('Données projet'!$B$10,Paramètres!$A$1:$I$89,5,0)</f>
        <v>85.915440000000018</v>
      </c>
      <c r="AK41" s="14">
        <f t="shared" si="35"/>
        <v>23.577480461041315</v>
      </c>
      <c r="AL41" s="22">
        <f t="shared" si="4"/>
        <v>190.70016980298033</v>
      </c>
      <c r="AM41" s="62">
        <f t="shared" si="5"/>
        <v>442.54877190131208</v>
      </c>
      <c r="AN41" s="62">
        <f ca="1">AVERAGE(OFFSET($AM$3,0,0,'Données projet'!$E$10+1,1))-AVERAGE(OFFSET($H$3,0,0,'Données projet'!$E$10+1,1))</f>
        <v>349.85922977910184</v>
      </c>
      <c r="AO41" s="62">
        <f t="shared" si="36"/>
        <v>180.11084167023813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58.6859823904541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58.6859823904541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58.6859823904541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58.6859823904541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58.6859823904541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58.6859823904541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58.6859823904541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58.6859823904541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4.4000000000000004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16.133333333333336</v>
      </c>
      <c r="H42" s="70">
        <f t="shared" si="1"/>
        <v>192.13333333333333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58.882255301625712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71.173545323577173</v>
      </c>
      <c r="T42" s="62">
        <f t="shared" si="34"/>
        <v>348.38731536853368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49.326884482300038</v>
      </c>
      <c r="AA42" s="23">
        <f>EXP(-LN(2)/25)*AA41+(1-EXP(-LN(2)/25))/(LN(2)/25)*Calculateur!V42*Calculateur!X42*VLOOKUP('Données projet'!$B$9,Paramètres!$A$1:$I$89,3,0)*0.475*44/12</f>
        <v>11.346233018679603</v>
      </c>
      <c r="AB42" s="23">
        <f>EXP(-LN(2)/2)*AB41+(1-EXP(-LN(2)/2))/(LN(2)/2)*V42*Y42*VLOOKUP('Données projet'!$B$9,Paramètres!$A$1:$I$89,3,0)*0.475*44/12</f>
        <v>0</v>
      </c>
      <c r="AC42" s="24">
        <f t="shared" si="3"/>
        <v>60.673117500979643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58.882255301625712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5.4</v>
      </c>
      <c r="AI42" s="14">
        <f>IF('Données projet'!$A$62&gt;35,AI41+AH42-AQ41,IF(A42&lt;'Données projet'!$A$62,$AF$205^A42,IF(A42='Données projet'!$A$62,'Données projet'!$B$62,AI41+AH42-AQ41)))</f>
        <v>87.600000000000009</v>
      </c>
      <c r="AJ42" s="14">
        <f>AI42*VLOOKUP('Données projet'!$B$10,Paramètres!$A$1:$I$89,3,0)*VLOOKUP('Données projet'!$B$10,Paramètres!$A$1:$I$89,5,0)</f>
        <v>91.55952000000002</v>
      </c>
      <c r="AK42" s="14">
        <f t="shared" si="35"/>
        <v>24.94096677672054</v>
      </c>
      <c r="AL42" s="22">
        <f t="shared" si="4"/>
        <v>202.90501446945498</v>
      </c>
      <c r="AM42" s="62">
        <f t="shared" si="5"/>
        <v>455.47328390874929</v>
      </c>
      <c r="AN42" s="62">
        <f ca="1">AVERAGE(OFFSET($AM$3,0,0,'Données projet'!$E$10+1,1))-AVERAGE(OFFSET($H$3,0,0,'Données projet'!$E$10+1,1))</f>
        <v>349.85922977910184</v>
      </c>
      <c r="AO42" s="62">
        <f t="shared" si="36"/>
        <v>180.11084167023813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58.882255301625712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58.882255301625712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58.882255301625712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58.882255301625712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58.882255301625712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58.882255301625712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58.882255301625712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58.882255301625712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4.4000000000000004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16.133333333333336</v>
      </c>
      <c r="H43" s="70">
        <f t="shared" si="1"/>
        <v>192.13333333333333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59.075123316588993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71.173545323577173</v>
      </c>
      <c r="T43" s="62">
        <f t="shared" si="34"/>
        <v>348.38731536853368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48.359614364030882</v>
      </c>
      <c r="AA43" s="23">
        <f>EXP(-LN(2)/25)*AA42+(1-EXP(-LN(2)/25))/(LN(2)/25)*Calculateur!V43*Calculateur!X43*VLOOKUP('Données projet'!$B$9,Paramètres!$A$1:$I$89,3,0)*0.475*44/12</f>
        <v>11.035969680111348</v>
      </c>
      <c r="AB43" s="23">
        <f>EXP(-LN(2)/2)*AB42+(1-EXP(-LN(2)/2))/(LN(2)/2)*V43*Y43*VLOOKUP('Données projet'!$B$9,Paramètres!$A$1:$I$89,3,0)*0.475*44/12</f>
        <v>0</v>
      </c>
      <c r="AC43" s="24">
        <f t="shared" si="3"/>
        <v>59.395584044142232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59.075123316588993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93</v>
      </c>
      <c r="AG43" s="13">
        <f>VLOOKUP(A43,'Données projet'!$A$61:$I$81,9,0)</f>
        <v>5.4</v>
      </c>
      <c r="AH43" s="13">
        <f t="array" ref="AH43">INDEX(AG:AG,MIN(IF(ISNUMBER(AG43:AG239),ROW(AG43:AG239),"")))</f>
        <v>5.4</v>
      </c>
      <c r="AI43" s="14">
        <f>IF('Données projet'!$A$62&gt;35,AI42+AH43-AQ42,IF(A43&lt;'Données projet'!$A$62,$AF$205^A43,IF(A43='Données projet'!$A$62,'Données projet'!$B$62,AI42+AH43-AQ42)))</f>
        <v>93.000000000000014</v>
      </c>
      <c r="AJ43" s="14">
        <f>AI43*VLOOKUP('Données projet'!$B$10,Paramètres!$A$1:$I$89,3,0)*VLOOKUP('Données projet'!$B$10,Paramètres!$A$1:$I$89,5,0)</f>
        <v>97.203600000000023</v>
      </c>
      <c r="AK43" s="14">
        <f t="shared" si="35"/>
        <v>26.294698107005349</v>
      </c>
      <c r="AL43" s="22">
        <f t="shared" si="4"/>
        <v>215.09286920303433</v>
      </c>
      <c r="AM43" s="62">
        <f t="shared" si="5"/>
        <v>468.36832136386056</v>
      </c>
      <c r="AN43" s="62">
        <f ca="1">AVERAGE(OFFSET($AM$3,0,0,'Données projet'!$E$10+1,1))-AVERAGE(OFFSET($H$3,0,0,'Données projet'!$E$10+1,1))</f>
        <v>349.85922977910184</v>
      </c>
      <c r="AO43" s="62">
        <f t="shared" si="36"/>
        <v>180.11084167023813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14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59.075123316588993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59.075123316588993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59.075123316588993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59.075123316588993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59.075123316588993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59.075123316588993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59.075123316588993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59.075123316588993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4.4000000000000004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16.133333333333336</v>
      </c>
      <c r="H44" s="70">
        <f t="shared" si="1"/>
        <v>192.13333333333333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59.264645502680942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71.173545323577173</v>
      </c>
      <c r="T44" s="62">
        <f t="shared" si="34"/>
        <v>348.38731536853368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47.411311822804464</v>
      </c>
      <c r="AA44" s="23">
        <f>EXP(-LN(2)/25)*AA43+(1-EXP(-LN(2)/25))/(LN(2)/25)*Calculateur!V44*Calculateur!X44*VLOOKUP('Données projet'!$B$9,Paramètres!$A$1:$I$89,3,0)*0.475*44/12</f>
        <v>10.734190508852281</v>
      </c>
      <c r="AB44" s="23">
        <f>EXP(-LN(2)/2)*AB43+(1-EXP(-LN(2)/2))/(LN(2)/2)*V44*Y44*VLOOKUP('Données projet'!$B$9,Paramètres!$A$1:$I$89,3,0)*0.475*44/12</f>
        <v>0</v>
      </c>
      <c r="AC44" s="24">
        <f t="shared" si="3"/>
        <v>58.145502331656743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59.264645502680942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5.6</v>
      </c>
      <c r="AI44" s="14">
        <f>IF('Données projet'!$A$62&gt;35,AI43+AH44-AQ43,IF(A44&lt;'Données projet'!$A$62,$AF$205^A44,IF(A44='Données projet'!$A$62,'Données projet'!$B$62,AI43+AH44-AQ43)))</f>
        <v>84.600000000000009</v>
      </c>
      <c r="AJ44" s="14">
        <f>AI44*VLOOKUP('Données projet'!$B$10,Paramètres!$A$1:$I$89,3,0)*VLOOKUP('Données projet'!$B$10,Paramètres!$A$1:$I$89,5,0)</f>
        <v>88.423920000000024</v>
      </c>
      <c r="AK44" s="14">
        <f t="shared" si="35"/>
        <v>24.184722491413467</v>
      </c>
      <c r="AL44" s="22">
        <f t="shared" si="4"/>
        <v>196.1267190058785</v>
      </c>
      <c r="AM44" s="62">
        <f t="shared" si="5"/>
        <v>450.09708584904195</v>
      </c>
      <c r="AN44" s="62">
        <f ca="1">AVERAGE(OFFSET($AM$3,0,0,'Données projet'!$E$10+1,1))-AVERAGE(OFFSET($H$3,0,0,'Données projet'!$E$10+1,1))</f>
        <v>349.85922977910184</v>
      </c>
      <c r="AO44" s="62">
        <f t="shared" si="36"/>
        <v>180.11084167023813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59.264645502680942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59.264645502680942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59.264645502680942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59.264645502680942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59.264645502680942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59.264645502680942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59.264645502680942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59.264645502680942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4.4000000000000004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16.133333333333336</v>
      </c>
      <c r="H45" s="70">
        <f t="shared" si="1"/>
        <v>192.13333333333333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59.45087990255233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71.173545323577173</v>
      </c>
      <c r="T45" s="62">
        <f t="shared" si="34"/>
        <v>348.38731536853368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46.481604916004059</v>
      </c>
      <c r="AA45" s="23">
        <f>EXP(-LN(2)/25)*AA44+(1-EXP(-LN(2)/25))/(LN(2)/25)*Calculateur!V45*Calculateur!X45*VLOOKUP('Données projet'!$B$9,Paramètres!$A$1:$I$89,3,0)*0.475*44/12</f>
        <v>10.44066350490117</v>
      </c>
      <c r="AB45" s="23">
        <f>EXP(-LN(2)/2)*AB44+(1-EXP(-LN(2)/2))/(LN(2)/2)*V45*Y45*VLOOKUP('Données projet'!$B$9,Paramètres!$A$1:$I$89,3,0)*0.475*44/12</f>
        <v>0</v>
      </c>
      <c r="AC45" s="24">
        <f t="shared" si="3"/>
        <v>56.922268420905226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59.45087990255233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5.6</v>
      </c>
      <c r="AI45" s="14">
        <f>IF('Données projet'!$A$62&gt;35,AI44+AH45-AQ44,IF(A45&lt;'Données projet'!$A$62,$AF$205^A45,IF(A45='Données projet'!$A$62,'Données projet'!$B$62,AI44+AH45-AQ44)))</f>
        <v>90.2</v>
      </c>
      <c r="AJ45" s="14">
        <f>AI45*VLOOKUP('Données projet'!$B$10,Paramètres!$A$1:$I$89,3,0)*VLOOKUP('Données projet'!$B$10,Paramètres!$A$1:$I$89,5,0)</f>
        <v>94.277040000000014</v>
      </c>
      <c r="AK45" s="14">
        <f t="shared" si="35"/>
        <v>25.593940278103194</v>
      </c>
      <c r="AL45" s="22">
        <f t="shared" si="4"/>
        <v>208.77529065102974</v>
      </c>
      <c r="AM45" s="62">
        <f t="shared" si="5"/>
        <v>463.42851696038827</v>
      </c>
      <c r="AN45" s="62">
        <f ca="1">AVERAGE(OFFSET($AM$3,0,0,'Données projet'!$E$10+1,1))-AVERAGE(OFFSET($H$3,0,0,'Données projet'!$E$10+1,1))</f>
        <v>349.85922977910184</v>
      </c>
      <c r="AO45" s="62">
        <f t="shared" si="36"/>
        <v>180.11084167023813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59.45087990255233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59.45087990255233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59.45087990255233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59.45087990255233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59.45087990255233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59.45087990255233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59.45087990255233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59.45087990255233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4.4000000000000004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16.133333333333336</v>
      </c>
      <c r="H46" s="70">
        <f t="shared" si="1"/>
        <v>192.13333333333333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59.63388355194369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71.173545323577173</v>
      </c>
      <c r="T46" s="62">
        <f t="shared" si="34"/>
        <v>348.38731536853368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45.570128994580791</v>
      </c>
      <c r="AA46" s="23">
        <f>EXP(-LN(2)/25)*AA45+(1-EXP(-LN(2)/25))/(LN(2)/25)*Calculateur!V46*Calculateur!X46*VLOOKUP('Données projet'!$B$9,Paramètres!$A$1:$I$89,3,0)*0.475*44/12</f>
        <v>10.155163012309016</v>
      </c>
      <c r="AB46" s="23">
        <f>EXP(-LN(2)/2)*AB45+(1-EXP(-LN(2)/2))/(LN(2)/2)*V46*Y46*VLOOKUP('Données projet'!$B$9,Paramètres!$A$1:$I$89,3,0)*0.475*44/12</f>
        <v>0</v>
      </c>
      <c r="AC46" s="24">
        <f t="shared" si="3"/>
        <v>55.725292006889809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59.63388355194369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5.6</v>
      </c>
      <c r="AI46" s="14">
        <f>IF('Données projet'!$A$62&gt;35,AI45+AH46-AQ45,IF(A46&lt;'Données projet'!$A$62,$AF$205^A46,IF(A46='Données projet'!$A$62,'Données projet'!$B$62,AI45+AH46-AQ45)))</f>
        <v>95.8</v>
      </c>
      <c r="AJ46" s="14">
        <f>AI46*VLOOKUP('Données projet'!$B$10,Paramètres!$A$1:$I$89,3,0)*VLOOKUP('Données projet'!$B$10,Paramètres!$A$1:$I$89,5,0)</f>
        <v>100.13016000000002</v>
      </c>
      <c r="AK46" s="14">
        <f t="shared" si="35"/>
        <v>26.99300402561024</v>
      </c>
      <c r="AL46" s="22">
        <f t="shared" si="4"/>
        <v>221.40617734460454</v>
      </c>
      <c r="AM46" s="62">
        <f t="shared" si="5"/>
        <v>476.73041703506476</v>
      </c>
      <c r="AN46" s="62">
        <f ca="1">AVERAGE(OFFSET($AM$3,0,0,'Données projet'!$E$10+1,1))-AVERAGE(OFFSET($H$3,0,0,'Données projet'!$E$10+1,1))</f>
        <v>349.85922977910184</v>
      </c>
      <c r="AO46" s="62">
        <f t="shared" si="36"/>
        <v>180.11084167023813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59.63388355194369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59.63388355194369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59.63388355194369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59.63388355194369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59.63388355194369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59.63388355194369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59.63388355194369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59.63388355194369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4.4000000000000004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16.133333333333336</v>
      </c>
      <c r="H47" s="70">
        <f t="shared" si="1"/>
        <v>192.13333333333333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59.813712497152977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71.173545323577173</v>
      </c>
      <c r="T47" s="62">
        <f t="shared" si="34"/>
        <v>348.38731536853368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44.67652656003122</v>
      </c>
      <c r="AA47" s="23">
        <f>EXP(-LN(2)/25)*AA46+(1-EXP(-LN(2)/25))/(LN(2)/25)*Calculateur!V47*Calculateur!X47*VLOOKUP('Données projet'!$B$9,Paramètres!$A$1:$I$89,3,0)*0.475*44/12</f>
        <v>9.8774695457006132</v>
      </c>
      <c r="AB47" s="23">
        <f>EXP(-LN(2)/2)*AB46+(1-EXP(-LN(2)/2))/(LN(2)/2)*V47*Y47*VLOOKUP('Données projet'!$B$9,Paramètres!$A$1:$I$89,3,0)*0.475*44/12</f>
        <v>0</v>
      </c>
      <c r="AC47" s="24">
        <f t="shared" si="3"/>
        <v>54.553996105731834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59.813712497152977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5.6</v>
      </c>
      <c r="AI47" s="14">
        <f>IF('Données projet'!$A$62&gt;35,AI46+AH47-AQ46,IF(A47&lt;'Données projet'!$A$62,$AF$205^A47,IF(A47='Données projet'!$A$62,'Données projet'!$B$62,AI46+AH47-AQ46)))</f>
        <v>101.39999999999999</v>
      </c>
      <c r="AJ47" s="14">
        <f>AI47*VLOOKUP('Données projet'!$B$10,Paramètres!$A$1:$I$89,3,0)*VLOOKUP('Données projet'!$B$10,Paramètres!$A$1:$I$89,5,0)</f>
        <v>105.98328000000001</v>
      </c>
      <c r="AK47" s="14">
        <f t="shared" si="35"/>
        <v>28.382574904673611</v>
      </c>
      <c r="AL47" s="22">
        <f t="shared" si="4"/>
        <v>234.02053062563991</v>
      </c>
      <c r="AM47" s="62">
        <f t="shared" si="5"/>
        <v>490.0041431152008</v>
      </c>
      <c r="AN47" s="62">
        <f ca="1">AVERAGE(OFFSET($AM$3,0,0,'Données projet'!$E$10+1,1))-AVERAGE(OFFSET($H$3,0,0,'Données projet'!$E$10+1,1))</f>
        <v>349.85922977910184</v>
      </c>
      <c r="AO47" s="62">
        <f t="shared" si="36"/>
        <v>180.11084167023813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59.813712497152977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59.813712497152977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59.813712497152977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59.813712497152977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59.813712497152977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59.813712497152977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59.813712497152977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59.813712497152977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4.4000000000000004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16.133333333333336</v>
      </c>
      <c r="H48" s="70">
        <f t="shared" si="1"/>
        <v>192.13333333333333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59.990421812200182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71.173545323577173</v>
      </c>
      <c r="T48" s="62">
        <f t="shared" si="34"/>
        <v>348.38731536853368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43.800447124179499</v>
      </c>
      <c r="AA48" s="23">
        <f>EXP(-LN(2)/25)*AA47+(1-EXP(-LN(2)/25))/(LN(2)/25)*Calculateur!V48*Calculateur!X48*VLOOKUP('Données projet'!$B$9,Paramètres!$A$1:$I$89,3,0)*0.475*44/12</f>
        <v>9.6073696215398812</v>
      </c>
      <c r="AB48" s="23">
        <f>EXP(-LN(2)/2)*AB47+(1-EXP(-LN(2)/2))/(LN(2)/2)*V48*Y48*VLOOKUP('Données projet'!$B$9,Paramètres!$A$1:$I$89,3,0)*0.475*44/12</f>
        <v>0</v>
      </c>
      <c r="AC48" s="24">
        <f t="shared" si="3"/>
        <v>53.40781674571938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59.990421812200182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107</v>
      </c>
      <c r="AG48" s="13">
        <f>VLOOKUP(A48,'Données projet'!$A$61:$I$81,9,0)</f>
        <v>5.6</v>
      </c>
      <c r="AH48" s="13">
        <f t="array" ref="AH48">INDEX(AG:AG,MIN(IF(ISNUMBER(AG48:AG244),ROW(AG48:AG244),"")))</f>
        <v>5.6</v>
      </c>
      <c r="AI48" s="14">
        <f>IF('Données projet'!$A$62&gt;35,AI47+AH48-AQ47,IF(A48&lt;'Données projet'!$A$62,$AF$205^A48,IF(A48='Données projet'!$A$62,'Données projet'!$B$62,AI47+AH48-AQ47)))</f>
        <v>106.99999999999999</v>
      </c>
      <c r="AJ48" s="14">
        <f>AI48*VLOOKUP('Données projet'!$B$10,Paramètres!$A$1:$I$89,3,0)*VLOOKUP('Données projet'!$B$10,Paramètres!$A$1:$I$89,5,0)</f>
        <v>111.8364</v>
      </c>
      <c r="AK48" s="14">
        <f t="shared" si="35"/>
        <v>29.763236932758819</v>
      </c>
      <c r="AL48" s="22">
        <f t="shared" si="4"/>
        <v>246.61936765788826</v>
      </c>
      <c r="AM48" s="62">
        <f t="shared" si="5"/>
        <v>503.25091430262228</v>
      </c>
      <c r="AN48" s="62">
        <f ca="1">AVERAGE(OFFSET($AM$3,0,0,'Données projet'!$E$10+1,1))-AVERAGE(OFFSET($H$3,0,0,'Données projet'!$E$10+1,1))</f>
        <v>349.85922977910184</v>
      </c>
      <c r="AO48" s="62">
        <f t="shared" si="36"/>
        <v>180.11084167023813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14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59.990421812200182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59.990421812200182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59.990421812200182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59.990421812200182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59.990421812200182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59.990421812200182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59.990421812200182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59.990421812200182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4.4000000000000004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16.133333333333336</v>
      </c>
      <c r="H49" s="70">
        <f t="shared" si="1"/>
        <v>192.13333333333333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60.164065615694156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71.173545323577173</v>
      </c>
      <c r="T49" s="62">
        <f t="shared" si="34"/>
        <v>348.38731536853368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42.941547071709138</v>
      </c>
      <c r="AA49" s="23">
        <f>EXP(-LN(2)/25)*AA48+(1-EXP(-LN(2)/25))/(LN(2)/25)*Calculateur!V49*Calculateur!X49*VLOOKUP('Données projet'!$B$9,Paramètres!$A$1:$I$89,3,0)*0.475*44/12</f>
        <v>9.3446555940092626</v>
      </c>
      <c r="AB49" s="23">
        <f>EXP(-LN(2)/2)*AB48+(1-EXP(-LN(2)/2))/(LN(2)/2)*V49*Y49*VLOOKUP('Données projet'!$B$9,Paramètres!$A$1:$I$89,3,0)*0.475*44/12</f>
        <v>0</v>
      </c>
      <c r="AC49" s="24">
        <f t="shared" si="3"/>
        <v>52.286202665718399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60.164065615694156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5.6</v>
      </c>
      <c r="AI49" s="14">
        <f>IF('Données projet'!$A$62&gt;35,AI48+AH49-AQ48,IF(A49&lt;'Données projet'!$A$62,$AF$205^A49,IF(A49='Données projet'!$A$62,'Données projet'!$B$62,AI48+AH49-AQ48)))</f>
        <v>98.59999999999998</v>
      </c>
      <c r="AJ49" s="14">
        <f>AI49*VLOOKUP('Données projet'!$B$10,Paramètres!$A$1:$I$89,3,0)*VLOOKUP('Données projet'!$B$10,Paramètres!$A$1:$I$89,5,0)</f>
        <v>103.05672</v>
      </c>
      <c r="AK49" s="14">
        <f t="shared" si="35"/>
        <v>27.688937926000623</v>
      </c>
      <c r="AL49" s="22">
        <f t="shared" si="4"/>
        <v>227.71535422111776</v>
      </c>
      <c r="AM49" s="62">
        <f t="shared" si="5"/>
        <v>484.98359481199634</v>
      </c>
      <c r="AN49" s="62">
        <f ca="1">AVERAGE(OFFSET($AM$3,0,0,'Données projet'!$E$10+1,1))-AVERAGE(OFFSET($H$3,0,0,'Données projet'!$E$10+1,1))</f>
        <v>349.85922977910184</v>
      </c>
      <c r="AO49" s="62">
        <f t="shared" si="36"/>
        <v>180.11084167023813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60.164065615694156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60.164065615694156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60.164065615694156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60.164065615694156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60.164065615694156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60.164065615694156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60.164065615694156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60.164065615694156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4.4000000000000004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16.133333333333336</v>
      </c>
      <c r="H50" s="70">
        <f t="shared" si="1"/>
        <v>192.13333333333333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60.334697087406902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71.173545323577173</v>
      </c>
      <c r="T50" s="62">
        <f t="shared" si="34"/>
        <v>348.38731536853368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42.099489525390418</v>
      </c>
      <c r="AA50" s="23">
        <f>EXP(-LN(2)/25)*AA49+(1-EXP(-LN(2)/25))/(LN(2)/25)*Calculateur!V50*Calculateur!X50*VLOOKUP('Données projet'!$B$9,Paramètres!$A$1:$I$89,3,0)*0.475*44/12</f>
        <v>9.0891254953769991</v>
      </c>
      <c r="AB50" s="23">
        <f>EXP(-LN(2)/2)*AB49+(1-EXP(-LN(2)/2))/(LN(2)/2)*V50*Y50*VLOOKUP('Données projet'!$B$9,Paramètres!$A$1:$I$89,3,0)*0.475*44/12</f>
        <v>0</v>
      </c>
      <c r="AC50" s="24">
        <f t="shared" si="3"/>
        <v>51.188615020767415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60.334697087406902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5.6</v>
      </c>
      <c r="AI50" s="14">
        <f>IF('Données projet'!$A$62&gt;35,AI49+AH50-AQ49,IF(A50&lt;'Données projet'!$A$62,$AF$205^A50,IF(A50='Données projet'!$A$62,'Données projet'!$B$62,AI49+AH50-AQ49)))</f>
        <v>104.19999999999997</v>
      </c>
      <c r="AJ50" s="14">
        <f>AI50*VLOOKUP('Données projet'!$B$10,Paramètres!$A$1:$I$89,3,0)*VLOOKUP('Données projet'!$B$10,Paramètres!$A$1:$I$89,5,0)</f>
        <v>108.90983999999999</v>
      </c>
      <c r="AK50" s="14">
        <f t="shared" si="35"/>
        <v>29.073985674771674</v>
      </c>
      <c r="AL50" s="22">
        <f t="shared" si="4"/>
        <v>240.32182971689394</v>
      </c>
      <c r="AM50" s="62">
        <f t="shared" si="5"/>
        <v>498.21571903738595</v>
      </c>
      <c r="AN50" s="62">
        <f ca="1">AVERAGE(OFFSET($AM$3,0,0,'Données projet'!$E$10+1,1))-AVERAGE(OFFSET($H$3,0,0,'Données projet'!$E$10+1,1))</f>
        <v>349.85922977910184</v>
      </c>
      <c r="AO50" s="62">
        <f t="shared" si="36"/>
        <v>180.11084167023813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60.334697087406902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60.334697087406902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60.334697087406902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60.334697087406902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60.334697087406902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60.334697087406902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60.334697087406902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60.334697087406902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4.4000000000000004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16.133333333333336</v>
      </c>
      <c r="H51" s="70">
        <f t="shared" si="1"/>
        <v>192.13333333333333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60.50236848456025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71.173545323577173</v>
      </c>
      <c r="T51" s="62">
        <f t="shared" si="34"/>
        <v>348.38731536853368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41.273944213950614</v>
      </c>
      <c r="AA51" s="23">
        <f>EXP(-LN(2)/25)*AA50+(1-EXP(-LN(2)/25))/(LN(2)/25)*Calculateur!V51*Calculateur!X51*VLOOKUP('Données projet'!$B$9,Paramètres!$A$1:$I$89,3,0)*0.475*44/12</f>
        <v>8.8405828807295794</v>
      </c>
      <c r="AB51" s="23">
        <f>EXP(-LN(2)/2)*AB50+(1-EXP(-LN(2)/2))/(LN(2)/2)*V51*Y51*VLOOKUP('Données projet'!$B$9,Paramètres!$A$1:$I$89,3,0)*0.475*44/12</f>
        <v>0</v>
      </c>
      <c r="AC51" s="24">
        <f t="shared" si="3"/>
        <v>50.114527094680192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60.50236848456025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5.6</v>
      </c>
      <c r="AI51" s="14">
        <f>IF('Données projet'!$A$62&gt;35,AI50+AH51-AQ50,IF(A51&lt;'Données projet'!$A$62,$AF$205^A51,IF(A51='Données projet'!$A$62,'Données projet'!$B$62,AI50+AH51-AQ50)))</f>
        <v>109.79999999999997</v>
      </c>
      <c r="AJ51" s="14">
        <f>AI51*VLOOKUP('Données projet'!$B$10,Paramètres!$A$1:$I$89,3,0)*VLOOKUP('Données projet'!$B$10,Paramètres!$A$1:$I$89,5,0)</f>
        <v>114.76295999999999</v>
      </c>
      <c r="AK51" s="14">
        <f t="shared" si="35"/>
        <v>30.450391685635733</v>
      </c>
      <c r="AL51" s="22">
        <f t="shared" si="4"/>
        <v>252.91325418581553</v>
      </c>
      <c r="AM51" s="62">
        <f t="shared" si="5"/>
        <v>511.42193862920317</v>
      </c>
      <c r="AN51" s="62">
        <f ca="1">AVERAGE(OFFSET($AM$3,0,0,'Données projet'!$E$10+1,1))-AVERAGE(OFFSET($H$3,0,0,'Données projet'!$E$10+1,1))</f>
        <v>349.85922977910184</v>
      </c>
      <c r="AO51" s="62">
        <f t="shared" si="36"/>
        <v>180.11084167023813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60.50236848456025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60.50236848456025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60.50236848456025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60.50236848456025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60.50236848456025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60.50236848456025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60.50236848456025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60.50236848456025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4.4000000000000004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16.133333333333336</v>
      </c>
      <c r="H52" s="70">
        <f t="shared" si="1"/>
        <v>192.13333333333333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60.66713115783007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71.173545323577173</v>
      </c>
      <c r="T52" s="62">
        <f t="shared" si="34"/>
        <v>348.38731536853368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40.464587342535225</v>
      </c>
      <c r="AA52" s="23">
        <f>EXP(-LN(2)/25)*AA51+(1-EXP(-LN(2)/25))/(LN(2)/25)*Calculateur!V52*Calculateur!X52*VLOOKUP('Données projet'!$B$9,Paramètres!$A$1:$I$89,3,0)*0.475*44/12</f>
        <v>8.5988366769499809</v>
      </c>
      <c r="AB52" s="23">
        <f>EXP(-LN(2)/2)*AB51+(1-EXP(-LN(2)/2))/(LN(2)/2)*V52*Y52*VLOOKUP('Données projet'!$B$9,Paramètres!$A$1:$I$89,3,0)*0.475*44/12</f>
        <v>0</v>
      </c>
      <c r="AC52" s="24">
        <f t="shared" si="3"/>
        <v>49.063424019485204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60.66713115783007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5.6</v>
      </c>
      <c r="AI52" s="14">
        <f>IF('Données projet'!$A$62&gt;35,AI51+AH52-AQ51,IF(A52&lt;'Données projet'!$A$62,$AF$205^A52,IF(A52='Données projet'!$A$62,'Données projet'!$B$62,AI51+AH52-AQ51)))</f>
        <v>115.39999999999996</v>
      </c>
      <c r="AJ52" s="14">
        <f>AI52*VLOOKUP('Données projet'!$B$10,Paramètres!$A$1:$I$89,3,0)*VLOOKUP('Données projet'!$B$10,Paramètres!$A$1:$I$89,5,0)</f>
        <v>120.61607999999998</v>
      </c>
      <c r="AK52" s="14">
        <f t="shared" si="35"/>
        <v>31.818646984184912</v>
      </c>
      <c r="AL52" s="22">
        <f t="shared" si="4"/>
        <v>265.49048283078872</v>
      </c>
      <c r="AM52" s="62">
        <f t="shared" si="5"/>
        <v>524.60329707616563</v>
      </c>
      <c r="AN52" s="62">
        <f ca="1">AVERAGE(OFFSET($AM$3,0,0,'Données projet'!$E$10+1,1))-AVERAGE(OFFSET($H$3,0,0,'Données projet'!$E$10+1,1))</f>
        <v>349.85922977910184</v>
      </c>
      <c r="AO52" s="62">
        <f t="shared" si="36"/>
        <v>180.11084167023813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60.66713115783007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60.66713115783007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60.66713115783007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60.66713115783007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60.66713115783007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60.66713115783007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60.66713115783007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60.66713115783007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4.4000000000000004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16.133333333333336</v>
      </c>
      <c r="H53" s="70">
        <f t="shared" si="1"/>
        <v>192.13333333333333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60.829035567072822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71.173545323577173</v>
      </c>
      <c r="T53" s="62">
        <f t="shared" si="34"/>
        <v>348.38731536853368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39.671101465709349</v>
      </c>
      <c r="AA53" s="23">
        <f>EXP(-LN(2)/25)*AA52+(1-EXP(-LN(2)/25))/(LN(2)/25)*Calculateur!V53*Calculateur!X53*VLOOKUP('Données projet'!$B$9,Paramètres!$A$1:$I$89,3,0)*0.475*44/12</f>
        <v>8.3637010358256152</v>
      </c>
      <c r="AB53" s="23">
        <f>EXP(-LN(2)/2)*AB52+(1-EXP(-LN(2)/2))/(LN(2)/2)*V53*Y53*VLOOKUP('Données projet'!$B$9,Paramètres!$A$1:$I$89,3,0)*0.475*44/12</f>
        <v>0</v>
      </c>
      <c r="AC53" s="24">
        <f t="shared" si="3"/>
        <v>48.034802501534962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60.829035567072822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121</v>
      </c>
      <c r="AG53" s="13">
        <f>VLOOKUP(A53,'Données projet'!$A$61:$I$81,9,0)</f>
        <v>5.6</v>
      </c>
      <c r="AH53" s="13">
        <f t="array" ref="AH53">INDEX(AG:AG,MIN(IF(ISNUMBER(AG53:AG249),ROW(AG53:AG249),"")))</f>
        <v>5.6</v>
      </c>
      <c r="AI53" s="14">
        <f>IF('Données projet'!$A$62&gt;35,AI52+AH53-AQ52,IF(A53&lt;'Données projet'!$A$62,$AF$205^A53,IF(A53='Données projet'!$A$62,'Données projet'!$B$62,AI52+AH53-AQ52)))</f>
        <v>120.99999999999996</v>
      </c>
      <c r="AJ53" s="14">
        <f>AI53*VLOOKUP('Données projet'!$B$10,Paramètres!$A$1:$I$89,3,0)*VLOOKUP('Données projet'!$B$10,Paramètres!$A$1:$I$89,5,0)</f>
        <v>126.46919999999997</v>
      </c>
      <c r="AK53" s="14">
        <f t="shared" si="35"/>
        <v>33.17919224765545</v>
      </c>
      <c r="AL53" s="22">
        <f t="shared" si="4"/>
        <v>278.05428316466646</v>
      </c>
      <c r="AM53" s="62">
        <f t="shared" si="5"/>
        <v>537.76074691060012</v>
      </c>
      <c r="AN53" s="62">
        <f ca="1">AVERAGE(OFFSET($AM$3,0,0,'Données projet'!$E$10+1,1))-AVERAGE(OFFSET($H$3,0,0,'Données projet'!$E$10+1,1))</f>
        <v>349.85922977910184</v>
      </c>
      <c r="AO53" s="62">
        <f t="shared" si="36"/>
        <v>180.11084167023813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14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60.829035567072822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60.829035567072822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60.829035567072822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60.829035567072822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60.829035567072822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60.829035567072822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60.829035567072822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60.829035567072822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4.4000000000000004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16.133333333333336</v>
      </c>
      <c r="H54" s="70">
        <f t="shared" si="1"/>
        <v>192.13333333333333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60.988131296779237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71.173545323577173</v>
      </c>
      <c r="T54" s="62">
        <f t="shared" si="34"/>
        <v>348.38731536853368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38.893175362949428</v>
      </c>
      <c r="AA54" s="23">
        <f>EXP(-LN(2)/25)*AA53+(1-EXP(-LN(2)/25))/(LN(2)/25)*Calculateur!V54*Calculateur!X54*VLOOKUP('Données projet'!$B$9,Paramètres!$A$1:$I$89,3,0)*0.475*44/12</f>
        <v>8.1349951911730418</v>
      </c>
      <c r="AB54" s="23">
        <f>EXP(-LN(2)/2)*AB53+(1-EXP(-LN(2)/2))/(LN(2)/2)*V54*Y54*VLOOKUP('Données projet'!$B$9,Paramètres!$A$1:$I$89,3,0)*0.475*44/12</f>
        <v>0</v>
      </c>
      <c r="AC54" s="24">
        <f t="shared" si="3"/>
        <v>47.028170554122468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60.988131296779237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5.6</v>
      </c>
      <c r="AI54" s="14">
        <f>IF('Données projet'!$A$62&gt;35,AI53+AH54-AQ53,IF(A54&lt;'Données projet'!$A$62,$AF$205^A54,IF(A54='Données projet'!$A$62,'Données projet'!$B$62,AI53+AH54-AQ53)))</f>
        <v>112.59999999999995</v>
      </c>
      <c r="AJ54" s="14">
        <f>AI54*VLOOKUP('Données projet'!$B$10,Paramètres!$A$1:$I$89,3,0)*VLOOKUP('Données projet'!$B$10,Paramètres!$A$1:$I$89,5,0)</f>
        <v>117.68951999999997</v>
      </c>
      <c r="AK54" s="14">
        <f t="shared" si="35"/>
        <v>31.135509543838769</v>
      </c>
      <c r="AL54" s="22">
        <f t="shared" si="4"/>
        <v>259.20359312218585</v>
      </c>
      <c r="AM54" s="62">
        <f t="shared" si="5"/>
        <v>519.49340787704307</v>
      </c>
      <c r="AN54" s="62">
        <f ca="1">AVERAGE(OFFSET($AM$3,0,0,'Données projet'!$E$10+1,1))-AVERAGE(OFFSET($H$3,0,0,'Données projet'!$E$10+1,1))</f>
        <v>349.85922977910184</v>
      </c>
      <c r="AO54" s="62">
        <f t="shared" si="36"/>
        <v>180.11084167023813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60.988131296779237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60.988131296779237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60.988131296779237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60.988131296779237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60.988131296779237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60.988131296779237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60.988131296779237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60.988131296779237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4.4000000000000004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16.133333333333336</v>
      </c>
      <c r="H55" s="70">
        <f t="shared" si="1"/>
        <v>192.13333333333333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61.14446707126001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71.173545323577173</v>
      </c>
      <c r="T55" s="62">
        <f t="shared" si="34"/>
        <v>348.38731536853368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38.130503916576558</v>
      </c>
      <c r="AA55" s="23">
        <f>EXP(-LN(2)/25)*AA54+(1-EXP(-LN(2)/25))/(LN(2)/25)*Calculateur!V55*Calculateur!X55*VLOOKUP('Données projet'!$B$9,Paramètres!$A$1:$I$89,3,0)*0.475*44/12</f>
        <v>7.9125433198696102</v>
      </c>
      <c r="AB55" s="23">
        <f>EXP(-LN(2)/2)*AB54+(1-EXP(-LN(2)/2))/(LN(2)/2)*V55*Y55*VLOOKUP('Données projet'!$B$9,Paramètres!$A$1:$I$89,3,0)*0.475*44/12</f>
        <v>0</v>
      </c>
      <c r="AC55" s="24">
        <f t="shared" si="3"/>
        <v>46.043047236446171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61.14446707126001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5.6</v>
      </c>
      <c r="AI55" s="14">
        <f>IF('Données projet'!$A$62&gt;35,AI54+AH55-AQ54,IF(A55&lt;'Données projet'!$A$62,$AF$205^A55,IF(A55='Données projet'!$A$62,'Données projet'!$B$62,AI54+AH55-AQ54)))</f>
        <v>118.19999999999995</v>
      </c>
      <c r="AJ55" s="14">
        <f>AI55*VLOOKUP('Données projet'!$B$10,Paramètres!$A$1:$I$89,3,0)*VLOOKUP('Données projet'!$B$10,Paramètres!$A$1:$I$89,5,0)</f>
        <v>123.54263999999996</v>
      </c>
      <c r="AK55" s="14">
        <f t="shared" si="35"/>
        <v>32.499857586578202</v>
      </c>
      <c r="AL55" s="22">
        <f t="shared" si="4"/>
        <v>271.77401662995698</v>
      </c>
      <c r="AM55" s="62">
        <f t="shared" si="5"/>
        <v>532.63706255791033</v>
      </c>
      <c r="AN55" s="62">
        <f ca="1">AVERAGE(OFFSET($AM$3,0,0,'Données projet'!$E$10+1,1))-AVERAGE(OFFSET($H$3,0,0,'Données projet'!$E$10+1,1))</f>
        <v>349.85922977910184</v>
      </c>
      <c r="AO55" s="62">
        <f t="shared" si="36"/>
        <v>180.11084167023813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61.14446707126001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61.14446707126001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61.14446707126001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61.14446707126001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61.14446707126001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61.14446707126001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61.14446707126001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61.14446707126001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4.4000000000000004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16.133333333333336</v>
      </c>
      <c r="H56" s="70">
        <f t="shared" si="1"/>
        <v>192.13333333333333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61.298090769567978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71.173545323577173</v>
      </c>
      <c r="T56" s="62">
        <f t="shared" si="34"/>
        <v>348.38731536853368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37.382787992083415</v>
      </c>
      <c r="AA56" s="23">
        <f>EXP(-LN(2)/25)*AA55+(1-EXP(-LN(2)/25))/(LN(2)/25)*Calculateur!V56*Calculateur!X56*VLOOKUP('Données projet'!$B$9,Paramètres!$A$1:$I$89,3,0)*0.475*44/12</f>
        <v>7.6961744066852074</v>
      </c>
      <c r="AB56" s="23">
        <f>EXP(-LN(2)/2)*AB55+(1-EXP(-LN(2)/2))/(LN(2)/2)*V56*Y56*VLOOKUP('Données projet'!$B$9,Paramètres!$A$1:$I$89,3,0)*0.475*44/12</f>
        <v>0</v>
      </c>
      <c r="AC56" s="24">
        <f t="shared" si="3"/>
        <v>45.078962398768624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61.298090769567978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5.6</v>
      </c>
      <c r="AI56" s="14">
        <f>IF('Données projet'!$A$62&gt;35,AI55+AH56-AQ55,IF(A56&lt;'Données projet'!$A$62,$AF$205^A56,IF(A56='Données projet'!$A$62,'Données projet'!$B$62,AI55+AH56-AQ55)))</f>
        <v>123.79999999999994</v>
      </c>
      <c r="AJ56" s="14">
        <f>AI56*VLOOKUP('Données projet'!$B$10,Paramètres!$A$1:$I$89,3,0)*VLOOKUP('Données projet'!$B$10,Paramètres!$A$1:$I$89,5,0)</f>
        <v>129.39575999999997</v>
      </c>
      <c r="AK56" s="14">
        <f t="shared" si="35"/>
        <v>33.856699374099193</v>
      </c>
      <c r="AL56" s="22">
        <f t="shared" si="4"/>
        <v>284.33136674322265</v>
      </c>
      <c r="AM56" s="62">
        <f t="shared" si="5"/>
        <v>545.75769956497186</v>
      </c>
      <c r="AN56" s="62">
        <f ca="1">AVERAGE(OFFSET($AM$3,0,0,'Données projet'!$E$10+1,1))-AVERAGE(OFFSET($H$3,0,0,'Données projet'!$E$10+1,1))</f>
        <v>349.85922977910184</v>
      </c>
      <c r="AO56" s="62">
        <f t="shared" si="36"/>
        <v>180.11084167023813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61.298090769567978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61.298090769567978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61.298090769567978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61.298090769567978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61.298090769567978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61.298090769567978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61.298090769567978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61.298090769567978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4.4000000000000004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16.133333333333336</v>
      </c>
      <c r="H57" s="70">
        <f t="shared" si="1"/>
        <v>192.13333333333333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61.449049440161431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71.173545323577173</v>
      </c>
      <c r="T57" s="62">
        <f t="shared" si="34"/>
        <v>348.38731536853368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36.649734320807895</v>
      </c>
      <c r="AA57" s="23">
        <f>EXP(-LN(2)/25)*AA56+(1-EXP(-LN(2)/25))/(LN(2)/25)*Calculateur!V57*Calculateur!X57*VLOOKUP('Données projet'!$B$9,Paramètres!$A$1:$I$89,3,0)*0.475*44/12</f>
        <v>7.4857221128101781</v>
      </c>
      <c r="AB57" s="23">
        <f>EXP(-LN(2)/2)*AB56+(1-EXP(-LN(2)/2))/(LN(2)/2)*V57*Y57*VLOOKUP('Données projet'!$B$9,Paramètres!$A$1:$I$89,3,0)*0.475*44/12</f>
        <v>0</v>
      </c>
      <c r="AC57" s="24">
        <f t="shared" si="3"/>
        <v>44.135456433618074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61.449049440161431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5.6</v>
      </c>
      <c r="AI57" s="14">
        <f>IF('Données projet'!$A$62&gt;35,AI56+AH57-AQ56,IF(A57&lt;'Données projet'!$A$62,$AF$205^A57,IF(A57='Données projet'!$A$62,'Données projet'!$B$62,AI56+AH57-AQ56)))</f>
        <v>129.39999999999995</v>
      </c>
      <c r="AJ57" s="14">
        <f>AI57*VLOOKUP('Données projet'!$B$10,Paramètres!$A$1:$I$89,3,0)*VLOOKUP('Données projet'!$B$10,Paramètres!$A$1:$I$89,5,0)</f>
        <v>135.24887999999996</v>
      </c>
      <c r="AK57" s="14">
        <f t="shared" si="35"/>
        <v>35.206413236083414</v>
      </c>
      <c r="AL57" s="22">
        <f t="shared" si="4"/>
        <v>296.87630238617851</v>
      </c>
      <c r="AM57" s="62">
        <f t="shared" si="5"/>
        <v>558.85615033343709</v>
      </c>
      <c r="AN57" s="62">
        <f ca="1">AVERAGE(OFFSET($AM$3,0,0,'Données projet'!$E$10+1,1))-AVERAGE(OFFSET($H$3,0,0,'Données projet'!$E$10+1,1))</f>
        <v>349.85922977910184</v>
      </c>
      <c r="AO57" s="62">
        <f t="shared" si="36"/>
        <v>180.11084167023813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61.449049440161431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61.449049440161431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61.449049440161431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61.449049440161431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61.449049440161431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61.449049440161431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61.449049440161431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61.449049440161431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4.4000000000000004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16.133333333333336</v>
      </c>
      <c r="H58" s="70">
        <f t="shared" si="1"/>
        <v>192.13333333333333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61.597389315313123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71.173545323577173</v>
      </c>
      <c r="T58" s="62">
        <f t="shared" si="34"/>
        <v>348.38731536853368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35.931055384907502</v>
      </c>
      <c r="AA58" s="23">
        <f>EXP(-LN(2)/25)*AA57+(1-EXP(-LN(2)/25))/(LN(2)/25)*Calculateur!V58*Calculateur!X58*VLOOKUP('Données projet'!$B$9,Paramètres!$A$1:$I$89,3,0)*0.475*44/12</f>
        <v>7.2810246479783665</v>
      </c>
      <c r="AB58" s="23">
        <f>EXP(-LN(2)/2)*AB57+(1-EXP(-LN(2)/2))/(LN(2)/2)*V58*Y58*VLOOKUP('Données projet'!$B$9,Paramètres!$A$1:$I$89,3,0)*0.475*44/12</f>
        <v>0</v>
      </c>
      <c r="AC58" s="24">
        <f t="shared" si="3"/>
        <v>43.212080032885865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61.597389315313123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135</v>
      </c>
      <c r="AG58" s="13">
        <f>VLOOKUP(A58,'Données projet'!$A$61:$I$81,9,0)</f>
        <v>5.6</v>
      </c>
      <c r="AH58" s="13">
        <f t="array" ref="AH58">INDEX(AG:AG,MIN(IF(ISNUMBER(AG58:AG254),ROW(AG58:AG254),"")))</f>
        <v>5.6</v>
      </c>
      <c r="AI58" s="14">
        <f>IF('Données projet'!$A$62&gt;35,AI57+AH58-AQ57,IF(A58&lt;'Données projet'!$A$62,$AF$205^A58,IF(A58='Données projet'!$A$62,'Données projet'!$B$62,AI57+AH58-AQ57)))</f>
        <v>134.99999999999994</v>
      </c>
      <c r="AJ58" s="14">
        <f>AI58*VLOOKUP('Données projet'!$B$10,Paramètres!$A$1:$I$89,3,0)*VLOOKUP('Données projet'!$B$10,Paramètres!$A$1:$I$89,5,0)</f>
        <v>141.10199999999995</v>
      </c>
      <c r="AK58" s="14">
        <f t="shared" si="35"/>
        <v>36.549342904663185</v>
      </c>
      <c r="AL58" s="22">
        <f t="shared" si="4"/>
        <v>309.4094222256216</v>
      </c>
      <c r="AM58" s="62">
        <f t="shared" si="5"/>
        <v>571.93318304843638</v>
      </c>
      <c r="AN58" s="62">
        <f ca="1">AVERAGE(OFFSET($AM$3,0,0,'Données projet'!$E$10+1,1))-AVERAGE(OFFSET($H$3,0,0,'Données projet'!$E$10+1,1))</f>
        <v>349.85922977910184</v>
      </c>
      <c r="AO58" s="62">
        <f t="shared" si="36"/>
        <v>180.11084167023813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14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61.597389315313123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61.597389315313123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61.597389315313123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61.597389315313123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61.597389315313123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61.597389315313123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61.597389315313123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61.597389315313123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4.4000000000000004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16.133333333333336</v>
      </c>
      <c r="H59" s="70">
        <f t="shared" si="1"/>
        <v>192.13333333333333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61.743155825269206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71.173545323577173</v>
      </c>
      <c r="T59" s="62">
        <f t="shared" si="34"/>
        <v>348.38731536853368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35.226469304589244</v>
      </c>
      <c r="AA59" s="23">
        <f>EXP(-LN(2)/25)*AA58+(1-EXP(-LN(2)/25))/(LN(2)/25)*Calculateur!V59*Calculateur!X59*VLOOKUP('Données projet'!$B$9,Paramètres!$A$1:$I$89,3,0)*0.475*44/12</f>
        <v>7.0819246460869527</v>
      </c>
      <c r="AB59" s="23">
        <f>EXP(-LN(2)/2)*AB58+(1-EXP(-LN(2)/2))/(LN(2)/2)*V59*Y59*VLOOKUP('Données projet'!$B$9,Paramètres!$A$1:$I$89,3,0)*0.475*44/12</f>
        <v>0</v>
      </c>
      <c r="AC59" s="24">
        <f t="shared" si="3"/>
        <v>42.308393950676198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61.743155825269206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5.6</v>
      </c>
      <c r="AI59" s="14">
        <f>IF('Données projet'!$A$62&gt;35,AI58+AH59-AQ58,IF(A59&lt;'Données projet'!$A$62,$AF$205^A59,IF(A59='Données projet'!$A$62,'Données projet'!$B$62,AI58+AH59-AQ58)))</f>
        <v>126.59999999999994</v>
      </c>
      <c r="AJ59" s="14">
        <f>AI59*VLOOKUP('Données projet'!$B$10,Paramètres!$A$1:$I$89,3,0)*VLOOKUP('Données projet'!$B$10,Paramètres!$A$1:$I$89,5,0)</f>
        <v>132.32231999999993</v>
      </c>
      <c r="AK59" s="14">
        <f t="shared" si="35"/>
        <v>34.532425057968823</v>
      </c>
      <c r="AL59" s="22">
        <f t="shared" si="4"/>
        <v>290.60534764262889</v>
      </c>
      <c r="AM59" s="62">
        <f t="shared" si="5"/>
        <v>553.66358566861595</v>
      </c>
      <c r="AN59" s="62">
        <f ca="1">AVERAGE(OFFSET($AM$3,0,0,'Données projet'!$E$10+1,1))-AVERAGE(OFFSET($H$3,0,0,'Données projet'!$E$10+1,1))</f>
        <v>349.85922977910184</v>
      </c>
      <c r="AO59" s="62">
        <f t="shared" si="36"/>
        <v>180.11084167023813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61.743155825269206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61.743155825269206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61.743155825269206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61.743155825269206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61.743155825269206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61.743155825269206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61.743155825269206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61.743155825269206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4.4000000000000004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16.133333333333336</v>
      </c>
      <c r="H60" s="70">
        <f t="shared" si="1"/>
        <v>192.13333333333333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61.886393612162649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71.173545323577173</v>
      </c>
      <c r="T60" s="62">
        <f t="shared" si="34"/>
        <v>348.38731536853368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34.535699727550956</v>
      </c>
      <c r="AA60" s="23">
        <f>EXP(-LN(2)/25)*AA59+(1-EXP(-LN(2)/25))/(LN(2)/25)*Calculateur!V60*Calculateur!X60*VLOOKUP('Données projet'!$B$9,Paramètres!$A$1:$I$89,3,0)*0.475*44/12</f>
        <v>6.8882690442174734</v>
      </c>
      <c r="AB60" s="23">
        <f>EXP(-LN(2)/2)*AB59+(1-EXP(-LN(2)/2))/(LN(2)/2)*V60*Y60*VLOOKUP('Données projet'!$B$9,Paramètres!$A$1:$I$89,3,0)*0.475*44/12</f>
        <v>0</v>
      </c>
      <c r="AC60" s="24">
        <f t="shared" si="3"/>
        <v>41.423968771768429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61.886393612162649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5.6</v>
      </c>
      <c r="AI60" s="14">
        <f>IF('Données projet'!$A$62&gt;35,AI59+AH60-AQ59,IF(A60&lt;'Données projet'!$A$62,$AF$205^A60,IF(A60='Données projet'!$A$62,'Données projet'!$B$62,AI59+AH60-AQ59)))</f>
        <v>132.19999999999993</v>
      </c>
      <c r="AJ60" s="14">
        <f>AI60*VLOOKUP('Données projet'!$B$10,Paramètres!$A$1:$I$89,3,0)*VLOOKUP('Données projet'!$B$10,Paramètres!$A$1:$I$89,5,0)</f>
        <v>138.17543999999992</v>
      </c>
      <c r="AK60" s="14">
        <f t="shared" si="35"/>
        <v>35.87870583521984</v>
      </c>
      <c r="AL60" s="22">
        <f t="shared" si="4"/>
        <v>303.14430399634108</v>
      </c>
      <c r="AM60" s="62">
        <f t="shared" si="5"/>
        <v>566.72774724093745</v>
      </c>
      <c r="AN60" s="62">
        <f ca="1">AVERAGE(OFFSET($AM$3,0,0,'Données projet'!$E$10+1,1))-AVERAGE(OFFSET($H$3,0,0,'Données projet'!$E$10+1,1))</f>
        <v>349.85922977910184</v>
      </c>
      <c r="AO60" s="62">
        <f t="shared" si="36"/>
        <v>180.11084167023813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61.886393612162649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61.886393612162649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61.886393612162649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61.886393612162649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61.886393612162649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61.886393612162649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61.886393612162649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61.886393612162649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4.4000000000000004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16.133333333333336</v>
      </c>
      <c r="H61" s="70">
        <f t="shared" si="1"/>
        <v>192.13333333333333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62.027146543685213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71.173545323577173</v>
      </c>
      <c r="T61" s="62">
        <f t="shared" si="34"/>
        <v>348.38731536853368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33.858475720590548</v>
      </c>
      <c r="AA61" s="23">
        <f>EXP(-LN(2)/25)*AA60+(1-EXP(-LN(2)/25))/(LN(2)/25)*Calculateur!V61*Calculateur!X61*VLOOKUP('Données projet'!$B$9,Paramètres!$A$1:$I$89,3,0)*0.475*44/12</f>
        <v>6.6999089649650205</v>
      </c>
      <c r="AB61" s="23">
        <f>EXP(-LN(2)/2)*AB60+(1-EXP(-LN(2)/2))/(LN(2)/2)*V61*Y61*VLOOKUP('Données projet'!$B$9,Paramètres!$A$1:$I$89,3,0)*0.475*44/12</f>
        <v>0</v>
      </c>
      <c r="AC61" s="24">
        <f t="shared" si="3"/>
        <v>40.558384685555566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62.027146543685213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5.6</v>
      </c>
      <c r="AI61" s="14">
        <f>IF('Données projet'!$A$62&gt;35,AI60+AH61-AQ60,IF(A61&lt;'Données projet'!$A$62,$AF$205^A61,IF(A61='Données projet'!$A$62,'Données projet'!$B$62,AI60+AH61-AQ60)))</f>
        <v>137.79999999999993</v>
      </c>
      <c r="AJ61" s="14">
        <f>AI61*VLOOKUP('Données projet'!$B$10,Paramètres!$A$1:$I$89,3,0)*VLOOKUP('Données projet'!$B$10,Paramètres!$A$1:$I$89,5,0)</f>
        <v>144.02855999999994</v>
      </c>
      <c r="AK61" s="14">
        <f t="shared" si="35"/>
        <v>37.218362737449134</v>
      </c>
      <c r="AL61" s="22">
        <f t="shared" si="4"/>
        <v>315.67172376772379</v>
      </c>
      <c r="AM61" s="62">
        <f t="shared" si="5"/>
        <v>579.77126109456958</v>
      </c>
      <c r="AN61" s="62">
        <f ca="1">AVERAGE(OFFSET($AM$3,0,0,'Données projet'!$E$10+1,1))-AVERAGE(OFFSET($H$3,0,0,'Données projet'!$E$10+1,1))</f>
        <v>349.85922977910184</v>
      </c>
      <c r="AO61" s="62">
        <f t="shared" si="36"/>
        <v>180.11084167023813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62.027146543685213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62.027146543685213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62.027146543685213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62.027146543685213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62.027146543685213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62.027146543685213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62.027146543685213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62.027146543685213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4.4000000000000004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16.133333333333336</v>
      </c>
      <c r="H62" s="70">
        <f t="shared" si="1"/>
        <v>192.13333333333333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62.165457726522263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71.173545323577173</v>
      </c>
      <c r="T62" s="62">
        <f t="shared" si="34"/>
        <v>348.38731536853368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33.194531663340776</v>
      </c>
      <c r="AA62" s="23">
        <f>EXP(-LN(2)/25)*AA61+(1-EXP(-LN(2)/25))/(LN(2)/25)*Calculateur!V62*Calculateur!X62*VLOOKUP('Données projet'!$B$9,Paramètres!$A$1:$I$89,3,0)*0.475*44/12</f>
        <v>6.5166996019851524</v>
      </c>
      <c r="AB62" s="23">
        <f>EXP(-LN(2)/2)*AB61+(1-EXP(-LN(2)/2))/(LN(2)/2)*V62*Y62*VLOOKUP('Données projet'!$B$9,Paramètres!$A$1:$I$89,3,0)*0.475*44/12</f>
        <v>0</v>
      </c>
      <c r="AC62" s="24">
        <f t="shared" si="3"/>
        <v>39.711231265325928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62.165457726522263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5.6</v>
      </c>
      <c r="AI62" s="14">
        <f>IF('Données projet'!$A$62&gt;35,AI61+AH62-AQ61,IF(A62&lt;'Données projet'!$A$62,$AF$205^A62,IF(A62='Données projet'!$A$62,'Données projet'!$B$62,AI61+AH62-AQ61)))</f>
        <v>143.39999999999992</v>
      </c>
      <c r="AJ62" s="14">
        <f>AI62*VLOOKUP('Données projet'!$B$10,Paramètres!$A$1:$I$89,3,0)*VLOOKUP('Données projet'!$B$10,Paramètres!$A$1:$I$89,5,0)</f>
        <v>149.88167999999993</v>
      </c>
      <c r="AK62" s="14">
        <f t="shared" si="35"/>
        <v>38.551695741507764</v>
      </c>
      <c r="AL62" s="22">
        <f t="shared" si="4"/>
        <v>328.18812941645922</v>
      </c>
      <c r="AM62" s="62">
        <f t="shared" si="5"/>
        <v>592.79480774704086</v>
      </c>
      <c r="AN62" s="62">
        <f ca="1">AVERAGE(OFFSET($AM$3,0,0,'Données projet'!$E$10+1,1))-AVERAGE(OFFSET($H$3,0,0,'Données projet'!$E$10+1,1))</f>
        <v>349.85922977910184</v>
      </c>
      <c r="AO62" s="62">
        <f t="shared" si="36"/>
        <v>180.11084167023813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62.165457726522263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62.165457726522263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62.165457726522263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62.165457726522263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62.165457726522263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62.165457726522263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62.165457726522263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62.165457726522263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4.4000000000000004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16.133333333333336</v>
      </c>
      <c r="H63" s="70">
        <f t="shared" si="1"/>
        <v>192.13333333333333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62.301369519554584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71.173545323577173</v>
      </c>
      <c r="T63" s="62">
        <f t="shared" si="34"/>
        <v>348.38731536853368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32.543607144087787</v>
      </c>
      <c r="AA63" s="23">
        <f>EXP(-LN(2)/25)*AA62+(1-EXP(-LN(2)/25))/(LN(2)/25)*Calculateur!V63*Calculateur!X63*VLOOKUP('Données projet'!$B$9,Paramètres!$A$1:$I$89,3,0)*0.475*44/12</f>
        <v>6.3385001086705302</v>
      </c>
      <c r="AB63" s="23">
        <f>EXP(-LN(2)/2)*AB62+(1-EXP(-LN(2)/2))/(LN(2)/2)*V63*Y63*VLOOKUP('Données projet'!$B$9,Paramètres!$A$1:$I$89,3,0)*0.475*44/12</f>
        <v>0</v>
      </c>
      <c r="AC63" s="24">
        <f t="shared" si="3"/>
        <v>38.882107252758317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62.301369519554584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149</v>
      </c>
      <c r="AG63" s="13">
        <f>VLOOKUP(A63,'Données projet'!$A$61:$I$81,9,0)</f>
        <v>5.6</v>
      </c>
      <c r="AH63" s="13">
        <f t="array" ref="AH63">INDEX(AG:AG,MIN(IF(ISNUMBER(AG63:AG259),ROW(AG63:AG259),"")))</f>
        <v>5.6</v>
      </c>
      <c r="AI63" s="14">
        <f>IF('Données projet'!$A$62&gt;35,AI62+AH63-AQ62,IF(A63&lt;'Données projet'!$A$62,$AF$205^A63,IF(A63='Données projet'!$A$62,'Données projet'!$B$62,AI62+AH63-AQ62)))</f>
        <v>148.99999999999991</v>
      </c>
      <c r="AJ63" s="14">
        <f>AI63*VLOOKUP('Données projet'!$B$10,Paramètres!$A$1:$I$89,3,0)*VLOOKUP('Données projet'!$B$10,Paramètres!$A$1:$I$89,5,0)</f>
        <v>155.73479999999995</v>
      </c>
      <c r="AK63" s="14">
        <f t="shared" si="35"/>
        <v>39.878980068529806</v>
      </c>
      <c r="AL63" s="22">
        <f t="shared" si="4"/>
        <v>340.69400028602269</v>
      </c>
      <c r="AM63" s="62">
        <f t="shared" si="5"/>
        <v>605.79902185772289</v>
      </c>
      <c r="AN63" s="62">
        <f ca="1">AVERAGE(OFFSET($AM$3,0,0,'Données projet'!$E$10+1,1))-AVERAGE(OFFSET($H$3,0,0,'Données projet'!$E$10+1,1))</f>
        <v>349.85922977910184</v>
      </c>
      <c r="AO63" s="62">
        <f t="shared" si="36"/>
        <v>180.11084167023813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14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62.301369519554584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62.301369519554584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62.301369519554584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62.301369519554584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62.301369519554584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62.301369519554584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62.301369519554584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62.301369519554584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4.4000000000000004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16.133333333333336</v>
      </c>
      <c r="H64" s="70">
        <f t="shared" si="1"/>
        <v>192.13333333333333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62.434923546831037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71.173545323577173</v>
      </c>
      <c r="T64" s="62">
        <f t="shared" si="34"/>
        <v>348.38731536853368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31.905446857632594</v>
      </c>
      <c r="AA64" s="23">
        <f>EXP(-LN(2)/25)*AA63+(1-EXP(-LN(2)/25))/(LN(2)/25)*Calculateur!V64*Calculateur!X64*VLOOKUP('Données projet'!$B$9,Paramètres!$A$1:$I$89,3,0)*0.475*44/12</f>
        <v>6.1651734898717008</v>
      </c>
      <c r="AB64" s="23">
        <f>EXP(-LN(2)/2)*AB63+(1-EXP(-LN(2)/2))/(LN(2)/2)*V64*Y64*VLOOKUP('Données projet'!$B$9,Paramètres!$A$1:$I$89,3,0)*0.475*44/12</f>
        <v>0</v>
      </c>
      <c r="AC64" s="24">
        <f t="shared" si="3"/>
        <v>38.070620347504295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62.434923546831037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</v>
      </c>
      <c r="AI64" s="14">
        <f>IF('Données projet'!$A$62&gt;35,AI63+AH64-AQ63,IF(A64&lt;'Données projet'!$A$62,$AF$205^A64,IF(A64='Données projet'!$A$62,'Données projet'!$B$62,AI63+AH64-AQ63)))</f>
        <v>140.1999999999999</v>
      </c>
      <c r="AJ64" s="14">
        <f>AI64*VLOOKUP('Données projet'!$B$10,Paramètres!$A$1:$I$89,3,0)*VLOOKUP('Données projet'!$B$10,Paramètres!$A$1:$I$89,5,0)</f>
        <v>146.53703999999991</v>
      </c>
      <c r="AK64" s="14">
        <f t="shared" si="35"/>
        <v>37.790548942168961</v>
      </c>
      <c r="AL64" s="22">
        <f t="shared" si="4"/>
        <v>321.03721740761074</v>
      </c>
      <c r="AM64" s="62">
        <f t="shared" si="5"/>
        <v>586.63193707932464</v>
      </c>
      <c r="AN64" s="62">
        <f ca="1">AVERAGE(OFFSET($AM$3,0,0,'Données projet'!$E$10+1,1))-AVERAGE(OFFSET($H$3,0,0,'Données projet'!$E$10+1,1))</f>
        <v>349.85922977910184</v>
      </c>
      <c r="AO64" s="62">
        <f t="shared" si="36"/>
        <v>180.11084167023813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62.434923546831037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62.434923546831037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62.434923546831037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62.434923546831037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62.434923546831037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62.434923546831037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62.434923546831037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62.434923546831037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4.4000000000000004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16.133333333333336</v>
      </c>
      <c r="H65" s="70">
        <f t="shared" si="1"/>
        <v>192.13333333333333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62.566160710316318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71.173545323577173</v>
      </c>
      <c r="T65" s="62">
        <f t="shared" si="34"/>
        <v>348.38731536853368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31.279800505155446</v>
      </c>
      <c r="AA65" s="23">
        <f>EXP(-LN(2)/25)*AA64+(1-EXP(-LN(2)/25))/(LN(2)/25)*Calculateur!V65*Calculateur!X65*VLOOKUP('Données projet'!$B$9,Paramètres!$A$1:$I$89,3,0)*0.475*44/12</f>
        <v>5.9965864965787761</v>
      </c>
      <c r="AB65" s="23">
        <f>EXP(-LN(2)/2)*AB64+(1-EXP(-LN(2)/2))/(LN(2)/2)*V65*Y65*VLOOKUP('Données projet'!$B$9,Paramètres!$A$1:$I$89,3,0)*0.475*44/12</f>
        <v>0</v>
      </c>
      <c r="AC65" s="24">
        <f t="shared" si="3"/>
        <v>37.276387001734221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62.566160710316318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</v>
      </c>
      <c r="AI65" s="14">
        <f>IF('Données projet'!$A$62&gt;35,AI64+AH65-AQ64,IF(A65&lt;'Données projet'!$A$62,$AF$205^A65,IF(A65='Données projet'!$A$62,'Données projet'!$B$62,AI64+AH65-AQ64)))</f>
        <v>145.39999999999989</v>
      </c>
      <c r="AJ65" s="14">
        <f>AI65*VLOOKUP('Données projet'!$B$10,Paramètres!$A$1:$I$89,3,0)*VLOOKUP('Données projet'!$B$10,Paramètres!$A$1:$I$89,5,0)</f>
        <v>151.97207999999989</v>
      </c>
      <c r="AK65" s="14">
        <f t="shared" si="35"/>
        <v>39.02640662456627</v>
      </c>
      <c r="AL65" s="22">
        <f t="shared" si="4"/>
        <v>332.65569753778607</v>
      </c>
      <c r="AM65" s="62">
        <f t="shared" si="5"/>
        <v>598.73162014227933</v>
      </c>
      <c r="AN65" s="62">
        <f ca="1">AVERAGE(OFFSET($AM$3,0,0,'Données projet'!$E$10+1,1))-AVERAGE(OFFSET($H$3,0,0,'Données projet'!$E$10+1,1))</f>
        <v>349.85922977910184</v>
      </c>
      <c r="AO65" s="62">
        <f t="shared" si="36"/>
        <v>180.11084167023813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62.566160710316318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62.566160710316318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62.566160710316318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62.566160710316318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62.566160710316318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62.566160710316318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62.566160710316318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62.566160710316318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4.4000000000000004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16.133333333333336</v>
      </c>
      <c r="H66" s="70">
        <f t="shared" si="1"/>
        <v>192.13333333333333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62.695121202417468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71.173545323577173</v>
      </c>
      <c r="T66" s="62">
        <f t="shared" si="34"/>
        <v>348.38731536853368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30.666422696043782</v>
      </c>
      <c r="AA66" s="23">
        <f>EXP(-LN(2)/25)*AA65+(1-EXP(-LN(2)/25))/(LN(2)/25)*Calculateur!V66*Calculateur!X66*VLOOKUP('Données projet'!$B$9,Paramètres!$A$1:$I$89,3,0)*0.475*44/12</f>
        <v>5.8326095234830513</v>
      </c>
      <c r="AB66" s="23">
        <f>EXP(-LN(2)/2)*AB65+(1-EXP(-LN(2)/2))/(LN(2)/2)*V66*Y66*VLOOKUP('Données projet'!$B$9,Paramètres!$A$1:$I$89,3,0)*0.475*44/12</f>
        <v>0</v>
      </c>
      <c r="AC66" s="24">
        <f t="shared" si="3"/>
        <v>36.499032219526832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62.695121202417468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</v>
      </c>
      <c r="AI66" s="14">
        <f>IF('Données projet'!$A$62&gt;35,AI65+AH66-AQ65,IF(A66&lt;'Données projet'!$A$62,$AF$205^A66,IF(A66='Données projet'!$A$62,'Données projet'!$B$62,AI65+AH66-AQ65)))</f>
        <v>150.59999999999988</v>
      </c>
      <c r="AJ66" s="14">
        <f>AI66*VLOOKUP('Données projet'!$B$10,Paramètres!$A$1:$I$89,3,0)*VLOOKUP('Données projet'!$B$10,Paramètres!$A$1:$I$89,5,0)</f>
        <v>157.40711999999991</v>
      </c>
      <c r="AK66" s="14">
        <f t="shared" si="35"/>
        <v>40.257129140302396</v>
      </c>
      <c r="AL66" s="22">
        <f t="shared" si="4"/>
        <v>344.26523391935984</v>
      </c>
      <c r="AM66" s="62">
        <f t="shared" si="5"/>
        <v>610.81401166155729</v>
      </c>
      <c r="AN66" s="62">
        <f ca="1">AVERAGE(OFFSET($AM$3,0,0,'Données projet'!$E$10+1,1))-AVERAGE(OFFSET($H$3,0,0,'Données projet'!$E$10+1,1))</f>
        <v>349.85922977910184</v>
      </c>
      <c r="AO66" s="62">
        <f t="shared" si="36"/>
        <v>180.11084167023813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62.695121202417468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62.695121202417468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62.695121202417468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62.695121202417468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62.695121202417468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62.695121202417468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62.695121202417468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62.695121202417468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4.4000000000000004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16.133333333333336</v>
      </c>
      <c r="H67" s="70">
        <f t="shared" si="1"/>
        <v>192.13333333333333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62.821844518293133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71.173545323577173</v>
      </c>
      <c r="T67" s="62">
        <f t="shared" si="34"/>
        <v>348.38731536853368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30.065072851645276</v>
      </c>
      <c r="AA67" s="23">
        <f>EXP(-LN(2)/25)*AA66+(1-EXP(-LN(2)/25))/(LN(2)/25)*Calculateur!V67*Calculateur!X67*VLOOKUP('Données projet'!$B$9,Paramètres!$A$1:$I$89,3,0)*0.475*44/12</f>
        <v>5.6731165093398026</v>
      </c>
      <c r="AB67" s="23">
        <f>EXP(-LN(2)/2)*AB66+(1-EXP(-LN(2)/2))/(LN(2)/2)*V67*Y67*VLOOKUP('Données projet'!$B$9,Paramètres!$A$1:$I$89,3,0)*0.475*44/12</f>
        <v>0</v>
      </c>
      <c r="AC67" s="24">
        <f t="shared" si="3"/>
        <v>35.738189360985075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62.821844518293133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</v>
      </c>
      <c r="AI67" s="14">
        <f>IF('Données projet'!$A$62&gt;35,AI66+AH67-AQ66,IF(A67&lt;'Données projet'!$A$62,$AF$205^A67,IF(A67='Données projet'!$A$62,'Données projet'!$B$62,AI66+AH67-AQ66)))</f>
        <v>155.79999999999987</v>
      </c>
      <c r="AJ67" s="14">
        <f>AI67*VLOOKUP('Données projet'!$B$10,Paramètres!$A$1:$I$89,3,0)*VLOOKUP('Données projet'!$B$10,Paramètres!$A$1:$I$89,5,0)</f>
        <v>162.84215999999989</v>
      </c>
      <c r="AK67" s="14">
        <f t="shared" si="35"/>
        <v>41.482914120670287</v>
      </c>
      <c r="AL67" s="22">
        <f t="shared" si="4"/>
        <v>355.86617076016728</v>
      </c>
      <c r="AM67" s="62">
        <f t="shared" si="5"/>
        <v>622.87960066057542</v>
      </c>
      <c r="AN67" s="62">
        <f ca="1">AVERAGE(OFFSET($AM$3,0,0,'Données projet'!$E$10+1,1))-AVERAGE(OFFSET($H$3,0,0,'Données projet'!$E$10+1,1))</f>
        <v>349.85922977910184</v>
      </c>
      <c r="AO67" s="62">
        <f t="shared" si="36"/>
        <v>180.11084167023813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62.821844518293133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62.821844518293133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62.821844518293133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62.821844518293133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62.821844518293133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62.821844518293133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62.821844518293133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62.821844518293133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4.4000000000000004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16.133333333333336</v>
      </c>
      <c r="H68" s="70">
        <f t="shared" ref="H68:H131" si="56">(B68+E68+F68)*44/12+(C68+D68)*0.475*44/12</f>
        <v>192.13333333333333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62.946369467949246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71.173545323577173</v>
      </c>
      <c r="T68" s="62">
        <f t="shared" si="34"/>
        <v>348.38731536853368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29.475515110908237</v>
      </c>
      <c r="AA68" s="23">
        <f>EXP(-LN(2)/25)*AA67+(1-EXP(-LN(2)/25))/(LN(2)/25)*Calculateur!V68*Calculateur!X68*VLOOKUP('Données projet'!$B$9,Paramètres!$A$1:$I$89,3,0)*0.475*44/12</f>
        <v>5.5179848400556741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34.993499950963908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62.946369467949246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161</v>
      </c>
      <c r="AG68" s="13">
        <f>VLOOKUP(A68,'Données projet'!$A$61:$I$81,9,0)</f>
        <v>5.2</v>
      </c>
      <c r="AH68" s="13">
        <f t="array" ref="AH68">INDEX(AG:AG,MIN(IF(ISNUMBER(AG68:AG264),ROW(AG68:AG264),"")))</f>
        <v>5.2</v>
      </c>
      <c r="AI68" s="14">
        <f>IF('Données projet'!$A$62&gt;35,AI67+AH68-AQ67,IF(A68&lt;'Données projet'!$A$62,$AF$205^A68,IF(A68='Données projet'!$A$62,'Données projet'!$B$62,AI67+AH68-AQ67)))</f>
        <v>160.99999999999986</v>
      </c>
      <c r="AJ68" s="14">
        <f>AI68*VLOOKUP('Données projet'!$B$10,Paramètres!$A$1:$I$89,3,0)*VLOOKUP('Données projet'!$B$10,Paramètres!$A$1:$I$89,5,0)</f>
        <v>168.27719999999985</v>
      </c>
      <c r="AK68" s="14">
        <f t="shared" si="35"/>
        <v>42.703945256047781</v>
      </c>
      <c r="AL68" s="22">
        <f t="shared" ref="AL68:AL131" si="58">(AJ68+AK68)*0.475*44/12</f>
        <v>367.4588279876163</v>
      </c>
      <c r="AM68" s="62">
        <f t="shared" ref="AM68:AM131" si="59">AL68+(AD68+AE68)*44/12</f>
        <v>634.92884937009683</v>
      </c>
      <c r="AN68" s="62">
        <f ca="1">AVERAGE(OFFSET($AM$3,0,0,'Données projet'!$E$10+1,1))-AVERAGE(OFFSET($H$3,0,0,'Données projet'!$E$10+1,1))</f>
        <v>349.85922977910184</v>
      </c>
      <c r="AO68" s="62">
        <f t="shared" si="36"/>
        <v>180.11084167023813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14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62.946369467949246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62.946369467949246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62.946369467949246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62.946369467949246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62.946369467949246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62.946369467949246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62.946369467949246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62.946369467949246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4.4000000000000004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16.133333333333336</v>
      </c>
      <c r="H69" s="70">
        <f t="shared" si="56"/>
        <v>192.13333333333333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63.0687341881249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71.173545323577173</v>
      </c>
      <c r="T69" s="62">
        <f t="shared" ref="T69:T132" si="88">$T$3</f>
        <v>348.38731536853368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28.897518237872337</v>
      </c>
      <c r="AA69" s="23">
        <f>EXP(-LN(2)/25)*AA68+(1-EXP(-LN(2)/25))/(LN(2)/25)*Calculateur!V69*Calculateur!X69*VLOOKUP('Données projet'!$B$9,Paramètres!$A$1:$I$89,3,0)*0.475*44/12</f>
        <v>5.3670952544261405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34.26461349229848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63.0687341881249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5.2</v>
      </c>
      <c r="AI69" s="14">
        <f>IF('Données projet'!$A$62&gt;35,AI68+AH69-AQ68,IF(A69&lt;'Données projet'!$A$62,$AF$205^A69,IF(A69='Données projet'!$A$62,'Données projet'!$B$62,AI68+AH69-AQ68)))</f>
        <v>152.19999999999985</v>
      </c>
      <c r="AJ69" s="14">
        <f>AI69*VLOOKUP('Données projet'!$B$10,Paramètres!$A$1:$I$89,3,0)*VLOOKUP('Données projet'!$B$10,Paramètres!$A$1:$I$89,5,0)</f>
        <v>159.07943999999986</v>
      </c>
      <c r="AK69" s="14">
        <f t="shared" ref="AK69:AK132" si="89">EXP(-1.0587+0.8836*LN(AJ69)+0.284)</f>
        <v>40.634810852481273</v>
      </c>
      <c r="AL69" s="22">
        <f t="shared" si="58"/>
        <v>347.83565356807134</v>
      </c>
      <c r="AM69" s="62">
        <f t="shared" si="59"/>
        <v>615.75434559119594</v>
      </c>
      <c r="AN69" s="62">
        <f ca="1">AVERAGE(OFFSET($AM$3,0,0,'Données projet'!$E$10+1,1))-AVERAGE(OFFSET($H$3,0,0,'Données projet'!$E$10+1,1))</f>
        <v>349.85922977910184</v>
      </c>
      <c r="AO69" s="62">
        <f t="shared" ref="AO69:AO132" si="90">$AO$3</f>
        <v>180.11084167023813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63.0687341881249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63.0687341881249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63.0687341881249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63.0687341881249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63.0687341881249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63.0687341881249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63.0687341881249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63.0687341881249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4.4000000000000004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16.133333333333336</v>
      </c>
      <c r="H70" s="70">
        <f t="shared" si="56"/>
        <v>192.13333333333333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63.18897615397205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71.173545323577173</v>
      </c>
      <c r="T70" s="62">
        <f t="shared" si="88"/>
        <v>348.38731536853368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28.330855530973388</v>
      </c>
      <c r="AA70" s="23">
        <f>EXP(-LN(2)/25)*AA69+(1-EXP(-LN(2)/25))/(LN(2)/25)*Calculateur!V70*Calculateur!X70*VLOOKUP('Données projet'!$B$9,Paramètres!$A$1:$I$89,3,0)*0.475*44/12</f>
        <v>5.2203317524505852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33.551187283423971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63.18897615397205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5.2</v>
      </c>
      <c r="AI70" s="14">
        <f>IF('Données projet'!$A$62&gt;35,AI69+AH70-AQ69,IF(A70&lt;'Données projet'!$A$62,$AF$205^A70,IF(A70='Données projet'!$A$62,'Données projet'!$B$62,AI69+AH70-AQ69)))</f>
        <v>157.39999999999984</v>
      </c>
      <c r="AJ70" s="14">
        <f>AI70*VLOOKUP('Données projet'!$B$10,Paramètres!$A$1:$I$89,3,0)*VLOOKUP('Données projet'!$B$10,Paramètres!$A$1:$I$89,5,0)</f>
        <v>164.51447999999985</v>
      </c>
      <c r="AK70" s="14">
        <f t="shared" si="89"/>
        <v>41.859114154590543</v>
      </c>
      <c r="AL70" s="22">
        <f t="shared" si="58"/>
        <v>359.43400981924492</v>
      </c>
      <c r="AM70" s="62">
        <f t="shared" si="59"/>
        <v>627.7935890504757</v>
      </c>
      <c r="AN70" s="62">
        <f ca="1">AVERAGE(OFFSET($AM$3,0,0,'Données projet'!$E$10+1,1))-AVERAGE(OFFSET($H$3,0,0,'Données projet'!$E$10+1,1))</f>
        <v>349.85922977910184</v>
      </c>
      <c r="AO70" s="62">
        <f t="shared" si="90"/>
        <v>180.11084167023813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63.18897615397205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63.18897615397205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63.18897615397205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63.18897615397205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63.18897615397205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63.18897615397205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63.18897615397205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63.18897615397205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4.4000000000000004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16.133333333333336</v>
      </c>
      <c r="H71" s="70">
        <f t="shared" si="56"/>
        <v>192.13333333333333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63.307132190532514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71.173545323577173</v>
      </c>
      <c r="T71" s="62">
        <f t="shared" si="88"/>
        <v>348.38731536853368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27.775304734126603</v>
      </c>
      <c r="AA71" s="23">
        <f>EXP(-LN(2)/25)*AA70+(1-EXP(-LN(2)/25))/(LN(2)/25)*Calculateur!V71*Calculateur!X71*VLOOKUP('Données projet'!$B$9,Paramètres!$A$1:$I$89,3,0)*0.475*44/12</f>
        <v>5.077581506154508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32.852886240281109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63.307132190532514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5.2</v>
      </c>
      <c r="AI71" s="14">
        <f>IF('Données projet'!$A$62&gt;35,AI70+AH71-AQ70,IF(A71&lt;'Données projet'!$A$62,$AF$205^A71,IF(A71='Données projet'!$A$62,'Données projet'!$B$62,AI70+AH71-AQ70)))</f>
        <v>162.59999999999982</v>
      </c>
      <c r="AJ71" s="14">
        <f>AI71*VLOOKUP('Données projet'!$B$10,Paramètres!$A$1:$I$89,3,0)*VLOOKUP('Données projet'!$B$10,Paramètres!$A$1:$I$89,5,0)</f>
        <v>169.94951999999984</v>
      </c>
      <c r="AK71" s="14">
        <f t="shared" si="89"/>
        <v>43.078717549153083</v>
      </c>
      <c r="AL71" s="22">
        <f t="shared" si="58"/>
        <v>371.024180398108</v>
      </c>
      <c r="AM71" s="62">
        <f t="shared" si="59"/>
        <v>639.81699843006049</v>
      </c>
      <c r="AN71" s="62">
        <f ca="1">AVERAGE(OFFSET($AM$3,0,0,'Données projet'!$E$10+1,1))-AVERAGE(OFFSET($H$3,0,0,'Données projet'!$E$10+1,1))</f>
        <v>349.85922977910184</v>
      </c>
      <c r="AO71" s="62">
        <f t="shared" si="90"/>
        <v>180.11084167023813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63.307132190532514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63.307132190532514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63.307132190532514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63.307132190532514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63.307132190532514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63.307132190532514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63.307132190532514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63.307132190532514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4.4000000000000004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16.133333333333336</v>
      </c>
      <c r="H72" s="70">
        <f t="shared" si="56"/>
        <v>192.13333333333333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63.423238484015968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71.173545323577173</v>
      </c>
      <c r="T72" s="62">
        <f t="shared" si="88"/>
        <v>348.38731536853368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27.230647949553457</v>
      </c>
      <c r="AA72" s="23">
        <f>EXP(-LN(2)/25)*AA71+(1-EXP(-LN(2)/25))/(LN(2)/25)*Calculateur!V72*Calculateur!X72*VLOOKUP('Données projet'!$B$9,Paramètres!$A$1:$I$89,3,0)*0.475*44/12</f>
        <v>4.9387347728503066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32.169382722403768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63.423238484015968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5.2</v>
      </c>
      <c r="AI72" s="14">
        <f>IF('Données projet'!$A$62&gt;35,AI71+AH72-AQ71,IF(A72&lt;'Données projet'!$A$62,$AF$205^A72,IF(A72='Données projet'!$A$62,'Données projet'!$B$62,AI71+AH72-AQ71)))</f>
        <v>167.79999999999981</v>
      </c>
      <c r="AJ72" s="14">
        <f>AI72*VLOOKUP('Données projet'!$B$10,Paramètres!$A$1:$I$89,3,0)*VLOOKUP('Données projet'!$B$10,Paramètres!$A$1:$I$89,5,0)</f>
        <v>175.38455999999982</v>
      </c>
      <c r="AK72" s="14">
        <f t="shared" si="89"/>
        <v>44.293788582203625</v>
      </c>
      <c r="AL72" s="22">
        <f t="shared" si="58"/>
        <v>382.60645711400434</v>
      </c>
      <c r="AM72" s="62">
        <f t="shared" si="59"/>
        <v>651.82499822206296</v>
      </c>
      <c r="AN72" s="62">
        <f ca="1">AVERAGE(OFFSET($AM$3,0,0,'Données projet'!$E$10+1,1))-AVERAGE(OFFSET($H$3,0,0,'Données projet'!$E$10+1,1))</f>
        <v>349.85922977910184</v>
      </c>
      <c r="AO72" s="62">
        <f t="shared" si="90"/>
        <v>180.11084167023813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63.423238484015968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63.423238484015968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63.423238484015968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63.423238484015968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63.423238484015968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63.423238484015968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63.423238484015968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63.423238484015968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4.4000000000000004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16.133333333333336</v>
      </c>
      <c r="H73" s="70">
        <f t="shared" si="56"/>
        <v>192.13333333333333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63.537330592882277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71.173545323577173</v>
      </c>
      <c r="T73" s="62">
        <f t="shared" si="88"/>
        <v>348.38731536853368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26.696671552317955</v>
      </c>
      <c r="AA73" s="23">
        <f>EXP(-LN(2)/25)*AA72+(1-EXP(-LN(2)/25))/(LN(2)/25)*Calculateur!V73*Calculateur!X73*VLOOKUP('Données projet'!$B$9,Paramètres!$A$1:$I$89,3,0)*0.475*44/12</f>
        <v>4.8036848107699406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31.500356363087896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63.537330592882277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173</v>
      </c>
      <c r="AG73" s="13">
        <f>VLOOKUP(A73,'Données projet'!$A$61:$I$81,9,0)</f>
        <v>5.2</v>
      </c>
      <c r="AH73" s="13">
        <f t="array" ref="AH73">INDEX(AG:AG,MIN(IF(ISNUMBER(AG73:AG269),ROW(AG73:AG269),"")))</f>
        <v>5.2</v>
      </c>
      <c r="AI73" s="14">
        <f>IF('Données projet'!$A$62&gt;35,AI72+AH73-AQ72,IF(A73&lt;'Données projet'!$A$62,$AF$205^A73,IF(A73='Données projet'!$A$62,'Données projet'!$B$62,AI72+AH73-AQ72)))</f>
        <v>172.9999999999998</v>
      </c>
      <c r="AJ73" s="14">
        <f>AI73*VLOOKUP('Données projet'!$B$10,Paramètres!$A$1:$I$89,3,0)*VLOOKUP('Données projet'!$B$10,Paramètres!$A$1:$I$89,5,0)</f>
        <v>180.81959999999981</v>
      </c>
      <c r="AK73" s="14">
        <f t="shared" si="89"/>
        <v>45.50448382562017</v>
      </c>
      <c r="AL73" s="22">
        <f t="shared" si="58"/>
        <v>394.18111266295483</v>
      </c>
      <c r="AM73" s="62">
        <f t="shared" si="59"/>
        <v>663.81799150352322</v>
      </c>
      <c r="AN73" s="62">
        <f ca="1">AVERAGE(OFFSET($AM$3,0,0,'Données projet'!$E$10+1,1))-AVERAGE(OFFSET($H$3,0,0,'Données projet'!$E$10+1,1))</f>
        <v>349.85922977910184</v>
      </c>
      <c r="AO73" s="62">
        <f t="shared" si="90"/>
        <v>180.11084167023813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14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63.537330592882277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63.537330592882277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63.537330592882277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63.537330592882277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63.537330592882277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63.537330592882277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63.537330592882277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63.537330592882277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4.4000000000000004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16.133333333333336</v>
      </c>
      <c r="H74" s="70">
        <f t="shared" si="56"/>
        <v>192.13333333333333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63.649443458731504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71.173545323577173</v>
      </c>
      <c r="T74" s="62">
        <f t="shared" si="88"/>
        <v>348.38731536853368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26.173166106538797</v>
      </c>
      <c r="AA74" s="23">
        <f>EXP(-LN(2)/25)*AA73+(1-EXP(-LN(2)/25))/(LN(2)/25)*Calculateur!V74*Calculateur!X74*VLOOKUP('Données projet'!$B$9,Paramètres!$A$1:$I$89,3,0)*0.475*44/12</f>
        <v>4.6723277970046313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30.845493903543428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63.649443458731504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4.8</v>
      </c>
      <c r="AI74" s="14">
        <f>IF('Données projet'!$A$62&gt;35,AI73+AH74-AQ73,IF(A74&lt;'Données projet'!$A$62,$AF$205^A74,IF(A74='Données projet'!$A$62,'Données projet'!$B$62,AI73+AH74-AQ73)))</f>
        <v>163.79999999999981</v>
      </c>
      <c r="AJ74" s="14">
        <f>AI74*VLOOKUP('Données projet'!$B$10,Paramètres!$A$1:$I$89,3,0)*VLOOKUP('Données projet'!$B$10,Paramètres!$A$1:$I$89,5,0)</f>
        <v>171.20375999999982</v>
      </c>
      <c r="AK74" s="14">
        <f t="shared" si="89"/>
        <v>43.359514967164486</v>
      </c>
      <c r="AL74" s="22">
        <f t="shared" si="58"/>
        <v>373.69770390114451</v>
      </c>
      <c r="AM74" s="62">
        <f t="shared" si="59"/>
        <v>643.74566324982663</v>
      </c>
      <c r="AN74" s="62">
        <f ca="1">AVERAGE(OFFSET($AM$3,0,0,'Données projet'!$E$10+1,1))-AVERAGE(OFFSET($H$3,0,0,'Données projet'!$E$10+1,1))</f>
        <v>349.85922977910184</v>
      </c>
      <c r="AO74" s="62">
        <f t="shared" si="90"/>
        <v>180.11084167023813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63.649443458731504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63.649443458731504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63.649443458731504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63.649443458731504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63.649443458731504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63.649443458731504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63.649443458731504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63.649443458731504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4.4000000000000004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16.133333333333336</v>
      </c>
      <c r="H75" s="70">
        <f t="shared" si="56"/>
        <v>192.13333333333333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63.759611417005054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71.173545323577173</v>
      </c>
      <c r="T75" s="62">
        <f t="shared" si="88"/>
        <v>348.38731536853368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25.659926283244577</v>
      </c>
      <c r="AA75" s="23">
        <f>EXP(-LN(2)/25)*AA74+(1-EXP(-LN(2)/25))/(LN(2)/25)*Calculateur!V75*Calculateur!X75*VLOOKUP('Données projet'!$B$9,Paramètres!$A$1:$I$89,3,0)*0.475*44/12</f>
        <v>4.5445627476884995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30.204489030933075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63.759611417005054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4.8</v>
      </c>
      <c r="AI75" s="14">
        <f>IF('Données projet'!$A$62&gt;35,AI74+AH75-AQ74,IF(A75&lt;'Données projet'!$A$62,$AF$205^A75,IF(A75='Données projet'!$A$62,'Données projet'!$B$62,AI74+AH75-AQ74)))</f>
        <v>168.59999999999982</v>
      </c>
      <c r="AJ75" s="14">
        <f>AI75*VLOOKUP('Données projet'!$B$10,Paramètres!$A$1:$I$89,3,0)*VLOOKUP('Données projet'!$B$10,Paramètres!$A$1:$I$89,5,0)</f>
        <v>176.22071999999983</v>
      </c>
      <c r="AK75" s="14">
        <f t="shared" si="89"/>
        <v>44.480330422808066</v>
      </c>
      <c r="AL75" s="22">
        <f t="shared" si="58"/>
        <v>384.38766281972374</v>
      </c>
      <c r="AM75" s="62">
        <f t="shared" si="59"/>
        <v>654.83957134874231</v>
      </c>
      <c r="AN75" s="62">
        <f ca="1">AVERAGE(OFFSET($AM$3,0,0,'Données projet'!$E$10+1,1))-AVERAGE(OFFSET($H$3,0,0,'Données projet'!$E$10+1,1))</f>
        <v>349.85922977910184</v>
      </c>
      <c r="AO75" s="62">
        <f t="shared" si="90"/>
        <v>180.11084167023813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63.759611417005054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63.759611417005054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63.759611417005054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63.759611417005054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63.759611417005054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63.759611417005054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63.759611417005054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63.759611417005054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4.4000000000000004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16.133333333333336</v>
      </c>
      <c r="H76" s="70">
        <f t="shared" si="56"/>
        <v>192.13333333333333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63.867868207501218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71.173545323577173</v>
      </c>
      <c r="T76" s="62">
        <f t="shared" si="88"/>
        <v>348.38731536853368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25.156750779839776</v>
      </c>
      <c r="AA76" s="23">
        <f>EXP(-LN(2)/25)*AA75+(1-EXP(-LN(2)/25))/(LN(2)/25)*Calculateur!V76*Calculateur!X76*VLOOKUP('Données projet'!$B$9,Paramètres!$A$1:$I$89,3,0)*0.475*44/12</f>
        <v>4.4202914403647897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29.577042220204564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63.867868207501218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4.8</v>
      </c>
      <c r="AI76" s="14">
        <f>IF('Données projet'!$A$62&gt;35,AI75+AH76-AQ75,IF(A76&lt;'Données projet'!$A$62,$AF$205^A76,IF(A76='Données projet'!$A$62,'Données projet'!$B$62,AI75+AH76-AQ75)))</f>
        <v>173.39999999999984</v>
      </c>
      <c r="AJ76" s="14">
        <f>AI76*VLOOKUP('Données projet'!$B$10,Paramètres!$A$1:$I$89,3,0)*VLOOKUP('Données projet'!$B$10,Paramètres!$A$1:$I$89,5,0)</f>
        <v>181.23767999999984</v>
      </c>
      <c r="AK76" s="14">
        <f t="shared" si="89"/>
        <v>45.597437249761917</v>
      </c>
      <c r="AL76" s="22">
        <f t="shared" si="58"/>
        <v>395.07116254333505</v>
      </c>
      <c r="AM76" s="62">
        <f t="shared" si="59"/>
        <v>665.92001263750626</v>
      </c>
      <c r="AN76" s="62">
        <f ca="1">AVERAGE(OFFSET($AM$3,0,0,'Données projet'!$E$10+1,1))-AVERAGE(OFFSET($H$3,0,0,'Données projet'!$E$10+1,1))</f>
        <v>349.85922977910184</v>
      </c>
      <c r="AO76" s="62">
        <f t="shared" si="90"/>
        <v>180.11084167023813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63.867868207501218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63.867868207501218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63.867868207501218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63.867868207501218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63.867868207501218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63.867868207501218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63.867868207501218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63.867868207501218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4.4000000000000004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16.133333333333336</v>
      </c>
      <c r="H77" s="70">
        <f t="shared" si="56"/>
        <v>192.13333333333333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63.974246984708195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71.173545323577173</v>
      </c>
      <c r="T77" s="62">
        <f t="shared" si="88"/>
        <v>348.38731536853368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24.663442241149991</v>
      </c>
      <c r="AA77" s="23">
        <f>EXP(-LN(2)/25)*AA76+(1-EXP(-LN(2)/25))/(LN(2)/25)*Calculateur!V77*Calculateur!X77*VLOOKUP('Données projet'!$B$9,Paramètres!$A$1:$I$89,3,0)*0.475*44/12</f>
        <v>4.2994183384749904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28.96286057962498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63.974246984708195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4.8</v>
      </c>
      <c r="AI77" s="14">
        <f>IF('Données projet'!$A$62&gt;35,AI76+AH77-AQ76,IF(A77&lt;'Données projet'!$A$62,$AF$205^A77,IF(A77='Données projet'!$A$62,'Données projet'!$B$62,AI76+AH77-AQ76)))</f>
        <v>178.19999999999985</v>
      </c>
      <c r="AJ77" s="14">
        <f>AI77*VLOOKUP('Données projet'!$B$10,Paramètres!$A$1:$I$89,3,0)*VLOOKUP('Données projet'!$B$10,Paramètres!$A$1:$I$89,5,0)</f>
        <v>186.25463999999985</v>
      </c>
      <c r="AK77" s="14">
        <f t="shared" si="89"/>
        <v>46.710949903929567</v>
      </c>
      <c r="AL77" s="22">
        <f t="shared" si="58"/>
        <v>405.74840241601038</v>
      </c>
      <c r="AM77" s="62">
        <f t="shared" si="59"/>
        <v>676.98730802660714</v>
      </c>
      <c r="AN77" s="62">
        <f ca="1">AVERAGE(OFFSET($AM$3,0,0,'Données projet'!$E$10+1,1))-AVERAGE(OFFSET($H$3,0,0,'Données projet'!$E$10+1,1))</f>
        <v>349.85922977910184</v>
      </c>
      <c r="AO77" s="62">
        <f t="shared" si="90"/>
        <v>180.11084167023813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63.974246984708195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63.974246984708195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63.974246984708195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63.974246984708195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63.974246984708195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63.974246984708195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63.974246984708195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63.974246984708195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4.4000000000000004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16.133333333333336</v>
      </c>
      <c r="H78" s="70">
        <f t="shared" si="56"/>
        <v>192.13333333333333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64.078780327957958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71.173545323577173</v>
      </c>
      <c r="T78" s="62">
        <f t="shared" si="88"/>
        <v>348.38731536853368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24.179807182015413</v>
      </c>
      <c r="AA78" s="23">
        <f>EXP(-LN(2)/25)*AA77+(1-EXP(-LN(2)/25))/(LN(2)/25)*Calculateur!V78*Calculateur!X78*VLOOKUP('Données projet'!$B$9,Paramètres!$A$1:$I$89,3,0)*0.475*44/12</f>
        <v>4.1818505179128076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28.36165769992822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64.078780327957958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183</v>
      </c>
      <c r="AG78" s="13">
        <f>VLOOKUP(A78,'Données projet'!$A$61:$I$81,9,0)</f>
        <v>4.8</v>
      </c>
      <c r="AH78" s="13">
        <f t="array" ref="AH78">INDEX(AG:AG,MIN(IF(ISNUMBER(AG78:AG274),ROW(AG78:AG274),"")))</f>
        <v>4.8</v>
      </c>
      <c r="AI78" s="14">
        <f>IF('Données projet'!$A$62&gt;35,AI77+AH78-AQ77,IF(A78&lt;'Données projet'!$A$62,$AF$205^A78,IF(A78='Données projet'!$A$62,'Données projet'!$B$62,AI77+AH78-AQ77)))</f>
        <v>182.99999999999986</v>
      </c>
      <c r="AJ78" s="14">
        <f>AI78*VLOOKUP('Données projet'!$B$10,Paramètres!$A$1:$I$89,3,0)*VLOOKUP('Données projet'!$B$10,Paramètres!$A$1:$I$89,5,0)</f>
        <v>191.27159999999986</v>
      </c>
      <c r="AK78" s="14">
        <f t="shared" si="89"/>
        <v>47.820976324217852</v>
      </c>
      <c r="AL78" s="22">
        <f t="shared" si="58"/>
        <v>416.41957043134585</v>
      </c>
      <c r="AM78" s="62">
        <f t="shared" si="59"/>
        <v>688.04176496719174</v>
      </c>
      <c r="AN78" s="62">
        <f ca="1">AVERAGE(OFFSET($AM$3,0,0,'Données projet'!$E$10+1,1))-AVERAGE(OFFSET($H$3,0,0,'Données projet'!$E$10+1,1))</f>
        <v>349.85922977910184</v>
      </c>
      <c r="AO78" s="62">
        <f t="shared" si="90"/>
        <v>180.11084167023813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14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64.078780327957958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64.078780327957958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64.078780327957958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64.078780327957958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64.078780327957958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64.078780327957958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64.078780327957958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64.078780327957958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4.4000000000000004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16.133333333333336</v>
      </c>
      <c r="H79" s="70">
        <f t="shared" si="56"/>
        <v>192.13333333333333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64.181500251403875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71.173545323577173</v>
      </c>
      <c r="T79" s="62">
        <f t="shared" si="88"/>
        <v>348.38731536853368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23.705655911402204</v>
      </c>
      <c r="AA79" s="23">
        <f>EXP(-LN(2)/25)*AA78+(1-EXP(-LN(2)/25))/(LN(2)/25)*Calculateur!V79*Calculateur!X79*VLOOKUP('Données projet'!$B$9,Paramètres!$A$1:$I$89,3,0)*0.475*44/12</f>
        <v>4.0674975955865209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27.773153506988724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64.181500251403875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4.5999999999999996</v>
      </c>
      <c r="AI79" s="14">
        <f>IF('Données projet'!$A$62&gt;35,AI78+AH79-AQ78,IF(A79&lt;'Données projet'!$A$62,$AF$205^A79,IF(A79='Données projet'!$A$62,'Données projet'!$B$62,AI78+AH79-AQ78)))</f>
        <v>173.59999999999985</v>
      </c>
      <c r="AJ79" s="14">
        <f>AI79*VLOOKUP('Données projet'!$B$10,Paramètres!$A$1:$I$89,3,0)*VLOOKUP('Données projet'!$B$10,Paramètres!$A$1:$I$89,5,0)</f>
        <v>181.44671999999986</v>
      </c>
      <c r="AK79" s="14">
        <f t="shared" si="89"/>
        <v>45.643904599396095</v>
      </c>
      <c r="AL79" s="22">
        <f t="shared" si="58"/>
        <v>395.51617117728125</v>
      </c>
      <c r="AM79" s="62">
        <f t="shared" si="59"/>
        <v>667.51500543242878</v>
      </c>
      <c r="AN79" s="62">
        <f ca="1">AVERAGE(OFFSET($AM$3,0,0,'Données projet'!$E$10+1,1))-AVERAGE(OFFSET($H$3,0,0,'Données projet'!$E$10+1,1))</f>
        <v>349.85922977910184</v>
      </c>
      <c r="AO79" s="62">
        <f t="shared" si="90"/>
        <v>180.11084167023813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64.181500251403875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64.181500251403875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64.181500251403875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64.181500251403875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64.181500251403875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64.181500251403875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64.181500251403875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64.181500251403875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4.4000000000000004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16.133333333333336</v>
      </c>
      <c r="H80" s="70">
        <f t="shared" si="56"/>
        <v>192.13333333333333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64.282438213825358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71.173545323577173</v>
      </c>
      <c r="T80" s="62">
        <f t="shared" si="88"/>
        <v>348.38731536853368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23.240802458002001</v>
      </c>
      <c r="AA80" s="23">
        <f>EXP(-LN(2)/25)*AA79+(1-EXP(-LN(2)/25))/(LN(2)/25)*Calculateur!V80*Calculateur!X80*VLOOKUP('Données projet'!$B$9,Paramètres!$A$1:$I$89,3,0)*0.475*44/12</f>
        <v>3.9562716599348051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27.197074117936808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64.282438213825358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4.5999999999999996</v>
      </c>
      <c r="AI80" s="14">
        <f>IF('Données projet'!$A$62&gt;35,AI79+AH80-AQ79,IF(A80&lt;'Données projet'!$A$62,$AF$205^A80,IF(A80='Données projet'!$A$62,'Données projet'!$B$62,AI79+AH80-AQ79)))</f>
        <v>178.19999999999985</v>
      </c>
      <c r="AJ80" s="14">
        <f>AI80*VLOOKUP('Données projet'!$B$10,Paramètres!$A$1:$I$89,3,0)*VLOOKUP('Données projet'!$B$10,Paramètres!$A$1:$I$89,5,0)</f>
        <v>186.25463999999985</v>
      </c>
      <c r="AK80" s="14">
        <f t="shared" si="89"/>
        <v>46.710949903929567</v>
      </c>
      <c r="AL80" s="22">
        <f t="shared" si="58"/>
        <v>405.74840241601038</v>
      </c>
      <c r="AM80" s="62">
        <f t="shared" si="59"/>
        <v>678.11734253336999</v>
      </c>
      <c r="AN80" s="62">
        <f ca="1">AVERAGE(OFFSET($AM$3,0,0,'Données projet'!$E$10+1,1))-AVERAGE(OFFSET($H$3,0,0,'Données projet'!$E$10+1,1))</f>
        <v>349.85922977910184</v>
      </c>
      <c r="AO80" s="62">
        <f t="shared" si="90"/>
        <v>180.11084167023813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64.282438213825358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64.282438213825358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64.282438213825358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64.282438213825358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64.282438213825358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64.282438213825358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64.282438213825358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64.282438213825358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4.4000000000000004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16.133333333333336</v>
      </c>
      <c r="H81" s="70">
        <f t="shared" si="56"/>
        <v>192.13333333333333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64.381625128262286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71.173545323577173</v>
      </c>
      <c r="T81" s="62">
        <f t="shared" si="88"/>
        <v>348.38731536853368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22.785064497290367</v>
      </c>
      <c r="AA81" s="23">
        <f>EXP(-LN(2)/25)*AA80+(1-EXP(-LN(2)/25))/(LN(2)/25)*Calculateur!V81*Calculateur!X81*VLOOKUP('Données projet'!$B$9,Paramètres!$A$1:$I$89,3,0)*0.475*44/12</f>
        <v>3.8480872033426037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26.633151700632972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64.381625128262286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4.5999999999999996</v>
      </c>
      <c r="AI81" s="14">
        <f>IF('Données projet'!$A$62&gt;35,AI80+AH81-AQ80,IF(A81&lt;'Données projet'!$A$62,$AF$205^A81,IF(A81='Données projet'!$A$62,'Données projet'!$B$62,AI80+AH81-AQ80)))</f>
        <v>182.79999999999984</v>
      </c>
      <c r="AJ81" s="14">
        <f>AI81*VLOOKUP('Données projet'!$B$10,Paramètres!$A$1:$I$89,3,0)*VLOOKUP('Données projet'!$B$10,Paramètres!$A$1:$I$89,5,0)</f>
        <v>191.06255999999985</v>
      </c>
      <c r="AK81" s="14">
        <f t="shared" si="89"/>
        <v>47.774793478923463</v>
      </c>
      <c r="AL81" s="22">
        <f t="shared" si="58"/>
        <v>415.97505730912479</v>
      </c>
      <c r="AM81" s="62">
        <f t="shared" si="59"/>
        <v>688.70768277941988</v>
      </c>
      <c r="AN81" s="62">
        <f ca="1">AVERAGE(OFFSET($AM$3,0,0,'Données projet'!$E$10+1,1))-AVERAGE(OFFSET($H$3,0,0,'Données projet'!$E$10+1,1))</f>
        <v>349.85922977910184</v>
      </c>
      <c r="AO81" s="62">
        <f t="shared" si="90"/>
        <v>180.11084167023813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64.381625128262286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64.381625128262286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64.381625128262286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64.381625128262286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64.381625128262286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64.381625128262286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64.381625128262286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64.381625128262286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4.4000000000000004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16.133333333333336</v>
      </c>
      <c r="H82" s="70">
        <f t="shared" si="56"/>
        <v>192.13333333333333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64.479091371482482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71.173545323577173</v>
      </c>
      <c r="T82" s="62">
        <f t="shared" si="88"/>
        <v>348.38731536853368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22.338263280015582</v>
      </c>
      <c r="AA82" s="23">
        <f>EXP(-LN(2)/25)*AA81+(1-EXP(-LN(2)/25))/(LN(2)/25)*Calculateur!V82*Calculateur!X82*VLOOKUP('Données projet'!$B$9,Paramètres!$A$1:$I$89,3,0)*0.475*44/12</f>
        <v>3.742861056405089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26.081124336420672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64.479091371482482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4.5999999999999996</v>
      </c>
      <c r="AI82" s="14">
        <f>IF('Données projet'!$A$62&gt;35,AI81+AH82-AQ81,IF(A82&lt;'Données projet'!$A$62,$AF$205^A82,IF(A82='Données projet'!$A$62,'Données projet'!$B$62,AI81+AH82-AQ81)))</f>
        <v>187.39999999999984</v>
      </c>
      <c r="AJ82" s="14">
        <f>AI82*VLOOKUP('Données projet'!$B$10,Paramètres!$A$1:$I$89,3,0)*VLOOKUP('Données projet'!$B$10,Paramètres!$A$1:$I$89,5,0)</f>
        <v>195.87047999999984</v>
      </c>
      <c r="AK82" s="14">
        <f t="shared" si="89"/>
        <v>48.835525158837854</v>
      </c>
      <c r="AL82" s="22">
        <f t="shared" si="58"/>
        <v>426.19629231830891</v>
      </c>
      <c r="AM82" s="62">
        <f t="shared" si="59"/>
        <v>699.28629401374474</v>
      </c>
      <c r="AN82" s="62">
        <f ca="1">AVERAGE(OFFSET($AM$3,0,0,'Données projet'!$E$10+1,1))-AVERAGE(OFFSET($H$3,0,0,'Données projet'!$E$10+1,1))</f>
        <v>349.85922977910184</v>
      </c>
      <c r="AO82" s="62">
        <f t="shared" si="90"/>
        <v>180.11084167023813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64.479091371482482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64.479091371482482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64.479091371482482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64.479091371482482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64.479091371482482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64.479091371482482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64.479091371482482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64.479091371482482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4.4000000000000004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16.133333333333336</v>
      </c>
      <c r="H83" s="70">
        <f t="shared" si="56"/>
        <v>192.13333333333333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64.574866793284656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71.173545323577173</v>
      </c>
      <c r="T83" s="62">
        <f t="shared" si="88"/>
        <v>348.38731536853368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21.900223562089721</v>
      </c>
      <c r="AA83" s="23">
        <f>EXP(-LN(2)/25)*AA82+(1-EXP(-LN(2)/25))/(LN(2)/25)*Calculateur!V83*Calculateur!X83*VLOOKUP('Données projet'!$B$9,Paramètres!$A$1:$I$89,3,0)*0.475*44/12</f>
        <v>3.6405123239891832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25.540735886078906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64.574866793284656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192</v>
      </c>
      <c r="AG83" s="13">
        <f>VLOOKUP(A83,'Données projet'!$A$61:$I$81,9,0)</f>
        <v>4.5999999999999996</v>
      </c>
      <c r="AH83" s="13">
        <f t="array" ref="AH83">INDEX(AG:AG,MIN(IF(ISNUMBER(AG83:AG279),ROW(AG83:AG279),"")))</f>
        <v>4.5999999999999996</v>
      </c>
      <c r="AI83" s="14">
        <f>IF('Données projet'!$A$62&gt;35,AI82+AH83-AQ82,IF(A83&lt;'Données projet'!$A$62,$AF$205^A83,IF(A83='Données projet'!$A$62,'Données projet'!$B$62,AI82+AH83-AQ82)))</f>
        <v>191.99999999999983</v>
      </c>
      <c r="AJ83" s="14">
        <f>AI83*VLOOKUP('Données projet'!$B$10,Paramètres!$A$1:$I$89,3,0)*VLOOKUP('Données projet'!$B$10,Paramètres!$A$1:$I$89,5,0)</f>
        <v>200.67839999999984</v>
      </c>
      <c r="AK83" s="14">
        <f t="shared" si="89"/>
        <v>49.893230116477824</v>
      </c>
      <c r="AL83" s="22">
        <f t="shared" si="58"/>
        <v>436.41225578619856</v>
      </c>
      <c r="AM83" s="62">
        <f t="shared" si="59"/>
        <v>709.8534340282423</v>
      </c>
      <c r="AN83" s="62">
        <f ca="1">AVERAGE(OFFSET($AM$3,0,0,'Données projet'!$E$10+1,1))-AVERAGE(OFFSET($H$3,0,0,'Données projet'!$E$10+1,1))</f>
        <v>349.85922977910184</v>
      </c>
      <c r="AO83" s="62">
        <f t="shared" si="90"/>
        <v>180.11084167023813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14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64.574866793284656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64.574866793284656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64.574866793284656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64.574866793284656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64.574866793284656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64.574866793284656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64.574866793284656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64.574866793284656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4.4000000000000004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16.133333333333336</v>
      </c>
      <c r="H84" s="70">
        <f t="shared" si="56"/>
        <v>192.13333333333333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64.668980725640338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71.173545323577173</v>
      </c>
      <c r="T84" s="62">
        <f t="shared" si="88"/>
        <v>348.38731536853368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21.470773535854541</v>
      </c>
      <c r="AA84" s="23">
        <f>EXP(-LN(2)/25)*AA83+(1-EXP(-LN(2)/25))/(LN(2)/25)*Calculateur!V84*Calculateur!X84*VLOOKUP('Données projet'!$B$9,Paramètres!$A$1:$I$89,3,0)*0.475*44/12</f>
        <v>3.5409623230434764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25.011735858898017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64.668980725640338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4.4000000000000004</v>
      </c>
      <c r="AI84" s="14">
        <f>IF('Données projet'!$A$62&gt;35,AI83+AH84-AQ83,IF(A84&lt;'Données projet'!$A$62,$AF$205^A84,IF(A84='Données projet'!$A$62,'Données projet'!$B$62,AI83+AH84-AQ83)))</f>
        <v>182.39999999999984</v>
      </c>
      <c r="AJ84" s="14">
        <f>AI84*VLOOKUP('Données projet'!$B$10,Paramètres!$A$1:$I$89,3,0)*VLOOKUP('Données projet'!$B$10,Paramètres!$A$1:$I$89,5,0)</f>
        <v>190.64447999999985</v>
      </c>
      <c r="AK84" s="14">
        <f t="shared" si="89"/>
        <v>47.682410135540295</v>
      </c>
      <c r="AL84" s="22">
        <f t="shared" si="58"/>
        <v>415.08600031939903</v>
      </c>
      <c r="AM84" s="62">
        <f t="shared" si="59"/>
        <v>688.87226298008022</v>
      </c>
      <c r="AN84" s="62">
        <f ca="1">AVERAGE(OFFSET($AM$3,0,0,'Données projet'!$E$10+1,1))-AVERAGE(OFFSET($H$3,0,0,'Données projet'!$E$10+1,1))</f>
        <v>349.85922977910184</v>
      </c>
      <c r="AO84" s="62">
        <f t="shared" si="90"/>
        <v>180.11084167023813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64.668980725640338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64.668980725640338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64.668980725640338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64.668980725640338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64.668980725640338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64.668980725640338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64.668980725640338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64.668980725640338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4.4000000000000004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16.133333333333336</v>
      </c>
      <c r="H85" s="70">
        <f t="shared" si="56"/>
        <v>192.13333333333333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64.761461991676896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71.173545323577173</v>
      </c>
      <c r="T85" s="62">
        <f t="shared" si="88"/>
        <v>348.38731536853368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21.04974476269518</v>
      </c>
      <c r="AA85" s="23">
        <f>EXP(-LN(2)/25)*AA84+(1-EXP(-LN(2)/25))/(LN(2)/25)*Calculateur!V85*Calculateur!X85*VLOOKUP('Données projet'!$B$9,Paramètres!$A$1:$I$89,3,0)*0.475*44/12</f>
        <v>3.4441345221087367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24.493879284803917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64.761461991676896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4.4000000000000004</v>
      </c>
      <c r="AI85" s="14">
        <f>IF('Données projet'!$A$62&gt;35,AI84+AH85-AQ84,IF(A85&lt;'Données projet'!$A$62,$AF$205^A85,IF(A85='Données projet'!$A$62,'Données projet'!$B$62,AI84+AH85-AQ84)))</f>
        <v>186.79999999999984</v>
      </c>
      <c r="AJ85" s="14">
        <f>AI85*VLOOKUP('Données projet'!$B$10,Paramètres!$A$1:$I$89,3,0)*VLOOKUP('Données projet'!$B$10,Paramètres!$A$1:$I$89,5,0)</f>
        <v>195.24335999999985</v>
      </c>
      <c r="AK85" s="14">
        <f t="shared" si="89"/>
        <v>48.697342276114661</v>
      </c>
      <c r="AL85" s="22">
        <f t="shared" si="58"/>
        <v>424.86338979756607</v>
      </c>
      <c r="AM85" s="62">
        <f t="shared" si="59"/>
        <v>698.9887504337147</v>
      </c>
      <c r="AN85" s="62">
        <f ca="1">AVERAGE(OFFSET($AM$3,0,0,'Données projet'!$E$10+1,1))-AVERAGE(OFFSET($H$3,0,0,'Données projet'!$E$10+1,1))</f>
        <v>349.85922977910184</v>
      </c>
      <c r="AO85" s="62">
        <f t="shared" si="90"/>
        <v>180.11084167023813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64.761461991676896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64.761461991676896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64.761461991676896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64.761461991676896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64.761461991676896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64.761461991676896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64.761461991676896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64.761461991676896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4.4000000000000004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16.133333333333336</v>
      </c>
      <c r="H86" s="70">
        <f t="shared" si="56"/>
        <v>192.13333333333333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64.852338914504841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71.173545323577173</v>
      </c>
      <c r="T86" s="62">
        <f t="shared" si="88"/>
        <v>348.38731536853368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20.636972106975279</v>
      </c>
      <c r="AA86" s="23">
        <f>EXP(-LN(2)/25)*AA85+(1-EXP(-LN(2)/25))/(LN(2)/25)*Calculateur!V86*Calculateur!X86*VLOOKUP('Données projet'!$B$9,Paramètres!$A$1:$I$89,3,0)*0.475*44/12</f>
        <v>3.3499544824825103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23.986926589457788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64.852338914504841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4.4000000000000004</v>
      </c>
      <c r="AI86" s="14">
        <f>IF('Données projet'!$A$62&gt;35,AI85+AH86-AQ85,IF(A86&lt;'Données projet'!$A$62,$AF$205^A86,IF(A86='Données projet'!$A$62,'Données projet'!$B$62,AI85+AH86-AQ85)))</f>
        <v>191.19999999999985</v>
      </c>
      <c r="AJ86" s="14">
        <f>AI86*VLOOKUP('Données projet'!$B$10,Paramètres!$A$1:$I$89,3,0)*VLOOKUP('Données projet'!$B$10,Paramètres!$A$1:$I$89,5,0)</f>
        <v>199.84223999999986</v>
      </c>
      <c r="AK86" s="14">
        <f t="shared" si="89"/>
        <v>49.709495260159976</v>
      </c>
      <c r="AL86" s="22">
        <f t="shared" si="58"/>
        <v>434.63593891144501</v>
      </c>
      <c r="AM86" s="62">
        <f t="shared" si="59"/>
        <v>709.09451493129609</v>
      </c>
      <c r="AN86" s="62">
        <f ca="1">AVERAGE(OFFSET($AM$3,0,0,'Données projet'!$E$10+1,1))-AVERAGE(OFFSET($H$3,0,0,'Données projet'!$E$10+1,1))</f>
        <v>349.85922977910184</v>
      </c>
      <c r="AO86" s="62">
        <f t="shared" si="90"/>
        <v>180.11084167023813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64.852338914504841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64.852338914504841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64.852338914504841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64.852338914504841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64.852338914504841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64.852338914504841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64.852338914504841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64.852338914504841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4.4000000000000004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16.133333333333336</v>
      </c>
      <c r="H87" s="70">
        <f t="shared" si="56"/>
        <v>192.13333333333333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64.941639325892083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71.173545323577173</v>
      </c>
      <c r="T87" s="62">
        <f t="shared" si="88"/>
        <v>348.38731536853368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20.232293671267584</v>
      </c>
      <c r="AA87" s="23">
        <f>EXP(-LN(2)/25)*AA86+(1-EXP(-LN(2)/25))/(LN(2)/25)*Calculateur!V87*Calculateur!X87*VLOOKUP('Données projet'!$B$9,Paramètres!$A$1:$I$89,3,0)*0.475*44/12</f>
        <v>3.2583498009925762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23.49064347226016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64.941639325892083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4.4000000000000004</v>
      </c>
      <c r="AI87" s="14">
        <f>IF('Données projet'!$A$62&gt;35,AI86+AH87-AQ86,IF(A87&lt;'Données projet'!$A$62,$AF$205^A87,IF(A87='Données projet'!$A$62,'Données projet'!$B$62,AI86+AH87-AQ86)))</f>
        <v>195.59999999999985</v>
      </c>
      <c r="AJ87" s="14">
        <f>AI87*VLOOKUP('Données projet'!$B$10,Paramètres!$A$1:$I$89,3,0)*VLOOKUP('Données projet'!$B$10,Paramètres!$A$1:$I$89,5,0)</f>
        <v>204.44111999999987</v>
      </c>
      <c r="AK87" s="14">
        <f t="shared" si="89"/>
        <v>50.718940404759046</v>
      </c>
      <c r="AL87" s="22">
        <f t="shared" si="58"/>
        <v>444.40377187162176</v>
      </c>
      <c r="AM87" s="62">
        <f t="shared" si="59"/>
        <v>719.18978273322614</v>
      </c>
      <c r="AN87" s="62">
        <f ca="1">AVERAGE(OFFSET($AM$3,0,0,'Données projet'!$E$10+1,1))-AVERAGE(OFFSET($H$3,0,0,'Données projet'!$E$10+1,1))</f>
        <v>349.85922977910184</v>
      </c>
      <c r="AO87" s="62">
        <f t="shared" si="90"/>
        <v>180.11084167023813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64.941639325892083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64.941639325892083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64.941639325892083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64.941639325892083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64.941639325892083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64.941639325892083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64.941639325892083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64.941639325892083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4.4000000000000004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16.133333333333336</v>
      </c>
      <c r="H88" s="70">
        <f t="shared" si="56"/>
        <v>192.13333333333333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65.02939057478757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71.173545323577173</v>
      </c>
      <c r="T88" s="62">
        <f t="shared" si="88"/>
        <v>348.38731536853368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19.835550732854646</v>
      </c>
      <c r="AA88" s="23">
        <f>EXP(-LN(2)/25)*AA87+(1-EXP(-LN(2)/25))/(LN(2)/25)*Calculateur!V88*Calculateur!X88*VLOOKUP('Données projet'!$B$9,Paramètres!$A$1:$I$89,3,0)*0.475*44/12</f>
        <v>3.1692500543352651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23.004800787189911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65.02939057478757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200</v>
      </c>
      <c r="AG88" s="13">
        <f>VLOOKUP(A88,'Données projet'!$A$61:$I$81,9,0)</f>
        <v>4.4000000000000004</v>
      </c>
      <c r="AH88" s="13">
        <f t="array" ref="AH88">INDEX(AG:AG,MIN(IF(ISNUMBER(AG88:AG284),ROW(AG88:AG284),"")))</f>
        <v>4.4000000000000004</v>
      </c>
      <c r="AI88" s="14">
        <f>IF('Données projet'!$A$62&gt;35,AI87+AH88-AQ87,IF(A88&lt;'Données projet'!$A$62,$AF$205^A88,IF(A88='Données projet'!$A$62,'Données projet'!$B$62,AI87+AH88-AQ87)))</f>
        <v>199.99999999999986</v>
      </c>
      <c r="AJ88" s="14">
        <f>AI88*VLOOKUP('Données projet'!$B$10,Paramètres!$A$1:$I$89,3,0)*VLOOKUP('Données projet'!$B$10,Paramètres!$A$1:$I$89,5,0)</f>
        <v>209.03999999999988</v>
      </c>
      <c r="AK88" s="14">
        <f t="shared" si="89"/>
        <v>51.725745635299404</v>
      </c>
      <c r="AL88" s="22">
        <f t="shared" si="58"/>
        <v>454.16700698147952</v>
      </c>
      <c r="AM88" s="62">
        <f t="shared" si="59"/>
        <v>729.27477242236728</v>
      </c>
      <c r="AN88" s="62">
        <f ca="1">AVERAGE(OFFSET($AM$3,0,0,'Données projet'!$E$10+1,1))-AVERAGE(OFFSET($H$3,0,0,'Données projet'!$E$10+1,1))</f>
        <v>349.85922977910184</v>
      </c>
      <c r="AO88" s="62">
        <f t="shared" si="90"/>
        <v>180.11084167023813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14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65.02939057478757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65.02939057478757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65.02939057478757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65.02939057478757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65.02939057478757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65.02939057478757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65.02939057478757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65.02939057478757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4.4000000000000004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16.133333333333336</v>
      </c>
      <c r="H89" s="70">
        <f t="shared" si="56"/>
        <v>192.13333333333333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65.115619535697121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71.173545323577173</v>
      </c>
      <c r="T89" s="62">
        <f t="shared" si="88"/>
        <v>348.38731536853368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19.446587681474686</v>
      </c>
      <c r="AA89" s="23">
        <f>EXP(-LN(2)/25)*AA88+(1-EXP(-LN(2)/25))/(LN(2)/25)*Calculateur!V89*Calculateur!X89*VLOOKUP('Données projet'!$B$9,Paramètres!$A$1:$I$89,3,0)*0.475*44/12</f>
        <v>3.0825867449358504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22.529174426410535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65.115619535697121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4.2</v>
      </c>
      <c r="AI89" s="14">
        <f>IF('Données projet'!$A$62&gt;35,AI88+AH89-AQ88,IF(A89&lt;'Données projet'!$A$62,$AF$205^A89,IF(A89='Données projet'!$A$62,'Données projet'!$B$62,AI88+AH89-AQ88)))</f>
        <v>190.19999999999985</v>
      </c>
      <c r="AJ89" s="14">
        <f>AI89*VLOOKUP('Données projet'!$B$10,Paramètres!$A$1:$I$89,3,0)*VLOOKUP('Données projet'!$B$10,Paramètres!$A$1:$I$89,5,0)</f>
        <v>198.79703999999984</v>
      </c>
      <c r="AK89" s="14">
        <f t="shared" si="89"/>
        <v>49.479700772358441</v>
      </c>
      <c r="AL89" s="22">
        <f t="shared" si="58"/>
        <v>432.41532351185737</v>
      </c>
      <c r="AM89" s="62">
        <f t="shared" si="59"/>
        <v>707.83926180941353</v>
      </c>
      <c r="AN89" s="62">
        <f ca="1">AVERAGE(OFFSET($AM$3,0,0,'Données projet'!$E$10+1,1))-AVERAGE(OFFSET($H$3,0,0,'Données projet'!$E$10+1,1))</f>
        <v>349.85922977910184</v>
      </c>
      <c r="AO89" s="62">
        <f t="shared" si="90"/>
        <v>180.11084167023813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65.115619535697121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65.115619535697121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65.115619535697121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65.115619535697121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65.115619535697121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65.115619535697121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65.115619535697121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65.115619535697121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4.4000000000000004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16.133333333333336</v>
      </c>
      <c r="H90" s="70">
        <f t="shared" si="56"/>
        <v>192.13333333333333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65.20035261691396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71.173545323577173</v>
      </c>
      <c r="T90" s="62">
        <f t="shared" si="88"/>
        <v>348.38731536853368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19.06525195828825</v>
      </c>
      <c r="AA90" s="23">
        <f>EXP(-LN(2)/25)*AA89+(1-EXP(-LN(2)/25))/(LN(2)/25)*Calculateur!V90*Calculateur!X90*VLOOKUP('Données projet'!$B$9,Paramètres!$A$1:$I$89,3,0)*0.475*44/12</f>
        <v>2.998293248289388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22.06354520657764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65.20035261691396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4.2</v>
      </c>
      <c r="AI90" s="14">
        <f>IF('Données projet'!$A$62&gt;35,AI89+AH90-AQ89,IF(A90&lt;'Données projet'!$A$62,$AF$205^A90,IF(A90='Données projet'!$A$62,'Données projet'!$B$62,AI89+AH90-AQ89)))</f>
        <v>194.39999999999984</v>
      </c>
      <c r="AJ90" s="14">
        <f>AI90*VLOOKUP('Données projet'!$B$10,Paramètres!$A$1:$I$89,3,0)*VLOOKUP('Données projet'!$B$10,Paramètres!$A$1:$I$89,5,0)</f>
        <v>203.18687999999986</v>
      </c>
      <c r="AK90" s="14">
        <f t="shared" si="89"/>
        <v>50.443901791793785</v>
      </c>
      <c r="AL90" s="22">
        <f t="shared" si="58"/>
        <v>441.74027828737388</v>
      </c>
      <c r="AM90" s="62">
        <f t="shared" si="59"/>
        <v>717.47490454939179</v>
      </c>
      <c r="AN90" s="62">
        <f ca="1">AVERAGE(OFFSET($AM$3,0,0,'Données projet'!$E$10+1,1))-AVERAGE(OFFSET($H$3,0,0,'Données projet'!$E$10+1,1))</f>
        <v>349.85922977910184</v>
      </c>
      <c r="AO90" s="62">
        <f t="shared" si="90"/>
        <v>180.11084167023813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65.20035261691396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65.20035261691396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65.20035261691396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65.20035261691396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65.20035261691396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65.20035261691396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65.20035261691396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65.20035261691396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4.4000000000000004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16.133333333333336</v>
      </c>
      <c r="H91" s="70">
        <f t="shared" si="56"/>
        <v>192.13333333333333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65.283615768606495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71.173545323577173</v>
      </c>
      <c r="T91" s="62">
        <f t="shared" si="88"/>
        <v>348.38731536853368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18.691393996041679</v>
      </c>
      <c r="AA91" s="23">
        <f>EXP(-LN(2)/25)*AA90+(1-EXP(-LN(2)/25))/(LN(2)/25)*Calculateur!V91*Calculateur!X91*VLOOKUP('Données projet'!$B$9,Paramètres!$A$1:$I$89,3,0)*0.475*44/12</f>
        <v>2.9163047617415256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21.607698757783204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65.283615768606495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4.2</v>
      </c>
      <c r="AI91" s="14">
        <f>IF('Données projet'!$A$62&gt;35,AI90+AH91-AQ90,IF(A91&lt;'Données projet'!$A$62,$AF$205^A91,IF(A91='Données projet'!$A$62,'Données projet'!$B$62,AI90+AH91-AQ90)))</f>
        <v>198.59999999999982</v>
      </c>
      <c r="AJ91" s="14">
        <f>AI91*VLOOKUP('Données projet'!$B$10,Paramètres!$A$1:$I$89,3,0)*VLOOKUP('Données projet'!$B$10,Paramètres!$A$1:$I$89,5,0)</f>
        <v>207.57671999999985</v>
      </c>
      <c r="AK91" s="14">
        <f t="shared" si="89"/>
        <v>51.405680871457953</v>
      </c>
      <c r="AL91" s="22">
        <f t="shared" si="58"/>
        <v>451.06101485112231</v>
      </c>
      <c r="AM91" s="62">
        <f t="shared" si="59"/>
        <v>727.10093933601274</v>
      </c>
      <c r="AN91" s="62">
        <f ca="1">AVERAGE(OFFSET($AM$3,0,0,'Données projet'!$E$10+1,1))-AVERAGE(OFFSET($H$3,0,0,'Données projet'!$E$10+1,1))</f>
        <v>349.85922977910184</v>
      </c>
      <c r="AO91" s="62">
        <f t="shared" si="90"/>
        <v>180.11084167023813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65.283615768606495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65.283615768606495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65.283615768606495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65.283615768606495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65.283615768606495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65.283615768606495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65.283615768606495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65.283615768606495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4.4000000000000004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16.133333333333336</v>
      </c>
      <c r="H92" s="70">
        <f t="shared" si="56"/>
        <v>192.13333333333333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65.365434490765665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71.173545323577173</v>
      </c>
      <c r="T92" s="62">
        <f t="shared" si="88"/>
        <v>348.38731536853368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18.324867160403922</v>
      </c>
      <c r="AA92" s="23">
        <f>EXP(-LN(2)/25)*AA91+(1-EXP(-LN(2)/25))/(LN(2)/25)*Calculateur!V92*Calculateur!X92*VLOOKUP('Données projet'!$B$9,Paramètres!$A$1:$I$89,3,0)*0.475*44/12</f>
        <v>2.8365582546699013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21.161425415073822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65.365434490765665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4.2</v>
      </c>
      <c r="AI92" s="14">
        <f>IF('Données projet'!$A$62&gt;35,AI91+AH92-AQ91,IF(A92&lt;'Données projet'!$A$62,$AF$205^A92,IF(A92='Données projet'!$A$62,'Données projet'!$B$62,AI91+AH92-AQ91)))</f>
        <v>202.79999999999981</v>
      </c>
      <c r="AJ92" s="14">
        <f>AI92*VLOOKUP('Données projet'!$B$10,Paramètres!$A$1:$I$89,3,0)*VLOOKUP('Données projet'!$B$10,Paramètres!$A$1:$I$89,5,0)</f>
        <v>211.96655999999984</v>
      </c>
      <c r="AK92" s="14">
        <f t="shared" si="89"/>
        <v>52.365095130819974</v>
      </c>
      <c r="AL92" s="22">
        <f t="shared" si="58"/>
        <v>460.37763268617778</v>
      </c>
      <c r="AM92" s="62">
        <f t="shared" si="59"/>
        <v>736.71755915231847</v>
      </c>
      <c r="AN92" s="62">
        <f ca="1">AVERAGE(OFFSET($AM$3,0,0,'Données projet'!$E$10+1,1))-AVERAGE(OFFSET($H$3,0,0,'Données projet'!$E$10+1,1))</f>
        <v>349.85922977910184</v>
      </c>
      <c r="AO92" s="62">
        <f t="shared" si="90"/>
        <v>180.11084167023813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65.365434490765665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65.365434490765665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65.365434490765665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65.365434490765665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65.365434490765665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65.365434490765665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65.365434490765665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65.365434490765665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4.4000000000000004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16.133333333333336</v>
      </c>
      <c r="H93" s="70">
        <f t="shared" si="56"/>
        <v>192.13333333333333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65.445833841014647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71.173545323577173</v>
      </c>
      <c r="T93" s="62">
        <f t="shared" si="88"/>
        <v>348.38731536853368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17.965527692453726</v>
      </c>
      <c r="AA93" s="23">
        <f>EXP(-LN(2)/25)*AA92+(1-EXP(-LN(2)/25))/(LN(2)/25)*Calculateur!V93*Calculateur!X93*VLOOKUP('Données projet'!$B$9,Paramètres!$A$1:$I$89,3,0)*0.475*44/12</f>
        <v>2.7589924200278371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20.724520112481564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65.445833841014647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207</v>
      </c>
      <c r="AG93" s="13">
        <f>VLOOKUP(A93,'Données projet'!$A$61:$I$81,9,0)</f>
        <v>4.2</v>
      </c>
      <c r="AH93" s="13">
        <f t="array" ref="AH93">INDEX(AG:AG,MIN(IF(ISNUMBER(AG93:AG289),ROW(AG93:AG289),"")))</f>
        <v>4.2</v>
      </c>
      <c r="AI93" s="14">
        <f>IF('Données projet'!$A$62&gt;35,AI92+AH93-AQ92,IF(A93&lt;'Données projet'!$A$62,$AF$205^A93,IF(A93='Données projet'!$A$62,'Données projet'!$B$62,AI92+AH93-AQ92)))</f>
        <v>206.9999999999998</v>
      </c>
      <c r="AJ93" s="14">
        <f>AI93*VLOOKUP('Données projet'!$B$10,Paramètres!$A$1:$I$89,3,0)*VLOOKUP('Données projet'!$B$10,Paramètres!$A$1:$I$89,5,0)</f>
        <v>216.35639999999984</v>
      </c>
      <c r="AK93" s="14">
        <f t="shared" si="89"/>
        <v>53.322199188237242</v>
      </c>
      <c r="AL93" s="22">
        <f t="shared" si="58"/>
        <v>469.6902269195129</v>
      </c>
      <c r="AM93" s="62">
        <f t="shared" si="59"/>
        <v>746.32495100323331</v>
      </c>
      <c r="AN93" s="62">
        <f ca="1">AVERAGE(OFFSET($AM$3,0,0,'Données projet'!$E$10+1,1))-AVERAGE(OFFSET($H$3,0,0,'Données projet'!$E$10+1,1))</f>
        <v>349.85922977910184</v>
      </c>
      <c r="AO93" s="62">
        <f t="shared" si="90"/>
        <v>180.11084167023813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14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65.445833841014647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65.445833841014647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65.445833841014647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65.445833841014647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65.445833841014647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65.445833841014647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65.445833841014647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65.445833841014647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4.4000000000000004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16.133333333333336</v>
      </c>
      <c r="H94" s="70">
        <f t="shared" si="56"/>
        <v>192.13333333333333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65.524838442282828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71.173545323577173</v>
      </c>
      <c r="T94" s="62">
        <f t="shared" si="88"/>
        <v>348.38731536853368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17.613234652294601</v>
      </c>
      <c r="AA94" s="23">
        <f>EXP(-LN(2)/25)*AA93+(1-EXP(-LN(2)/25))/(LN(2)/25)*Calculateur!V94*Calculateur!X94*VLOOKUP('Données projet'!$B$9,Paramètres!$A$1:$I$89,3,0)*0.475*44/12</f>
        <v>2.6835476272130703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20.296782279507671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65.524838442282828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3.8</v>
      </c>
      <c r="AI94" s="14">
        <f>IF('Données projet'!$A$62&gt;35,AI93+AH94-AQ93,IF(A94&lt;'Données projet'!$A$62,$AF$205^A94,IF(A94='Données projet'!$A$62,'Données projet'!$B$62,AI93+AH94-AQ93)))</f>
        <v>196.79999999999981</v>
      </c>
      <c r="AJ94" s="14">
        <f>AI94*VLOOKUP('Données projet'!$B$10,Paramètres!$A$1:$I$89,3,0)*VLOOKUP('Données projet'!$B$10,Paramètres!$A$1:$I$89,5,0)</f>
        <v>205.69535999999982</v>
      </c>
      <c r="AK94" s="14">
        <f t="shared" si="89"/>
        <v>50.993782678591273</v>
      </c>
      <c r="AL94" s="22">
        <f t="shared" si="58"/>
        <v>447.0669234985462</v>
      </c>
      <c r="AM94" s="62">
        <f t="shared" si="59"/>
        <v>723.99133112024992</v>
      </c>
      <c r="AN94" s="62">
        <f ca="1">AVERAGE(OFFSET($AM$3,0,0,'Données projet'!$E$10+1,1))-AVERAGE(OFFSET($H$3,0,0,'Données projet'!$E$10+1,1))</f>
        <v>349.85922977910184</v>
      </c>
      <c r="AO94" s="62">
        <f t="shared" si="90"/>
        <v>180.11084167023813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65.524838442282828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65.524838442282828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65.524838442282828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65.524838442282828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65.524838442282828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65.524838442282828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65.524838442282828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65.524838442282828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4.4000000000000004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16.133333333333336</v>
      </c>
      <c r="H95" s="70">
        <f t="shared" si="56"/>
        <v>192.13333333333333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65.602472490346827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71.173545323577173</v>
      </c>
      <c r="T95" s="62">
        <f t="shared" si="88"/>
        <v>348.38731536853368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17.267849863775456</v>
      </c>
      <c r="AA95" s="23">
        <f>EXP(-LN(2)/25)*AA94+(1-EXP(-LN(2)/25))/(LN(2)/25)*Calculateur!V95*Calculateur!X95*VLOOKUP('Données projet'!$B$9,Paramètres!$A$1:$I$89,3,0)*0.475*44/12</f>
        <v>2.6101658762252926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19.878015740000748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65.602472490346827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3.8</v>
      </c>
      <c r="AI95" s="14">
        <f>IF('Données projet'!$A$62&gt;35,AI94+AH95-AQ94,IF(A95&lt;'Données projet'!$A$62,$AF$205^A95,IF(A95='Données projet'!$A$62,'Données projet'!$B$62,AI94+AH95-AQ94)))</f>
        <v>200.59999999999982</v>
      </c>
      <c r="AJ95" s="14">
        <f>AI95*VLOOKUP('Données projet'!$B$10,Paramètres!$A$1:$I$89,3,0)*VLOOKUP('Données projet'!$B$10,Paramètres!$A$1:$I$89,5,0)</f>
        <v>209.66711999999984</v>
      </c>
      <c r="AK95" s="14">
        <f t="shared" si="89"/>
        <v>51.862836328303622</v>
      </c>
      <c r="AL95" s="22">
        <f t="shared" si="58"/>
        <v>455.49800727179513</v>
      </c>
      <c r="AM95" s="62">
        <f t="shared" si="59"/>
        <v>732.7070730697335</v>
      </c>
      <c r="AN95" s="62">
        <f ca="1">AVERAGE(OFFSET($AM$3,0,0,'Données projet'!$E$10+1,1))-AVERAGE(OFFSET($H$3,0,0,'Données projet'!$E$10+1,1))</f>
        <v>349.85922977910184</v>
      </c>
      <c r="AO95" s="62">
        <f t="shared" si="90"/>
        <v>180.11084167023813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65.602472490346827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65.602472490346827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65.602472490346827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65.602472490346827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65.602472490346827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65.602472490346827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65.602472490346827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65.602472490346827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4.4000000000000004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16.133333333333336</v>
      </c>
      <c r="H96" s="70">
        <f t="shared" si="56"/>
        <v>192.13333333333333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65.678759761240642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71.173545323577173</v>
      </c>
      <c r="T96" s="62">
        <f t="shared" si="88"/>
        <v>348.38731536853368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16.929237860295252</v>
      </c>
      <c r="AA96" s="23">
        <f>EXP(-LN(2)/25)*AA95+(1-EXP(-LN(2)/25))/(LN(2)/25)*Calculateur!V96*Calculateur!X96*VLOOKUP('Données projet'!$B$9,Paramètres!$A$1:$I$89,3,0)*0.475*44/12</f>
        <v>2.538790753077254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19.468028613372507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65.678759761240642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3.8</v>
      </c>
      <c r="AI96" s="14">
        <f>IF('Données projet'!$A$62&gt;35,AI95+AH96-AQ95,IF(A96&lt;'Données projet'!$A$62,$AF$205^A96,IF(A96='Données projet'!$A$62,'Données projet'!$B$62,AI95+AH96-AQ95)))</f>
        <v>204.39999999999984</v>
      </c>
      <c r="AJ96" s="14">
        <f>AI96*VLOOKUP('Données projet'!$B$10,Paramètres!$A$1:$I$89,3,0)*VLOOKUP('Données projet'!$B$10,Paramètres!$A$1:$I$89,5,0)</f>
        <v>213.63887999999983</v>
      </c>
      <c r="AK96" s="14">
        <f t="shared" si="89"/>
        <v>52.729975717788072</v>
      </c>
      <c r="AL96" s="22">
        <f t="shared" si="58"/>
        <v>463.92575704181382</v>
      </c>
      <c r="AM96" s="62">
        <f t="shared" si="59"/>
        <v>741.41454283302949</v>
      </c>
      <c r="AN96" s="62">
        <f ca="1">AVERAGE(OFFSET($AM$3,0,0,'Données projet'!$E$10+1,1))-AVERAGE(OFFSET($H$3,0,0,'Données projet'!$E$10+1,1))</f>
        <v>349.85922977910184</v>
      </c>
      <c r="AO96" s="62">
        <f t="shared" si="90"/>
        <v>180.11084167023813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65.678759761240642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65.678759761240642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65.678759761240642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65.678759761240642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65.678759761240642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65.678759761240642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65.678759761240642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65.678759761240642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4.4000000000000004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16.133333333333336</v>
      </c>
      <c r="H97" s="70">
        <f t="shared" si="56"/>
        <v>192.13333333333333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65.753723618537251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71.173545323577173</v>
      </c>
      <c r="T97" s="62">
        <f t="shared" si="88"/>
        <v>348.38731536853368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16.597265831670367</v>
      </c>
      <c r="AA97" s="23">
        <f>EXP(-LN(2)/25)*AA96+(1-EXP(-LN(2)/25))/(LN(2)/25)*Calculateur!V97*Calculateur!X97*VLOOKUP('Données projet'!$B$9,Paramètres!$A$1:$I$89,3,0)*0.475*44/12</f>
        <v>2.4693673864251533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19.066633218095518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65.753723618537251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3.8</v>
      </c>
      <c r="AI97" s="14">
        <f>IF('Données projet'!$A$62&gt;35,AI96+AH97-AQ96,IF(A97&lt;'Données projet'!$A$62,$AF$205^A97,IF(A97='Données projet'!$A$62,'Données projet'!$B$62,AI96+AH97-AQ96)))</f>
        <v>208.19999999999985</v>
      </c>
      <c r="AJ97" s="14">
        <f>AI97*VLOOKUP('Données projet'!$B$10,Paramètres!$A$1:$I$89,3,0)*VLOOKUP('Données projet'!$B$10,Paramètres!$A$1:$I$89,5,0)</f>
        <v>217.61063999999988</v>
      </c>
      <c r="AK97" s="14">
        <f t="shared" si="89"/>
        <v>53.595240539151249</v>
      </c>
      <c r="AL97" s="22">
        <f t="shared" si="58"/>
        <v>472.35024193902149</v>
      </c>
      <c r="AM97" s="62">
        <f t="shared" si="59"/>
        <v>750.1138952069914</v>
      </c>
      <c r="AN97" s="62">
        <f ca="1">AVERAGE(OFFSET($AM$3,0,0,'Données projet'!$E$10+1,1))-AVERAGE(OFFSET($H$3,0,0,'Données projet'!$E$10+1,1))</f>
        <v>349.85922977910184</v>
      </c>
      <c r="AO97" s="62">
        <f t="shared" si="90"/>
        <v>180.11084167023813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65.753723618537251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65.753723618537251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65.753723618537251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65.753723618537251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65.753723618537251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65.753723618537251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65.753723618537251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65.753723618537251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4.4000000000000004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16.133333333333336</v>
      </c>
      <c r="H98" s="70">
        <f t="shared" si="56"/>
        <v>192.13333333333333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65.827387020503821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71.173545323577173</v>
      </c>
      <c r="T98" s="62">
        <f t="shared" si="88"/>
        <v>348.38731536853368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16.271803572043872</v>
      </c>
      <c r="AA98" s="23">
        <f>EXP(-LN(2)/25)*AA97+(1-EXP(-LN(2)/25))/(LN(2)/25)*Calculateur!V98*Calculateur!X98*VLOOKUP('Données projet'!$B$9,Paramètres!$A$1:$I$89,3,0)*0.475*44/12</f>
        <v>2.4018424053849703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18.673645977428841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65.827387020503821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212</v>
      </c>
      <c r="AG98" s="13">
        <f>VLOOKUP(A98,'Données projet'!$A$61:$I$81,9,0)</f>
        <v>3.8</v>
      </c>
      <c r="AH98" s="13">
        <f t="array" ref="AH98">INDEX(AG:AG,MIN(IF(ISNUMBER(AG98:AG294),ROW(AG98:AG294),"")))</f>
        <v>3.8</v>
      </c>
      <c r="AI98" s="14">
        <f>IF('Données projet'!$A$62&gt;35,AI97+AH98-AQ97,IF(A98&lt;'Données projet'!$A$62,$AF$205^A98,IF(A98='Données projet'!$A$62,'Données projet'!$B$62,AI97+AH98-AQ97)))</f>
        <v>211.99999999999986</v>
      </c>
      <c r="AJ98" s="14">
        <f>AI98*VLOOKUP('Données projet'!$B$10,Paramètres!$A$1:$I$89,3,0)*VLOOKUP('Données projet'!$B$10,Paramètres!$A$1:$I$89,5,0)</f>
        <v>221.58239999999986</v>
      </c>
      <c r="AK98" s="14">
        <f t="shared" si="89"/>
        <v>54.458668952651529</v>
      </c>
      <c r="AL98" s="22">
        <f t="shared" si="58"/>
        <v>480.77152842586787</v>
      </c>
      <c r="AM98" s="62">
        <f t="shared" si="59"/>
        <v>758.80528083438185</v>
      </c>
      <c r="AN98" s="62">
        <f ca="1">AVERAGE(OFFSET($AM$3,0,0,'Données projet'!$E$10+1,1))-AVERAGE(OFFSET($H$3,0,0,'Données projet'!$E$10+1,1))</f>
        <v>349.85922977910184</v>
      </c>
      <c r="AO98" s="62">
        <f t="shared" si="90"/>
        <v>180.11084167023813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14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65.827387020503821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65.827387020503821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65.827387020503821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65.827387020503821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65.827387020503821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65.827387020503821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65.827387020503821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65.827387020503821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4.4000000000000004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16.133333333333336</v>
      </c>
      <c r="H99" s="70">
        <f t="shared" si="56"/>
        <v>192.13333333333333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65.899772527132981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71.173545323577173</v>
      </c>
      <c r="T99" s="62">
        <f t="shared" si="88"/>
        <v>348.38731536853368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15.952723428816276</v>
      </c>
      <c r="AA99" s="23">
        <f>EXP(-LN(2)/25)*AA98+(1-EXP(-LN(2)/25))/(LN(2)/25)*Calculateur!V99*Calculateur!X99*VLOOKUP('Données projet'!$B$9,Paramètres!$A$1:$I$89,3,0)*0.475*44/12</f>
        <v>2.3361638985023157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18.288887327318591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65.899772527132981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3.6</v>
      </c>
      <c r="AI99" s="14">
        <f>IF('Données projet'!$A$62&gt;35,AI98+AH99-AQ98,IF(A99&lt;'Données projet'!$A$62,$AF$205^A99,IF(A99='Données projet'!$A$62,'Données projet'!$B$62,AI98+AH99-AQ98)))</f>
        <v>201.59999999999985</v>
      </c>
      <c r="AJ99" s="14">
        <f>AI99*VLOOKUP('Données projet'!$B$10,Paramètres!$A$1:$I$89,3,0)*VLOOKUP('Données projet'!$B$10,Paramètres!$A$1:$I$89,5,0)</f>
        <v>210.71231999999989</v>
      </c>
      <c r="AK99" s="14">
        <f t="shared" si="89"/>
        <v>52.091214849236422</v>
      </c>
      <c r="AL99" s="22">
        <f t="shared" si="58"/>
        <v>457.71615652908662</v>
      </c>
      <c r="AM99" s="62">
        <f t="shared" si="59"/>
        <v>736.01532246190754</v>
      </c>
      <c r="AN99" s="62">
        <f ca="1">AVERAGE(OFFSET($AM$3,0,0,'Données projet'!$E$10+1,1))-AVERAGE(OFFSET($H$3,0,0,'Données projet'!$E$10+1,1))</f>
        <v>349.85922977910184</v>
      </c>
      <c r="AO99" s="62">
        <f t="shared" si="90"/>
        <v>180.11084167023813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65.899772527132981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65.899772527132981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65.899772527132981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65.899772527132981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65.899772527132981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65.899772527132981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65.899772527132981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65.899772527132981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4.4000000000000004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16.133333333333336</v>
      </c>
      <c r="H100" s="70">
        <f t="shared" si="56"/>
        <v>192.13333333333333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65.970902307051873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71.173545323577173</v>
      </c>
      <c r="T100" s="62">
        <f t="shared" si="88"/>
        <v>348.38731536853368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15.639900252577702</v>
      </c>
      <c r="AA100" s="23">
        <f>EXP(-LN(2)/25)*AA99+(1-EXP(-LN(2)/25))/(LN(2)/25)*Calculateur!V100*Calculateur!X100*VLOOKUP('Données projet'!$B$9,Paramètres!$A$1:$I$89,3,0)*0.475*44/12</f>
        <v>2.2722813738442498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17.912181626421951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65.970902307051873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3.6</v>
      </c>
      <c r="AI100" s="14">
        <f>IF('Données projet'!$A$62&gt;35,AI99+AH100-AQ99,IF(A100&lt;'Données projet'!$A$62,$AF$205^A100,IF(A100='Données projet'!$A$62,'Données projet'!$B$62,AI99+AH100-AQ99)))</f>
        <v>205.19999999999985</v>
      </c>
      <c r="AJ100" s="14">
        <f>AI100*VLOOKUP('Données projet'!$B$10,Paramètres!$A$1:$I$89,3,0)*VLOOKUP('Données projet'!$B$10,Paramètres!$A$1:$I$89,5,0)</f>
        <v>214.47503999999984</v>
      </c>
      <c r="AK100" s="14">
        <f t="shared" si="89"/>
        <v>52.912291212091354</v>
      </c>
      <c r="AL100" s="22">
        <f t="shared" si="58"/>
        <v>465.69960186105874</v>
      </c>
      <c r="AM100" s="62">
        <f t="shared" si="59"/>
        <v>744.25957698691559</v>
      </c>
      <c r="AN100" s="62">
        <f ca="1">AVERAGE(OFFSET($AM$3,0,0,'Données projet'!$E$10+1,1))-AVERAGE(OFFSET($H$3,0,0,'Données projet'!$E$10+1,1))</f>
        <v>349.85922977910184</v>
      </c>
      <c r="AO100" s="62">
        <f t="shared" si="90"/>
        <v>180.11084167023813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65.970902307051873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65.970902307051873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65.970902307051873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65.970902307051873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65.970902307051873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65.970902307051873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65.970902307051873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65.970902307051873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4.4000000000000004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16.133333333333336</v>
      </c>
      <c r="H101" s="70">
        <f t="shared" si="56"/>
        <v>192.13333333333333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66.040798144311537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71.173545323577173</v>
      </c>
      <c r="T101" s="62">
        <f t="shared" si="88"/>
        <v>348.38731536853368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15.333211348021869</v>
      </c>
      <c r="AA101" s="23">
        <f>EXP(-LN(2)/25)*AA100+(1-EXP(-LN(2)/25))/(LN(2)/25)*Calculateur!V101*Calculateur!X101*VLOOKUP('Données projet'!$B$9,Paramètres!$A$1:$I$89,3,0)*0.475*44/12</f>
        <v>2.2101457201823949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17.543357068204266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66.040798144311537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3.6</v>
      </c>
      <c r="AI101" s="14">
        <f>IF('Données projet'!$A$62&gt;35,AI100+AH101-AQ100,IF(A101&lt;'Données projet'!$A$62,$AF$205^A101,IF(A101='Données projet'!$A$62,'Données projet'!$B$62,AI100+AH101-AQ100)))</f>
        <v>208.79999999999984</v>
      </c>
      <c r="AJ101" s="14">
        <f>AI101*VLOOKUP('Données projet'!$B$10,Paramètres!$A$1:$I$89,3,0)*VLOOKUP('Données projet'!$B$10,Paramètres!$A$1:$I$89,5,0)</f>
        <v>218.23775999999987</v>
      </c>
      <c r="AK101" s="14">
        <f t="shared" si="89"/>
        <v>53.731692470599022</v>
      </c>
      <c r="AL101" s="22">
        <f t="shared" si="58"/>
        <v>473.68012971962634</v>
      </c>
      <c r="AM101" s="62">
        <f t="shared" si="59"/>
        <v>752.49638958210198</v>
      </c>
      <c r="AN101" s="62">
        <f ca="1">AVERAGE(OFFSET($AM$3,0,0,'Données projet'!$E$10+1,1))-AVERAGE(OFFSET($H$3,0,0,'Données projet'!$E$10+1,1))</f>
        <v>349.85922977910184</v>
      </c>
      <c r="AO101" s="62">
        <f t="shared" si="90"/>
        <v>180.11084167023813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66.040798144311537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66.040798144311537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66.040798144311537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66.040798144311537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66.040798144311537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66.040798144311537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66.040798144311537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66.040798144311537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4.4000000000000004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16.133333333333336</v>
      </c>
      <c r="H102" s="70">
        <f t="shared" si="56"/>
        <v>192.13333333333333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66.109481445058421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71.173545323577173</v>
      </c>
      <c r="T102" s="62">
        <f t="shared" si="88"/>
        <v>348.38731536853368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15.032536425822617</v>
      </c>
      <c r="AA102" s="23">
        <f>EXP(-LN(2)/25)*AA101+(1-EXP(-LN(2)/25))/(LN(2)/25)*Calculateur!V102*Calculateur!X102*VLOOKUP('Données projet'!$B$9,Paramètres!$A$1:$I$89,3,0)*0.475*44/12</f>
        <v>2.1497091692374952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17.182245595060113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66.109481445058421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3.6</v>
      </c>
      <c r="AI102" s="14">
        <f>IF('Données projet'!$A$62&gt;35,AI101+AH102-AQ101,IF(A102&lt;'Données projet'!$A$62,$AF$205^A102,IF(A102='Données projet'!$A$62,'Données projet'!$B$62,AI101+AH102-AQ101)))</f>
        <v>212.39999999999984</v>
      </c>
      <c r="AJ102" s="14">
        <f>AI102*VLOOKUP('Données projet'!$B$10,Paramètres!$A$1:$I$89,3,0)*VLOOKUP('Données projet'!$B$10,Paramètres!$A$1:$I$89,5,0)</f>
        <v>222.00047999999987</v>
      </c>
      <c r="AK102" s="14">
        <f t="shared" si="89"/>
        <v>54.549450838514574</v>
      </c>
      <c r="AL102" s="22">
        <f t="shared" si="58"/>
        <v>481.6577962104127</v>
      </c>
      <c r="AM102" s="62">
        <f t="shared" si="59"/>
        <v>760.72589484229366</v>
      </c>
      <c r="AN102" s="62">
        <f ca="1">AVERAGE(OFFSET($AM$3,0,0,'Données projet'!$E$10+1,1))-AVERAGE(OFFSET($H$3,0,0,'Données projet'!$E$10+1,1))</f>
        <v>349.85922977910184</v>
      </c>
      <c r="AO102" s="62">
        <f t="shared" si="90"/>
        <v>180.11084167023813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66.109481445058421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66.109481445058421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66.109481445058421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66.109481445058421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66.109481445058421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66.109481445058421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66.109481445058421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66.109481445058421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4.4000000000000004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16.133333333333336</v>
      </c>
      <c r="H103" s="70">
        <f t="shared" si="56"/>
        <v>192.13333333333333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66.176973244090206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71.173545323577173</v>
      </c>
      <c r="T103" s="62">
        <f t="shared" si="88"/>
        <v>348.38731536853368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14.737757555454097</v>
      </c>
      <c r="AA103" s="23">
        <f>EXP(-LN(2)/25)*AA102+(1-EXP(-LN(2)/25))/(LN(2)/25)*Calculateur!V103*Calculateur!X103*VLOOKUP('Données projet'!$B$9,Paramètres!$A$1:$I$89,3,0)*0.475*44/12</f>
        <v>2.0909252589564038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16.828682814410502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66.176973244090206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216</v>
      </c>
      <c r="AG103" s="13">
        <f>VLOOKUP(A103,'Données projet'!$A$61:$I$81,9,0)</f>
        <v>3.6</v>
      </c>
      <c r="AH103" s="13">
        <f t="array" ref="AH103">INDEX(AG:AG,MIN(IF(ISNUMBER(AG103:AG299),ROW(AG103:AG299),"")))</f>
        <v>3.6</v>
      </c>
      <c r="AI103" s="14">
        <f>IF('Données projet'!$A$62&gt;35,AI102+AH103-AQ102,IF(A103&lt;'Données projet'!$A$62,$AF$205^A103,IF(A103='Données projet'!$A$62,'Données projet'!$B$62,AI102+AH103-AQ102)))</f>
        <v>215.99999999999983</v>
      </c>
      <c r="AJ103" s="14">
        <f>AI103*VLOOKUP('Données projet'!$B$10,Paramètres!$A$1:$I$89,3,0)*VLOOKUP('Données projet'!$B$10,Paramètres!$A$1:$I$89,5,0)</f>
        <v>225.76319999999984</v>
      </c>
      <c r="AK103" s="14">
        <f t="shared" si="89"/>
        <v>55.365597375021352</v>
      </c>
      <c r="AL103" s="22">
        <f t="shared" si="58"/>
        <v>489.63265542816185</v>
      </c>
      <c r="AM103" s="62">
        <f t="shared" si="59"/>
        <v>768.94822398982592</v>
      </c>
      <c r="AN103" s="62">
        <f ca="1">AVERAGE(OFFSET($AM$3,0,0,'Données projet'!$E$10+1,1))-AVERAGE(OFFSET($H$3,0,0,'Données projet'!$E$10+1,1))</f>
        <v>349.85922977910184</v>
      </c>
      <c r="AO103" s="62">
        <f t="shared" si="90"/>
        <v>180.11084167023813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13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66.176973244090206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66.176973244090206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66.176973244090206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66.176973244090206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66.176973244090206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66.176973244090206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66.176973244090206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66.176973244090206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4.4000000000000004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16.133333333333336</v>
      </c>
      <c r="H104" s="70">
        <f t="shared" si="56"/>
        <v>192.13333333333333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66.243294211297851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71.173545323577173</v>
      </c>
      <c r="T104" s="62">
        <f t="shared" si="88"/>
        <v>348.38731536853368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14.448759118936147</v>
      </c>
      <c r="AA104" s="23">
        <f>EXP(-LN(2)/25)*AA103+(1-EXP(-LN(2)/25))/(LN(2)/25)*Calculateur!V104*Calculateur!X104*VLOOKUP('Données projet'!$B$9,Paramètres!$A$1:$I$89,3,0)*0.475*44/12</f>
        <v>2.0337487977932605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16.482507916729407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66.243294211297851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3.4</v>
      </c>
      <c r="AI104" s="14">
        <f>IF('Données projet'!$A$62&gt;35,AI103+AH104-AQ103,IF(A104&lt;'Données projet'!$A$62,$AF$205^A104,IF(A104='Données projet'!$A$62,'Données projet'!$B$62,AI103+AH104-AQ103)))</f>
        <v>206.39999999999984</v>
      </c>
      <c r="AJ104" s="14">
        <f>AI104*VLOOKUP('Données projet'!$B$10,Paramètres!$A$1:$I$89,3,0)*VLOOKUP('Données projet'!$B$10,Paramètres!$A$1:$I$89,5,0)</f>
        <v>215.72927999999985</v>
      </c>
      <c r="AK104" s="14">
        <f t="shared" si="89"/>
        <v>53.185609472386865</v>
      </c>
      <c r="AL104" s="22">
        <f t="shared" si="58"/>
        <v>468.36009916440685</v>
      </c>
      <c r="AM104" s="62">
        <f t="shared" si="59"/>
        <v>747.91884460583231</v>
      </c>
      <c r="AN104" s="62">
        <f ca="1">AVERAGE(OFFSET($AM$3,0,0,'Données projet'!$E$10+1,1))-AVERAGE(OFFSET($H$3,0,0,'Données projet'!$E$10+1,1))</f>
        <v>349.85922977910184</v>
      </c>
      <c r="AO104" s="62">
        <f t="shared" si="90"/>
        <v>180.11084167023813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66.243294211297851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66.243294211297851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66.243294211297851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66.243294211297851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66.243294211297851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66.243294211297851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66.243294211297851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66.243294211297851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4.4000000000000004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16.133333333333336</v>
      </c>
      <c r="H105" s="70">
        <f t="shared" si="56"/>
        <v>192.13333333333333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66.308464657995913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71.173545323577173</v>
      </c>
      <c r="T105" s="62">
        <f t="shared" si="88"/>
        <v>348.38731536853368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14.165427765486672</v>
      </c>
      <c r="AA105" s="23">
        <f>EXP(-LN(2)/25)*AA104+(1-EXP(-LN(2)/25))/(LN(2)/25)*Calculateur!V105*Calculateur!X105*VLOOKUP('Données projet'!$B$9,Paramètres!$A$1:$I$89,3,0)*0.475*44/12</f>
        <v>1.9781358299674026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16.143563595454076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66.308464657995913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3.4</v>
      </c>
      <c r="AI105" s="14">
        <f>IF('Données projet'!$A$62&gt;35,AI104+AH105-AQ104,IF(A105&lt;'Données projet'!$A$62,$AF$205^A105,IF(A105='Données projet'!$A$62,'Données projet'!$B$62,AI104+AH105-AQ104)))</f>
        <v>209.79999999999984</v>
      </c>
      <c r="AJ105" s="14">
        <f>AI105*VLOOKUP('Données projet'!$B$10,Paramètres!$A$1:$I$89,3,0)*VLOOKUP('Données projet'!$B$10,Paramètres!$A$1:$I$89,5,0)</f>
        <v>219.28295999999983</v>
      </c>
      <c r="AK105" s="14">
        <f t="shared" si="89"/>
        <v>53.959011021227646</v>
      </c>
      <c r="AL105" s="22">
        <f t="shared" si="58"/>
        <v>475.89643286197116</v>
      </c>
      <c r="AM105" s="62">
        <f t="shared" si="59"/>
        <v>755.69413660795612</v>
      </c>
      <c r="AN105" s="62">
        <f ca="1">AVERAGE(OFFSET($AM$3,0,0,'Données projet'!$E$10+1,1))-AVERAGE(OFFSET($H$3,0,0,'Données projet'!$E$10+1,1))</f>
        <v>349.85922977910184</v>
      </c>
      <c r="AO105" s="62">
        <f t="shared" si="90"/>
        <v>180.11084167023813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66.308464657995913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66.308464657995913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66.308464657995913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66.308464657995913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66.308464657995913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66.308464657995913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66.308464657995913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66.308464657995913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4.4000000000000004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16.133333333333336</v>
      </c>
      <c r="H106" s="70">
        <f t="shared" si="56"/>
        <v>192.13333333333333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66.372504543143052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71.173545323577173</v>
      </c>
      <c r="T106" s="62">
        <f t="shared" si="88"/>
        <v>348.38731536853368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13.88765236706328</v>
      </c>
      <c r="AA106" s="23">
        <f>EXP(-LN(2)/25)*AA105+(1-EXP(-LN(2)/25))/(LN(2)/25)*Calculateur!V106*Calculateur!X106*VLOOKUP('Données projet'!$B$9,Paramètres!$A$1:$I$89,3,0)*0.475*44/12</f>
        <v>1.9240436016713018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15.811695968734583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66.372504543143052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3.4</v>
      </c>
      <c r="AI106" s="14">
        <f>IF('Données projet'!$A$62&gt;35,AI105+AH106-AQ105,IF(A106&lt;'Données projet'!$A$62,$AF$205^A106,IF(A106='Données projet'!$A$62,'Données projet'!$B$62,AI105+AH106-AQ105)))</f>
        <v>213.19999999999985</v>
      </c>
      <c r="AJ106" s="14">
        <f>AI106*VLOOKUP('Données projet'!$B$10,Paramètres!$A$1:$I$89,3,0)*VLOOKUP('Données projet'!$B$10,Paramètres!$A$1:$I$89,5,0)</f>
        <v>222.83663999999987</v>
      </c>
      <c r="AK106" s="14">
        <f t="shared" si="89"/>
        <v>54.730954957867766</v>
      </c>
      <c r="AL106" s="22">
        <f t="shared" si="58"/>
        <v>483.43022788495273</v>
      </c>
      <c r="AM106" s="62">
        <f t="shared" si="59"/>
        <v>763.46274454314391</v>
      </c>
      <c r="AN106" s="62">
        <f ca="1">AVERAGE(OFFSET($AM$3,0,0,'Données projet'!$E$10+1,1))-AVERAGE(OFFSET($H$3,0,0,'Données projet'!$E$10+1,1))</f>
        <v>349.85922977910184</v>
      </c>
      <c r="AO106" s="62">
        <f t="shared" si="90"/>
        <v>180.11084167023813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66.372504543143052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66.372504543143052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66.372504543143052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66.372504543143052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66.372504543143052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66.372504543143052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66.372504543143052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66.372504543143052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4.4000000000000004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16.133333333333336</v>
      </c>
      <c r="H107" s="70">
        <f t="shared" si="56"/>
        <v>192.13333333333333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66.43543347945463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71.173545323577173</v>
      </c>
      <c r="T107" s="62">
        <f t="shared" si="88"/>
        <v>348.38731536853368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13.615323974776707</v>
      </c>
      <c r="AA107" s="23">
        <f>EXP(-LN(2)/25)*AA106+(1-EXP(-LN(2)/25))/(LN(2)/25)*Calculateur!V107*Calculateur!X107*VLOOKUP('Données projet'!$B$9,Paramètres!$A$1:$I$89,3,0)*0.475*44/12</f>
        <v>1.8714305282025445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15.486754502979252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66.43543347945463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3.4</v>
      </c>
      <c r="AI107" s="14">
        <f>IF('Données projet'!$A$62&gt;35,AI106+AH107-AQ106,IF(A107&lt;'Données projet'!$A$62,$AF$205^A107,IF(A107='Données projet'!$A$62,'Données projet'!$B$62,AI106+AH107-AQ106)))</f>
        <v>216.59999999999985</v>
      </c>
      <c r="AJ107" s="14">
        <f>AI107*VLOOKUP('Données projet'!$B$10,Paramètres!$A$1:$I$89,3,0)*VLOOKUP('Données projet'!$B$10,Paramètres!$A$1:$I$89,5,0)</f>
        <v>226.39031999999986</v>
      </c>
      <c r="AK107" s="14">
        <f t="shared" si="89"/>
        <v>55.501467211416568</v>
      </c>
      <c r="AL107" s="22">
        <f t="shared" si="58"/>
        <v>490.96152939321701</v>
      </c>
      <c r="AM107" s="62">
        <f t="shared" si="59"/>
        <v>771.22478548455069</v>
      </c>
      <c r="AN107" s="62">
        <f ca="1">AVERAGE(OFFSET($AM$3,0,0,'Données projet'!$E$10+1,1))-AVERAGE(OFFSET($H$3,0,0,'Données projet'!$E$10+1,1))</f>
        <v>349.85922977910184</v>
      </c>
      <c r="AO107" s="62">
        <f t="shared" si="90"/>
        <v>180.11084167023813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66.43543347945463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66.43543347945463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66.43543347945463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66.43543347945463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66.43543347945463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66.43543347945463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66.43543347945463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66.43543347945463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4.4000000000000004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16.133333333333336</v>
      </c>
      <c r="H108" s="70">
        <f t="shared" si="56"/>
        <v>192.13333333333333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66.497270739409217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71.173545323577173</v>
      </c>
      <c r="T108" s="62">
        <f t="shared" si="88"/>
        <v>348.38731536853368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13.348335776158956</v>
      </c>
      <c r="AA108" s="23">
        <f>EXP(-LN(2)/25)*AA107+(1-EXP(-LN(2)/25))/(LN(2)/25)*Calculateur!V108*Calculateur!X108*VLOOKUP('Données projet'!$B$9,Paramètres!$A$1:$I$89,3,0)*0.475*44/12</f>
        <v>1.8202561619945916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15.168591938153547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66.497270739409217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220</v>
      </c>
      <c r="AG108" s="13">
        <f>VLOOKUP(A108,'Données projet'!$A$61:$I$81,9,0)</f>
        <v>3.4</v>
      </c>
      <c r="AH108" s="13">
        <f t="array" ref="AH108">INDEX(AG:AG,MIN(IF(ISNUMBER(AG108:AG304),ROW(AG108:AG304),"")))</f>
        <v>3.4</v>
      </c>
      <c r="AI108" s="14">
        <f>IF('Données projet'!$A$62&gt;35,AI107+AH108-AQ107,IF(A108&lt;'Données projet'!$A$62,$AF$205^A108,IF(A108='Données projet'!$A$62,'Données projet'!$B$62,AI107+AH108-AQ107)))</f>
        <v>219.99999999999986</v>
      </c>
      <c r="AJ108" s="14">
        <f>AI108*VLOOKUP('Données projet'!$B$10,Paramètres!$A$1:$I$89,3,0)*VLOOKUP('Données projet'!$B$10,Paramètres!$A$1:$I$89,5,0)</f>
        <v>229.94399999999987</v>
      </c>
      <c r="AK108" s="14">
        <f t="shared" si="89"/>
        <v>56.270572850262369</v>
      </c>
      <c r="AL108" s="22">
        <f t="shared" si="58"/>
        <v>498.49038104754004</v>
      </c>
      <c r="AM108" s="62">
        <f t="shared" si="59"/>
        <v>778.98037375870717</v>
      </c>
      <c r="AN108" s="62">
        <f ca="1">AVERAGE(OFFSET($AM$3,0,0,'Données projet'!$E$10+1,1))-AVERAGE(OFFSET($H$3,0,0,'Données projet'!$E$10+1,1))</f>
        <v>349.85922977910184</v>
      </c>
      <c r="AO108" s="62">
        <f t="shared" si="90"/>
        <v>180.11084167023813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13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66.497270739409217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66.497270739409217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66.497270739409217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66.497270739409217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66.497270739409217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66.497270739409217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66.497270739409217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66.497270739409217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4.4000000000000004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16.133333333333336</v>
      </c>
      <c r="H109" s="70">
        <f t="shared" si="56"/>
        <v>192.13333333333333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66.558035261150991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71.173545323577173</v>
      </c>
      <c r="T109" s="62">
        <f t="shared" si="88"/>
        <v>348.38731536853368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13.086583053269379</v>
      </c>
      <c r="AA109" s="23">
        <f>EXP(-LN(2)/25)*AA108+(1-EXP(-LN(2)/25))/(LN(2)/25)*Calculateur!V109*Calculateur!X109*VLOOKUP('Données projet'!$B$9,Paramètres!$A$1:$I$89,3,0)*0.475*44/12</f>
        <v>1.7704811615217382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14.857064214791118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66.558035261150991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3</v>
      </c>
      <c r="AI109" s="14">
        <f>IF('Données projet'!$A$62&gt;35,AI108+AH109-AQ108,IF(A109&lt;'Données projet'!$A$62,$AF$205^A109,IF(A109='Données projet'!$A$62,'Données projet'!$B$62,AI108+AH109-AQ108)))</f>
        <v>209.99999999999986</v>
      </c>
      <c r="AJ109" s="14">
        <f>AI109*VLOOKUP('Données projet'!$B$10,Paramètres!$A$1:$I$89,3,0)*VLOOKUP('Données projet'!$B$10,Paramètres!$A$1:$I$89,5,0)</f>
        <v>219.49199999999985</v>
      </c>
      <c r="AK109" s="14">
        <f t="shared" si="89"/>
        <v>54.004459579686618</v>
      </c>
      <c r="AL109" s="22">
        <f t="shared" si="58"/>
        <v>476.33966710128726</v>
      </c>
      <c r="AM109" s="62">
        <f t="shared" si="59"/>
        <v>757.05246305884089</v>
      </c>
      <c r="AN109" s="62">
        <f ca="1">AVERAGE(OFFSET($AM$3,0,0,'Données projet'!$E$10+1,1))-AVERAGE(OFFSET($H$3,0,0,'Données projet'!$E$10+1,1))</f>
        <v>349.85922977910184</v>
      </c>
      <c r="AO109" s="62">
        <f t="shared" si="90"/>
        <v>180.11084167023813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66.558035261150991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66.558035261150991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66.558035261150991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66.558035261150991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66.558035261150991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66.558035261150991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66.558035261150991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66.558035261150991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4.4000000000000004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16.133333333333336</v>
      </c>
      <c r="H110" s="70">
        <f t="shared" si="56"/>
        <v>192.13333333333333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66.617745654289678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71.173545323577173</v>
      </c>
      <c r="T110" s="62">
        <f t="shared" si="88"/>
        <v>348.38731536853368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12.829963141622269</v>
      </c>
      <c r="AA110" s="23">
        <f>EXP(-LN(2)/25)*AA109+(1-EXP(-LN(2)/25))/(LN(2)/25)*Calculateur!V110*Calculateur!X110*VLOOKUP('Données projet'!$B$9,Paramètres!$A$1:$I$89,3,0)*0.475*44/12</f>
        <v>1.7220672610543684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14.552030402676637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66.617745654289678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3</v>
      </c>
      <c r="AI110" s="14">
        <f>IF('Données projet'!$A$62&gt;35,AI109+AH110-AQ109,IF(A110&lt;'Données projet'!$A$62,$AF$205^A110,IF(A110='Données projet'!$A$62,'Données projet'!$B$62,AI109+AH110-AQ109)))</f>
        <v>212.99999999999986</v>
      </c>
      <c r="AJ110" s="14">
        <f>AI110*VLOOKUP('Données projet'!$B$10,Paramètres!$A$1:$I$89,3,0)*VLOOKUP('Données projet'!$B$10,Paramètres!$A$1:$I$89,5,0)</f>
        <v>222.62759999999989</v>
      </c>
      <c r="AK110" s="14">
        <f t="shared" si="89"/>
        <v>54.685586371535223</v>
      </c>
      <c r="AL110" s="22">
        <f t="shared" si="58"/>
        <v>482.98713293042357</v>
      </c>
      <c r="AM110" s="62">
        <f t="shared" si="59"/>
        <v>763.91886699615236</v>
      </c>
      <c r="AN110" s="62">
        <f ca="1">AVERAGE(OFFSET($AM$3,0,0,'Données projet'!$E$10+1,1))-AVERAGE(OFFSET($H$3,0,0,'Données projet'!$E$10+1,1))</f>
        <v>349.85922977910184</v>
      </c>
      <c r="AO110" s="62">
        <f t="shared" si="90"/>
        <v>180.11084167023813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66.617745654289678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66.617745654289678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66.617745654289678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66.617745654289678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66.617745654289678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66.617745654289678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66.617745654289678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66.617745654289678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4.4000000000000004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16.133333333333336</v>
      </c>
      <c r="H111" s="70">
        <f t="shared" si="56"/>
        <v>192.13333333333333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66.676420205599854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71.173545323577173</v>
      </c>
      <c r="T111" s="62">
        <f t="shared" si="88"/>
        <v>348.38731536853368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12.578375389919868</v>
      </c>
      <c r="AA111" s="23">
        <f>EXP(-LN(2)/25)*AA110+(1-EXP(-LN(2)/25))/(LN(2)/25)*Calculateur!V111*Calculateur!X111*VLOOKUP('Données projet'!$B$9,Paramètres!$A$1:$I$89,3,0)*0.475*44/12</f>
        <v>1.6749772412412551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14.253352631161123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66.676420205599854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3</v>
      </c>
      <c r="AI111" s="14">
        <f>IF('Données projet'!$A$62&gt;35,AI110+AH111-AQ110,IF(A111&lt;'Données projet'!$A$62,$AF$205^A111,IF(A111='Données projet'!$A$62,'Données projet'!$B$62,AI110+AH111-AQ110)))</f>
        <v>215.99999999999986</v>
      </c>
      <c r="AJ111" s="14">
        <f>AI111*VLOOKUP('Données projet'!$B$10,Paramètres!$A$1:$I$89,3,0)*VLOOKUP('Données projet'!$B$10,Paramètres!$A$1:$I$89,5,0)</f>
        <v>225.76319999999987</v>
      </c>
      <c r="AK111" s="14">
        <f t="shared" si="89"/>
        <v>55.365597375021352</v>
      </c>
      <c r="AL111" s="22">
        <f t="shared" si="58"/>
        <v>489.63265542816202</v>
      </c>
      <c r="AM111" s="62">
        <f t="shared" si="59"/>
        <v>770.77952951536145</v>
      </c>
      <c r="AN111" s="62">
        <f ca="1">AVERAGE(OFFSET($AM$3,0,0,'Données projet'!$E$10+1,1))-AVERAGE(OFFSET($H$3,0,0,'Données projet'!$E$10+1,1))</f>
        <v>349.85922977910184</v>
      </c>
      <c r="AO111" s="62">
        <f t="shared" si="90"/>
        <v>180.11084167023813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66.676420205599854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66.676420205599854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66.676420205599854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66.676420205599854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66.676420205599854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66.676420205599854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66.676420205599854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66.676420205599854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4.4000000000000004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16.133333333333336</v>
      </c>
      <c r="H112" s="70">
        <f t="shared" si="56"/>
        <v>192.13333333333333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66.73407688462143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71.173545323577173</v>
      </c>
      <c r="T112" s="62">
        <f t="shared" si="88"/>
        <v>348.38731536853368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12.331721120574976</v>
      </c>
      <c r="AA112" s="23">
        <f>EXP(-LN(2)/25)*AA111+(1-EXP(-LN(2)/25))/(LN(2)/25)*Calculateur!V112*Calculateur!X112*VLOOKUP('Données projet'!$B$9,Paramètres!$A$1:$I$89,3,0)*0.475*44/12</f>
        <v>1.6291749004962881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13.960896021071264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66.73407688462143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3</v>
      </c>
      <c r="AI112" s="14">
        <f>IF('Données projet'!$A$62&gt;35,AI111+AH112-AQ111,IF(A112&lt;'Données projet'!$A$62,$AF$205^A112,IF(A112='Données projet'!$A$62,'Données projet'!$B$62,AI111+AH112-AQ111)))</f>
        <v>218.99999999999986</v>
      </c>
      <c r="AJ112" s="14">
        <f>AI112*VLOOKUP('Données projet'!$B$10,Paramètres!$A$1:$I$89,3,0)*VLOOKUP('Données projet'!$B$10,Paramètres!$A$1:$I$89,5,0)</f>
        <v>228.89879999999985</v>
      </c>
      <c r="AK112" s="14">
        <f t="shared" si="89"/>
        <v>56.044509878204614</v>
      </c>
      <c r="AL112" s="22">
        <f t="shared" si="58"/>
        <v>496.27626470453941</v>
      </c>
      <c r="AM112" s="62">
        <f t="shared" si="59"/>
        <v>777.63454661481796</v>
      </c>
      <c r="AN112" s="62">
        <f ca="1">AVERAGE(OFFSET($AM$3,0,0,'Données projet'!$E$10+1,1))-AVERAGE(OFFSET($H$3,0,0,'Données projet'!$E$10+1,1))</f>
        <v>349.85922977910184</v>
      </c>
      <c r="AO112" s="62">
        <f t="shared" si="90"/>
        <v>180.11084167023813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66.73407688462143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66.73407688462143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66.73407688462143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66.73407688462143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66.73407688462143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66.73407688462143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66.73407688462143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66.73407688462143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4.4000000000000004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16.133333333333336</v>
      </c>
      <c r="H113" s="70">
        <f t="shared" si="56"/>
        <v>192.13333333333333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66.790733349163006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71.173545323577173</v>
      </c>
      <c r="T113" s="62">
        <f t="shared" si="88"/>
        <v>348.38731536853368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12.089903591007687</v>
      </c>
      <c r="AA113" s="23">
        <f>EXP(-LN(2)/25)*AA112+(1-EXP(-LN(2)/25))/(LN(2)/25)*Calculateur!V113*Calculateur!X113*VLOOKUP('Données projet'!$B$9,Paramètres!$A$1:$I$89,3,0)*0.475*44/12</f>
        <v>1.5846250271676325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13.674528618175319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66.790733349163006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222</v>
      </c>
      <c r="AG113" s="13">
        <f>VLOOKUP(A113,'Données projet'!$A$61:$I$81,9,0)</f>
        <v>3</v>
      </c>
      <c r="AH113" s="13">
        <f t="array" ref="AH113">INDEX(AG:AG,MIN(IF(ISNUMBER(AG113:AG309),ROW(AG113:AG309),"")))</f>
        <v>3</v>
      </c>
      <c r="AI113" s="14">
        <f>IF('Données projet'!$A$62&gt;35,AI112+AH113-AQ112,IF(A113&lt;'Données projet'!$A$62,$AF$205^A113,IF(A113='Données projet'!$A$62,'Données projet'!$B$62,AI112+AH113-AQ112)))</f>
        <v>221.99999999999986</v>
      </c>
      <c r="AJ113" s="14">
        <f>AI113*VLOOKUP('Données projet'!$B$10,Paramètres!$A$1:$I$89,3,0)*VLOOKUP('Données projet'!$B$10,Paramètres!$A$1:$I$89,5,0)</f>
        <v>232.03439999999989</v>
      </c>
      <c r="AK113" s="14">
        <f t="shared" si="89"/>
        <v>56.722340668285831</v>
      </c>
      <c r="AL113" s="22">
        <f t="shared" si="58"/>
        <v>502.91798999726421</v>
      </c>
      <c r="AM113" s="62">
        <f t="shared" si="59"/>
        <v>784.48401227752856</v>
      </c>
      <c r="AN113" s="62">
        <f ca="1">AVERAGE(OFFSET($AM$3,0,0,'Données projet'!$E$10+1,1))-AVERAGE(OFFSET($H$3,0,0,'Données projet'!$E$10+1,1))</f>
        <v>349.85922977910184</v>
      </c>
      <c r="AO113" s="62">
        <f t="shared" si="90"/>
        <v>180.11084167023813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13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66.790733349163006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66.790733349163006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66.790733349163006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66.790733349163006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66.790733349163006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66.790733349163006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66.790733349163006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66.790733349163006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4.4000000000000004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16.133333333333336</v>
      </c>
      <c r="H114" s="70">
        <f t="shared" si="56"/>
        <v>192.13333333333333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66.846406950709664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71.173545323577173</v>
      </c>
      <c r="T114" s="62">
        <f t="shared" si="88"/>
        <v>348.38731536853368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11.852827955701084</v>
      </c>
      <c r="AA114" s="23">
        <f>EXP(-LN(2)/25)*AA113+(1-EXP(-LN(2)/25))/(LN(2)/25)*Calculateur!V114*Calculateur!X114*VLOOKUP('Données projet'!$B$9,Paramètres!$A$1:$I$89,3,0)*0.475*44/12</f>
        <v>1.5412933724679252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13.394121328169009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66.846406950709664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2.8</v>
      </c>
      <c r="AI114" s="14">
        <f>IF('Données projet'!$A$62&gt;35,AI113+AH114-AQ113,IF(A114&lt;'Données projet'!$A$62,$AF$205^A114,IF(A114='Données projet'!$A$62,'Données projet'!$B$62,AI113+AH114-AQ113)))</f>
        <v>211.79999999999987</v>
      </c>
      <c r="AJ114" s="14">
        <f>AI114*VLOOKUP('Données projet'!$B$10,Paramètres!$A$1:$I$89,3,0)*VLOOKUP('Données projet'!$B$10,Paramètres!$A$1:$I$89,5,0)</f>
        <v>221.37335999999988</v>
      </c>
      <c r="AK114" s="14">
        <f t="shared" si="89"/>
        <v>54.413270534861574</v>
      </c>
      <c r="AL114" s="22">
        <f t="shared" si="58"/>
        <v>480.32838151488369</v>
      </c>
      <c r="AM114" s="62">
        <f t="shared" si="59"/>
        <v>762.0985403341524</v>
      </c>
      <c r="AN114" s="62">
        <f ca="1">AVERAGE(OFFSET($AM$3,0,0,'Données projet'!$E$10+1,1))-AVERAGE(OFFSET($H$3,0,0,'Données projet'!$E$10+1,1))</f>
        <v>349.85922977910184</v>
      </c>
      <c r="AO114" s="62">
        <f t="shared" si="90"/>
        <v>180.11084167023813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66.846406950709664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66.846406950709664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66.846406950709664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66.846406950709664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66.846406950709664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66.846406950709664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66.846406950709664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66.846406950709664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4.4000000000000004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16.133333333333336</v>
      </c>
      <c r="H115" s="70">
        <f t="shared" si="56"/>
        <v>192.13333333333333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66.901114739737011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71.173545323577173</v>
      </c>
      <c r="T115" s="62">
        <f t="shared" si="88"/>
        <v>348.38731536853368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11.620401229000985</v>
      </c>
      <c r="AA115" s="23">
        <f>EXP(-LN(2)/25)*AA114+(1-EXP(-LN(2)/25))/(LN(2)/25)*Calculateur!V115*Calculateur!X115*VLOOKUP('Données projet'!$B$9,Paramètres!$A$1:$I$89,3,0)*0.475*44/12</f>
        <v>1.499146624144694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13.119547853145679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66.901114739737011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2.8</v>
      </c>
      <c r="AI115" s="14">
        <f>IF('Données projet'!$A$62&gt;35,AI114+AH115-AQ114,IF(A115&lt;'Données projet'!$A$62,$AF$205^A115,IF(A115='Données projet'!$A$62,'Données projet'!$B$62,AI114+AH115-AQ114)))</f>
        <v>214.59999999999988</v>
      </c>
      <c r="AJ115" s="14">
        <f>AI115*VLOOKUP('Données projet'!$B$10,Paramètres!$A$1:$I$89,3,0)*VLOOKUP('Données projet'!$B$10,Paramètres!$A$1:$I$89,5,0)</f>
        <v>224.2999199999999</v>
      </c>
      <c r="AK115" s="14">
        <f t="shared" si="89"/>
        <v>55.048396648853249</v>
      </c>
      <c r="AL115" s="22">
        <f t="shared" si="58"/>
        <v>486.53165149675254</v>
      </c>
      <c r="AM115" s="62">
        <f t="shared" si="59"/>
        <v>768.50240554245488</v>
      </c>
      <c r="AN115" s="62">
        <f ca="1">AVERAGE(OFFSET($AM$3,0,0,'Données projet'!$E$10+1,1))-AVERAGE(OFFSET($H$3,0,0,'Données projet'!$E$10+1,1))</f>
        <v>349.85922977910184</v>
      </c>
      <c r="AO115" s="62">
        <f t="shared" si="90"/>
        <v>180.11084167023813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66.901114739737011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66.901114739737011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66.901114739737011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66.901114739737011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66.901114739737011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66.901114739737011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66.901114739737011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66.901114739737011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4.4000000000000004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16.133333333333336</v>
      </c>
      <c r="H116" s="70">
        <f t="shared" si="56"/>
        <v>192.13333333333333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66.954873470933038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71.173545323577173</v>
      </c>
      <c r="T116" s="62">
        <f t="shared" si="88"/>
        <v>348.38731536853368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11.392532248645168</v>
      </c>
      <c r="AA116" s="23">
        <f>EXP(-LN(2)/25)*AA115+(1-EXP(-LN(2)/25))/(LN(2)/25)*Calculateur!V116*Calculateur!X116*VLOOKUP('Données projet'!$B$9,Paramètres!$A$1:$I$89,3,0)*0.475*44/12</f>
        <v>1.4581523808707628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12.85068462951593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66.954873470933038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2.8</v>
      </c>
      <c r="AI116" s="14">
        <f>IF('Données projet'!$A$62&gt;35,AI115+AH116-AQ115,IF(A116&lt;'Données projet'!$A$62,$AF$205^A116,IF(A116='Données projet'!$A$62,'Données projet'!$B$62,AI115+AH116-AQ115)))</f>
        <v>217.39999999999989</v>
      </c>
      <c r="AJ116" s="14">
        <f>AI116*VLOOKUP('Données projet'!$B$10,Paramètres!$A$1:$I$89,3,0)*VLOOKUP('Données projet'!$B$10,Paramètres!$A$1:$I$89,5,0)</f>
        <v>227.2264799999999</v>
      </c>
      <c r="AK116" s="14">
        <f t="shared" si="89"/>
        <v>55.682558879342537</v>
      </c>
      <c r="AL116" s="22">
        <f t="shared" si="58"/>
        <v>492.73324271485473</v>
      </c>
      <c r="AM116" s="62">
        <f t="shared" si="59"/>
        <v>774.90111210827581</v>
      </c>
      <c r="AN116" s="62">
        <f ca="1">AVERAGE(OFFSET($AM$3,0,0,'Données projet'!$E$10+1,1))-AVERAGE(OFFSET($H$3,0,0,'Données projet'!$E$10+1,1))</f>
        <v>349.85922977910184</v>
      </c>
      <c r="AO116" s="62">
        <f t="shared" si="90"/>
        <v>180.11084167023813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66.954873470933038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66.954873470933038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66.954873470933038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66.954873470933038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66.954873470933038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66.954873470933038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66.954873470933038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66.954873470933038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4.4000000000000004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16.133333333333336</v>
      </c>
      <c r="H117" s="70">
        <f t="shared" si="56"/>
        <v>192.13333333333333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67.007699608329318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71.173545323577173</v>
      </c>
      <c r="T117" s="62">
        <f t="shared" si="88"/>
        <v>348.38731536853368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11.169131640007775</v>
      </c>
      <c r="AA117" s="23">
        <f>EXP(-LN(2)/25)*AA116+(1-EXP(-LN(2)/25))/(LN(2)/25)*Calculateur!V117*Calculateur!X117*VLOOKUP('Données projet'!$B$9,Paramètres!$A$1:$I$89,3,0)*0.475*44/12</f>
        <v>1.4182791273349507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12.587410767342725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67.007699608329318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2.8</v>
      </c>
      <c r="AI117" s="14">
        <f>IF('Données projet'!$A$62&gt;35,AI116+AH117-AQ116,IF(A117&lt;'Données projet'!$A$62,$AF$205^A117,IF(A117='Données projet'!$A$62,'Données projet'!$B$62,AI116+AH117-AQ116)))</f>
        <v>220.1999999999999</v>
      </c>
      <c r="AJ117" s="14">
        <f>AI117*VLOOKUP('Données projet'!$B$10,Paramètres!$A$1:$I$89,3,0)*VLOOKUP('Données projet'!$B$10,Paramètres!$A$1:$I$89,5,0)</f>
        <v>230.15303999999992</v>
      </c>
      <c r="AK117" s="14">
        <f t="shared" si="89"/>
        <v>56.315771076066149</v>
      </c>
      <c r="AL117" s="22">
        <f t="shared" si="58"/>
        <v>498.93317929081496</v>
      </c>
      <c r="AM117" s="62">
        <f t="shared" si="59"/>
        <v>781.29474452135582</v>
      </c>
      <c r="AN117" s="62">
        <f ca="1">AVERAGE(OFFSET($AM$3,0,0,'Données projet'!$E$10+1,1))-AVERAGE(OFFSET($H$3,0,0,'Données projet'!$E$10+1,1))</f>
        <v>349.85922977910184</v>
      </c>
      <c r="AO117" s="62">
        <f t="shared" si="90"/>
        <v>180.11084167023813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67.007699608329318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67.007699608329318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67.007699608329318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67.007699608329318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67.007699608329318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67.007699608329318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67.007699608329318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67.007699608329318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4.4000000000000004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16.133333333333336</v>
      </c>
      <c r="H118" s="70">
        <f t="shared" si="56"/>
        <v>192.13333333333333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67.059609330343335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71.173545323577173</v>
      </c>
      <c r="T118" s="62">
        <f t="shared" si="88"/>
        <v>348.38731536853368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10.950111781044845</v>
      </c>
      <c r="AA118" s="23">
        <f>EXP(-LN(2)/25)*AA117+(1-EXP(-LN(2)/25))/(LN(2)/25)*Calculateur!V118*Calculateur!X118*VLOOKUP('Données projet'!$B$9,Paramètres!$A$1:$I$89,3,0)*0.475*44/12</f>
        <v>1.3794962100139185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12.329607991058763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67.059609330343335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223</v>
      </c>
      <c r="AG118" s="13">
        <f>VLOOKUP(A118,'Données projet'!$A$61:$I$81,9,0)</f>
        <v>2.8</v>
      </c>
      <c r="AH118" s="13">
        <f t="array" ref="AH118">INDEX(AG:AG,MIN(IF(ISNUMBER(AG118:AG314),ROW(AG118:AG314),"")))</f>
        <v>2.8</v>
      </c>
      <c r="AI118" s="14">
        <f>IF('Données projet'!$A$62&gt;35,AI117+AH118-AQ117,IF(A118&lt;'Données projet'!$A$62,$AF$205^A118,IF(A118='Données projet'!$A$62,'Données projet'!$B$62,AI117+AH118-AQ117)))</f>
        <v>222.99999999999991</v>
      </c>
      <c r="AJ118" s="14">
        <f>AI118*VLOOKUP('Données projet'!$B$10,Paramètres!$A$1:$I$89,3,0)*VLOOKUP('Données projet'!$B$10,Paramètres!$A$1:$I$89,5,0)</f>
        <v>233.07959999999991</v>
      </c>
      <c r="AK118" s="14">
        <f t="shared" si="89"/>
        <v>56.948046716289042</v>
      </c>
      <c r="AL118" s="22">
        <f t="shared" si="58"/>
        <v>505.13148469753651</v>
      </c>
      <c r="AM118" s="62">
        <f t="shared" si="59"/>
        <v>787.68338557546213</v>
      </c>
      <c r="AN118" s="62">
        <f ca="1">AVERAGE(OFFSET($AM$3,0,0,'Données projet'!$E$10+1,1))-AVERAGE(OFFSET($H$3,0,0,'Données projet'!$E$10+1,1))</f>
        <v>349.85922977910184</v>
      </c>
      <c r="AO118" s="62">
        <f t="shared" si="90"/>
        <v>180.11084167023813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13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67.059609330343335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67.059609330343335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67.059609330343335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67.059609330343335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67.059609330343335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67.059609330343335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67.059609330343335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67.059609330343335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4.4000000000000004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16.133333333333336</v>
      </c>
      <c r="H119" s="70">
        <f t="shared" si="56"/>
        <v>192.13333333333333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67.110618534733163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71.173545323577173</v>
      </c>
      <c r="T119" s="62">
        <f t="shared" si="88"/>
        <v>348.38731536853368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10.735386767927254</v>
      </c>
      <c r="AA119" s="23">
        <f>EXP(-LN(2)/25)*AA118+(1-EXP(-LN(2)/25))/(LN(2)/25)*Calculateur!V119*Calculateur!X119*VLOOKUP('Données projet'!$B$9,Paramètres!$A$1:$I$89,3,0)*0.475*44/12</f>
        <v>1.3417738136065351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12.077160581533789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67.110618534733163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2.4</v>
      </c>
      <c r="AI119" s="14">
        <f>IF('Données projet'!$A$62&gt;35,AI118+AH119-AQ118,IF(A119&lt;'Données projet'!$A$62,$AF$205^A119,IF(A119='Données projet'!$A$62,'Données projet'!$B$62,AI118+AH119-AQ118)))</f>
        <v>212.39999999999992</v>
      </c>
      <c r="AJ119" s="14">
        <f>AI119*VLOOKUP('Données projet'!$B$10,Paramètres!$A$1:$I$89,3,0)*VLOOKUP('Données projet'!$B$10,Paramètres!$A$1:$I$89,5,0)</f>
        <v>222.00047999999995</v>
      </c>
      <c r="AK119" s="14">
        <f t="shared" si="89"/>
        <v>54.549450838514574</v>
      </c>
      <c r="AL119" s="22">
        <f t="shared" si="58"/>
        <v>481.65779621041276</v>
      </c>
      <c r="AM119" s="62">
        <f t="shared" si="59"/>
        <v>764.39673083776768</v>
      </c>
      <c r="AN119" s="62">
        <f ca="1">AVERAGE(OFFSET($AM$3,0,0,'Données projet'!$E$10+1,1))-AVERAGE(OFFSET($H$3,0,0,'Données projet'!$E$10+1,1))</f>
        <v>349.85922977910184</v>
      </c>
      <c r="AO119" s="62">
        <f t="shared" si="90"/>
        <v>180.11084167023813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67.110618534733163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67.110618534733163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67.110618534733163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67.110618534733163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67.110618534733163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67.110618534733163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67.110618534733163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67.110618534733163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4.4000000000000004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16.133333333333336</v>
      </c>
      <c r="H120" s="70">
        <f t="shared" si="56"/>
        <v>192.13333333333333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67.160742843466309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71.173545323577173</v>
      </c>
      <c r="T120" s="62">
        <f t="shared" si="88"/>
        <v>348.38731536853368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10.524872381347574</v>
      </c>
      <c r="AA120" s="23">
        <f>EXP(-LN(2)/25)*AA119+(1-EXP(-LN(2)/25))/(LN(2)/25)*Calculateur!V120*Calculateur!X120*VLOOKUP('Données projet'!$B$9,Paramètres!$A$1:$I$89,3,0)*0.475*44/12</f>
        <v>1.3050829381126463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11.82995531946022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67.160742843466309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2.4</v>
      </c>
      <c r="AI120" s="14">
        <f>IF('Données projet'!$A$62&gt;35,AI119+AH120-AQ119,IF(A120&lt;'Données projet'!$A$62,$AF$205^A120,IF(A120='Données projet'!$A$62,'Données projet'!$B$62,AI119+AH120-AQ119)))</f>
        <v>214.79999999999993</v>
      </c>
      <c r="AJ120" s="14">
        <f>AI120*VLOOKUP('Données projet'!$B$10,Paramètres!$A$1:$I$89,3,0)*VLOOKUP('Données projet'!$B$10,Paramètres!$A$1:$I$89,5,0)</f>
        <v>224.50895999999995</v>
      </c>
      <c r="AK120" s="14">
        <f t="shared" si="89"/>
        <v>55.093725750341399</v>
      </c>
      <c r="AL120" s="22">
        <f t="shared" si="58"/>
        <v>486.97467768184441</v>
      </c>
      <c r="AM120" s="62">
        <f t="shared" si="59"/>
        <v>769.89740144122084</v>
      </c>
      <c r="AN120" s="62">
        <f ca="1">AVERAGE(OFFSET($AM$3,0,0,'Données projet'!$E$10+1,1))-AVERAGE(OFFSET($H$3,0,0,'Données projet'!$E$10+1,1))</f>
        <v>349.85922977910184</v>
      </c>
      <c r="AO120" s="62">
        <f t="shared" si="90"/>
        <v>180.11084167023813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67.160742843466309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67.160742843466309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67.160742843466309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67.160742843466309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67.160742843466309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67.160742843466309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67.160742843466309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67.160742843466309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4.4000000000000004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16.133333333333336</v>
      </c>
      <c r="H121" s="70">
        <f t="shared" si="56"/>
        <v>192.13333333333333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67.209997607504107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71.173545323577173</v>
      </c>
      <c r="T121" s="62">
        <f t="shared" si="88"/>
        <v>348.38731536853368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10.318486053487623</v>
      </c>
      <c r="AA121" s="23">
        <f>EXP(-LN(2)/25)*AA120+(1-EXP(-LN(2)/25))/(LN(2)/25)*Calculateur!V121*Calculateur!X121*VLOOKUP('Données projet'!$B$9,Paramètres!$A$1:$I$89,3,0)*0.475*44/12</f>
        <v>1.269395376538627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11.58788143002625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67.209997607504107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2.4</v>
      </c>
      <c r="AI121" s="14">
        <f>IF('Données projet'!$A$62&gt;35,AI120+AH121-AQ120,IF(A121&lt;'Données projet'!$A$62,$AF$205^A121,IF(A121='Données projet'!$A$62,'Données projet'!$B$62,AI120+AH121-AQ120)))</f>
        <v>217.19999999999993</v>
      </c>
      <c r="AJ121" s="14">
        <f>AI121*VLOOKUP('Données projet'!$B$10,Paramètres!$A$1:$I$89,3,0)*VLOOKUP('Données projet'!$B$10,Paramètres!$A$1:$I$89,5,0)</f>
        <v>227.01743999999997</v>
      </c>
      <c r="AK121" s="14">
        <f t="shared" si="89"/>
        <v>55.637293245260757</v>
      </c>
      <c r="AL121" s="22">
        <f t="shared" si="58"/>
        <v>492.29032706882913</v>
      </c>
      <c r="AM121" s="62">
        <f t="shared" si="59"/>
        <v>775.39365162967761</v>
      </c>
      <c r="AN121" s="62">
        <f ca="1">AVERAGE(OFFSET($AM$3,0,0,'Données projet'!$E$10+1,1))-AVERAGE(OFFSET($H$3,0,0,'Données projet'!$E$10+1,1))</f>
        <v>349.85922977910184</v>
      </c>
      <c r="AO121" s="62">
        <f t="shared" si="90"/>
        <v>180.11084167023813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67.209997607504107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67.209997607504107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67.209997607504107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67.209997607504107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67.209997607504107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67.209997607504107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67.209997607504107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67.209997607504107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4.4000000000000004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16.133333333333336</v>
      </c>
      <c r="H122" s="70">
        <f t="shared" si="56"/>
        <v>192.13333333333333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67.25839791150301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71.173545323577173</v>
      </c>
      <c r="T122" s="62">
        <f t="shared" si="88"/>
        <v>348.38731536853368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10.116146835633776</v>
      </c>
      <c r="AA122" s="23">
        <f>EXP(-LN(2)/25)*AA121+(1-EXP(-LN(2)/25))/(LN(2)/25)*Calculateur!V122*Calculateur!X122*VLOOKUP('Données projet'!$B$9,Paramètres!$A$1:$I$89,3,0)*0.475*44/12</f>
        <v>1.2346836932125766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11.350830528846352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67.25839791150301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2.4</v>
      </c>
      <c r="AI122" s="14">
        <f>IF('Données projet'!$A$62&gt;35,AI121+AH122-AQ121,IF(A122&lt;'Données projet'!$A$62,$AF$205^A122,IF(A122='Données projet'!$A$62,'Données projet'!$B$62,AI121+AH122-AQ121)))</f>
        <v>219.59999999999994</v>
      </c>
      <c r="AJ122" s="14">
        <f>AI122*VLOOKUP('Données projet'!$B$10,Paramètres!$A$1:$I$89,3,0)*VLOOKUP('Données projet'!$B$10,Paramètres!$A$1:$I$89,5,0)</f>
        <v>229.52591999999999</v>
      </c>
      <c r="AK122" s="14">
        <f t="shared" si="89"/>
        <v>56.180162044652285</v>
      </c>
      <c r="AL122" s="22">
        <f t="shared" si="58"/>
        <v>497.60475956110264</v>
      </c>
      <c r="AM122" s="62">
        <f t="shared" si="59"/>
        <v>780.88555190328032</v>
      </c>
      <c r="AN122" s="62">
        <f ca="1">AVERAGE(OFFSET($AM$3,0,0,'Données projet'!$E$10+1,1))-AVERAGE(OFFSET($H$3,0,0,'Données projet'!$E$10+1,1))</f>
        <v>349.85922977910184</v>
      </c>
      <c r="AO122" s="62">
        <f t="shared" si="90"/>
        <v>180.11084167023813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67.25839791150301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67.25839791150301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67.25839791150301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67.25839791150301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67.25839791150301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67.25839791150301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67.25839791150301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67.25839791150301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4.4000000000000004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16.133333333333336</v>
      </c>
      <c r="H123" s="70">
        <f t="shared" si="56"/>
        <v>192.13333333333333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67.305958578434399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71.173545323577173</v>
      </c>
      <c r="T123" s="62">
        <f t="shared" si="88"/>
        <v>348.38731536853368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9.9177753664273069</v>
      </c>
      <c r="AA123" s="23">
        <f>EXP(-LN(2)/25)*AA122+(1-EXP(-LN(2)/25))/(LN(2)/25)*Calculateur!V123*Calculateur!X123*VLOOKUP('Données projet'!$B$9,Paramètres!$A$1:$I$89,3,0)*0.475*44/12</f>
        <v>1.2009212026924851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11.118696569119791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67.305958578434399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222</v>
      </c>
      <c r="AG123" s="13">
        <f>VLOOKUP(A123,'Données projet'!$A$61:$I$81,9,0)</f>
        <v>2.4</v>
      </c>
      <c r="AH123" s="13">
        <f t="array" ref="AH123">INDEX(AG:AG,MIN(IF(ISNUMBER(AG123:AG319),ROW(AG123:AG319),"")))</f>
        <v>2.4</v>
      </c>
      <c r="AI123" s="14">
        <f>IF('Données projet'!$A$62&gt;35,AI122+AH123-AQ122,IF(A123&lt;'Données projet'!$A$62,$AF$205^A123,IF(A123='Données projet'!$A$62,'Données projet'!$B$62,AI122+AH123-AQ122)))</f>
        <v>221.99999999999994</v>
      </c>
      <c r="AJ123" s="14">
        <f>AI123*VLOOKUP('Données projet'!$B$10,Paramètres!$A$1:$I$89,3,0)*VLOOKUP('Données projet'!$B$10,Paramètres!$A$1:$I$89,5,0)</f>
        <v>232.03439999999998</v>
      </c>
      <c r="AK123" s="14">
        <f t="shared" si="89"/>
        <v>56.722340668285831</v>
      </c>
      <c r="AL123" s="22">
        <f t="shared" si="58"/>
        <v>502.91798999726444</v>
      </c>
      <c r="AM123" s="62">
        <f t="shared" si="59"/>
        <v>786.37317145152383</v>
      </c>
      <c r="AN123" s="62">
        <f ca="1">AVERAGE(OFFSET($AM$3,0,0,'Données projet'!$E$10+1,1))-AVERAGE(OFFSET($H$3,0,0,'Données projet'!$E$10+1,1))</f>
        <v>349.85922977910184</v>
      </c>
      <c r="AO123" s="62">
        <f t="shared" si="90"/>
        <v>180.11084167023813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222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67.305958578434399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67.305958578434399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67.305958578434399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67.305958578434399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67.305958578434399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67.305958578434399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67.305958578434399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67.305958578434399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4.4000000000000004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16.133333333333336</v>
      </c>
      <c r="H124" s="70">
        <f t="shared" si="56"/>
        <v>192.13333333333333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67.352694174124252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71.173545323577173</v>
      </c>
      <c r="T124" s="62">
        <f t="shared" si="88"/>
        <v>348.38731536853368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9.7232938407373268</v>
      </c>
      <c r="AA124" s="23">
        <f>EXP(-LN(2)/25)*AA123+(1-EXP(-LN(2)/25))/(LN(2)/25)*Calculateur!V124*Calculateur!X124*VLOOKUP('Données projet'!$B$9,Paramètres!$A$1:$I$89,3,0)*0.475*44/12</f>
        <v>1.1680819492511578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10.891375789988485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67.352694174124252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-5.9412741393316544E-14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349.85922977910184</v>
      </c>
      <c r="AO124" s="62">
        <f t="shared" si="90"/>
        <v>180.11084167023813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67.352694174124252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67.352694174124252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67.352694174124252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67.352694174124252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67.352694174124252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67.352694174124252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67.352694174124252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67.352694174124252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4.4000000000000004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16.133333333333336</v>
      </c>
      <c r="H125" s="70">
        <f t="shared" si="56"/>
        <v>192.13333333333333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67.398619011714032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71.173545323577173</v>
      </c>
      <c r="T125" s="62">
        <f t="shared" si="88"/>
        <v>348.38731536853368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9.532625979144111</v>
      </c>
      <c r="AA125" s="23">
        <f>EXP(-LN(2)/25)*AA124+(1-EXP(-LN(2)/25))/(LN(2)/25)*Calculateur!V125*Calculateur!X125*VLOOKUP('Données projet'!$B$9,Paramètres!$A$1:$I$89,3,0)*0.475*44/12</f>
        <v>1.1361406869221249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10.668766666066237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67.398619011714032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-5.9412741393316544E-14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349.85922977910184</v>
      </c>
      <c r="AO125" s="62">
        <f t="shared" si="90"/>
        <v>180.11084167023813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67.398619011714032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67.398619011714032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67.398619011714032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67.398619011714032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67.398619011714032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67.398619011714032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67.398619011714032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67.398619011714032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4.4000000000000004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16.133333333333336</v>
      </c>
      <c r="H126" s="70">
        <f t="shared" si="56"/>
        <v>192.13333333333333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67.443747156044168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71.173545323577173</v>
      </c>
      <c r="T126" s="62">
        <f t="shared" si="88"/>
        <v>348.38731536853368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9.3456969980208253</v>
      </c>
      <c r="AA126" s="23">
        <f>EXP(-LN(2)/25)*AA125+(1-EXP(-LN(2)/25))/(LN(2)/25)*Calculateur!V126*Calculateur!X126*VLOOKUP('Données projet'!$B$9,Paramètres!$A$1:$I$89,3,0)*0.475*44/12</f>
        <v>1.1050728600911974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10.450769858112023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67.443747156044168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-5.9412741393316544E-14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349.85922977910184</v>
      </c>
      <c r="AO126" s="62">
        <f t="shared" si="90"/>
        <v>180.11084167023813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67.443747156044168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67.443747156044168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67.443747156044168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67.443747156044168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67.443747156044168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67.443747156044168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67.443747156044168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67.443747156044168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4.4000000000000004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16.133333333333336</v>
      </c>
      <c r="H127" s="70">
        <f t="shared" si="56"/>
        <v>192.13333333333333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67.488092427961604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71.173545323577173</v>
      </c>
      <c r="T127" s="62">
        <f t="shared" si="88"/>
        <v>348.38731536853368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9.162433580201947</v>
      </c>
      <c r="AA127" s="23">
        <f>EXP(-LN(2)/25)*AA126+(1-EXP(-LN(2)/25))/(LN(2)/25)*Calculateur!V127*Calculateur!X127*VLOOKUP('Données projet'!$B$9,Paramètres!$A$1:$I$89,3,0)*0.475*44/12</f>
        <v>1.0748545846187476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10.237288164820695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67.488092427961604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-5.9412741393316544E-14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349.85922977910184</v>
      </c>
      <c r="AO127" s="62">
        <f t="shared" si="90"/>
        <v>180.11084167023813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67.488092427961604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67.488092427961604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67.488092427961604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67.488092427961604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67.488092427961604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67.488092427961604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67.488092427961604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67.488092427961604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4.4000000000000004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16.133333333333336</v>
      </c>
      <c r="H128" s="70">
        <f t="shared" si="56"/>
        <v>192.13333333333333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67.531668408552434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71.173545323577173</v>
      </c>
      <c r="T128" s="62">
        <f t="shared" si="88"/>
        <v>348.38731536853368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8.9827638462268489</v>
      </c>
      <c r="AA128" s="23">
        <f>EXP(-LN(2)/25)*AA127+(1-EXP(-LN(2)/25))/(LN(2)/25)*Calculateur!V128*Calculateur!X128*VLOOKUP('Données projet'!$B$9,Paramètres!$A$1:$I$89,3,0)*0.475*44/12</f>
        <v>1.0454626294782019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10.028226475705051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67.531668408552434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-5.9412741393316544E-14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349.85922977910184</v>
      </c>
      <c r="AO128" s="62">
        <f t="shared" si="90"/>
        <v>180.11084167023813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67.531668408552434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67.531668408552434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67.531668408552434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67.531668408552434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67.531668408552434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67.531668408552434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67.531668408552434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67.531668408552434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4.4000000000000004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16.133333333333336</v>
      </c>
      <c r="H129" s="70">
        <f t="shared" si="56"/>
        <v>192.13333333333333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67.57448844330132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71.173545323577173</v>
      </c>
      <c r="T129" s="62">
        <f t="shared" si="88"/>
        <v>348.38731536853368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8.8066173261472862</v>
      </c>
      <c r="AA129" s="23">
        <f>EXP(-LN(2)/25)*AA128+(1-EXP(-LN(2)/25))/(LN(2)/25)*Calculateur!V129*Calculateur!X129*VLOOKUP('Données projet'!$B$9,Paramètres!$A$1:$I$89,3,0)*0.475*44/12</f>
        <v>1.0168743988966302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9.8234917250439171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67.57448844330132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-5.9412741393316544E-14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349.85922977910184</v>
      </c>
      <c r="AO129" s="62">
        <f t="shared" si="90"/>
        <v>180.11084167023813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67.57448844330132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67.57448844330132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67.57448844330132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67.57448844330132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67.57448844330132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67.57448844330132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67.57448844330132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67.57448844330132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4.4000000000000004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16.133333333333336</v>
      </c>
      <c r="H130" s="70">
        <f t="shared" si="56"/>
        <v>192.13333333333333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67.616565646178572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71.173545323577173</v>
      </c>
      <c r="T130" s="62">
        <f t="shared" si="88"/>
        <v>348.38731536853368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8.633924931887714</v>
      </c>
      <c r="AA130" s="23">
        <f>EXP(-LN(2)/25)*AA129+(1-EXP(-LN(2)/25))/(LN(2)/25)*Calculateur!V130*Calculateur!X130*VLOOKUP('Données projet'!$B$9,Paramètres!$A$1:$I$89,3,0)*0.475*44/12</f>
        <v>0.98906791498370128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9.6229928468714157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67.616565646178572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-5.9412741393316544E-14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349.85922977910184</v>
      </c>
      <c r="AO130" s="62">
        <f t="shared" si="90"/>
        <v>180.11084167023813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67.616565646178572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67.616565646178572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67.616565646178572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67.616565646178572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67.616565646178572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67.616565646178572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67.616565646178572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67.616565646178572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4.4000000000000004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16.133333333333336</v>
      </c>
      <c r="H131" s="70">
        <f t="shared" si="56"/>
        <v>192.13333333333333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67.657912903656438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71.173545323577173</v>
      </c>
      <c r="T131" s="62">
        <f t="shared" si="88"/>
        <v>348.38731536853368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8.464618930147612</v>
      </c>
      <c r="AA131" s="23">
        <f>EXP(-LN(2)/25)*AA130+(1-EXP(-LN(2)/25))/(LN(2)/25)*Calculateur!V131*Calculateur!X131*VLOOKUP('Données projet'!$B$9,Paramètres!$A$1:$I$89,3,0)*0.475*44/12</f>
        <v>0.96202180083565092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9.4266407309832623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67.657912903656438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-5.9412741393316544E-14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349.85922977910184</v>
      </c>
      <c r="AO131" s="62">
        <f t="shared" si="90"/>
        <v>180.11084167023813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67.657912903656438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67.657912903656438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67.657912903656438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67.657912903656438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67.657912903656438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67.657912903656438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67.657912903656438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67.657912903656438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4.4000000000000004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16.133333333333336</v>
      </c>
      <c r="H132" s="70">
        <f t="shared" ref="H132:H195" si="110">(B132+E132+F132)*44/12+(C132+D132)*0.475*44/12</f>
        <v>192.13333333333333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67.698542878655687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71.173545323577173</v>
      </c>
      <c r="T132" s="62">
        <f t="shared" si="88"/>
        <v>348.38731536853368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8.2986329158351708</v>
      </c>
      <c r="AA132" s="23">
        <f>EXP(-LN(2)/25)*AA131+(1-EXP(-LN(2)/25))/(LN(2)/25)*Calculateur!V132*Calculateur!X132*VLOOKUP('Données projet'!$B$9,Paramètres!$A$1:$I$89,3,0)*0.475*44/12</f>
        <v>0.93571526410127226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9.2343481799364433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67.698542878655687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-5.9412741393316544E-14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349.85922977910184</v>
      </c>
      <c r="AO132" s="62">
        <f t="shared" si="90"/>
        <v>180.11084167023813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67.698542878655687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67.698542878655687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67.698542878655687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67.698542878655687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67.698542878655687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67.698542878655687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67.698542878655687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67.698542878655687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4.4000000000000004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16.133333333333336</v>
      </c>
      <c r="H133" s="70">
        <f t="shared" si="110"/>
        <v>192.13333333333333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67.738468014423702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71.173545323577173</v>
      </c>
      <c r="T133" s="62">
        <f t="shared" ref="T133:T196" si="142">$T$3</f>
        <v>348.38731536853368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8.1359017860219236</v>
      </c>
      <c r="AA133" s="23">
        <f>EXP(-LN(2)/25)*AA132+(1-EXP(-LN(2)/25))/(LN(2)/25)*Calculateur!V133*Calculateur!X133*VLOOKUP('Données projet'!$B$9,Paramètres!$A$1:$I$89,3,0)*0.475*44/12</f>
        <v>0.91012808099729581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9.0460298670192199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67.738468014423702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-5.9412741393316544E-14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349.85922977910184</v>
      </c>
      <c r="AO133" s="62">
        <f t="shared" ref="AO133:AO196" si="144">$AO$3</f>
        <v>180.11084167023813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67.738468014423702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67.738468014423702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67.738468014423702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67.738468014423702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67.738468014423702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67.738468014423702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67.738468014423702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67.738468014423702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4.4000000000000004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16.133333333333336</v>
      </c>
      <c r="H134" s="70">
        <f t="shared" si="110"/>
        <v>192.13333333333333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67.777700538345385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71.173545323577173</v>
      </c>
      <c r="T134" s="62">
        <f t="shared" si="142"/>
        <v>348.38731536853368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7.9763617144081262</v>
      </c>
      <c r="AA134" s="23">
        <f>EXP(-LN(2)/25)*AA133+(1-EXP(-LN(2)/25))/(LN(2)/25)*Calculateur!V134*Calculateur!X134*VLOOKUP('Données projet'!$B$9,Paramètres!$A$1:$I$89,3,0)*0.475*44/12</f>
        <v>0.88524058076086909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8.8616022951689946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67.777700538345385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-5.9412741393316544E-14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349.85922977910184</v>
      </c>
      <c r="AO134" s="62">
        <f t="shared" si="144"/>
        <v>180.11084167023813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67.777700538345385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67.777700538345385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67.777700538345385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67.777700538345385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67.777700538345385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67.777700538345385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67.777700538345385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67.777700538345385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4.4000000000000004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16.133333333333336</v>
      </c>
      <c r="H135" s="70">
        <f t="shared" si="110"/>
        <v>192.13333333333333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67.816252465687796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71.173545323577173</v>
      </c>
      <c r="T135" s="62">
        <f t="shared" si="142"/>
        <v>348.38731536853368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7.8199501262888402</v>
      </c>
      <c r="AA135" s="23">
        <f>EXP(-LN(2)/25)*AA134+(1-EXP(-LN(2)/25))/(LN(2)/25)*Calculateur!V135*Calculateur!X135*VLOOKUP('Données projet'!$B$9,Paramètres!$A$1:$I$89,3,0)*0.475*44/12</f>
        <v>0.86103363052718418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8.6809837568160244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67.816252465687796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-5.9412741393316544E-14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349.85922977910184</v>
      </c>
      <c r="AO135" s="62">
        <f t="shared" si="144"/>
        <v>180.11084167023813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67.816252465687796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67.816252465687796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67.816252465687796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67.816252465687796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67.816252465687796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67.816252465687796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67.816252465687796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67.816252465687796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4.4000000000000004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16.133333333333336</v>
      </c>
      <c r="H136" s="70">
        <f t="shared" si="110"/>
        <v>192.13333333333333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67.854135603280028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71.173545323577173</v>
      </c>
      <c r="T136" s="62">
        <f t="shared" si="142"/>
        <v>348.38731536853368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7.6666056740109241</v>
      </c>
      <c r="AA136" s="23">
        <f>EXP(-LN(2)/25)*AA135+(1-EXP(-LN(2)/25))/(LN(2)/25)*Calculateur!V136*Calculateur!X136*VLOOKUP('Données projet'!$B$9,Paramètres!$A$1:$I$89,3,0)*0.475*44/12</f>
        <v>0.83748862062062757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8.5040942946315514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67.854135603280028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-5.9412741393316544E-14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349.85922977910184</v>
      </c>
      <c r="AO136" s="62">
        <f t="shared" si="144"/>
        <v>180.11084167023813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67.854135603280028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67.854135603280028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67.854135603280028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67.854135603280028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67.854135603280028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67.854135603280028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67.854135603280028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67.854135603280028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4.4000000000000004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16.133333333333336</v>
      </c>
      <c r="H137" s="70">
        <f t="shared" si="110"/>
        <v>192.13333333333333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67.89136155312903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71.173545323577173</v>
      </c>
      <c r="T137" s="62">
        <f t="shared" si="142"/>
        <v>348.38731536853368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7.5162682129112977</v>
      </c>
      <c r="AA137" s="23">
        <f>EXP(-LN(2)/25)*AA136+(1-EXP(-LN(2)/25))/(LN(2)/25)*Calculateur!V137*Calculateur!X137*VLOOKUP('Données projet'!$B$9,Paramètres!$A$1:$I$89,3,0)*0.475*44/12</f>
        <v>0.81458745024814405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8.3308556631594417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67.89136155312903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-5.9412741393316544E-14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349.85922977910184</v>
      </c>
      <c r="AO137" s="62">
        <f t="shared" si="144"/>
        <v>180.11084167023813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67.89136155312903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67.89136155312903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67.89136155312903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67.89136155312903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67.89136155312903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67.89136155312903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67.89136155312903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67.89136155312903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4.4000000000000004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16.133333333333336</v>
      </c>
      <c r="H138" s="70">
        <f t="shared" si="110"/>
        <v>192.13333333333333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67.927941715972906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71.173545323577173</v>
      </c>
      <c r="T138" s="62">
        <f t="shared" si="142"/>
        <v>348.38731536853368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7.3688787777270379</v>
      </c>
      <c r="AA138" s="23">
        <f>EXP(-LN(2)/25)*AA137+(1-EXP(-LN(2)/25))/(LN(2)/25)*Calculateur!V138*Calculateur!X138*VLOOKUP('Données projet'!$B$9,Paramètres!$A$1:$I$89,3,0)*0.475*44/12</f>
        <v>0.79231251358381627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8.1611912913108533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67.927941715972906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-5.9412741393316544E-14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349.85922977910184</v>
      </c>
      <c r="AO138" s="62">
        <f t="shared" si="144"/>
        <v>180.11084167023813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67.927941715972906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67.927941715972906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67.927941715972906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67.927941715972906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67.927941715972906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67.927941715972906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67.927941715972906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67.927941715972906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4.4000000000000004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16.133333333333336</v>
      </c>
      <c r="H139" s="70">
        <f t="shared" si="110"/>
        <v>192.13333333333333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67.963887294772448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71.173545323577173</v>
      </c>
      <c r="T139" s="62">
        <f t="shared" si="142"/>
        <v>348.38731536853368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7.2243795594680629</v>
      </c>
      <c r="AA139" s="23">
        <f>EXP(-LN(2)/25)*AA138+(1-EXP(-LN(2)/25))/(LN(2)/25)*Calculateur!V139*Calculateur!X139*VLOOKUP('Données projet'!$B$9,Paramètres!$A$1:$I$89,3,0)*0.475*44/12</f>
        <v>0.7706466862339626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7.9950262457020251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67.963887294772448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-5.9412741393316544E-14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349.85922977910184</v>
      </c>
      <c r="AO139" s="62">
        <f t="shared" si="144"/>
        <v>180.11084167023813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67.963887294772448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67.963887294772448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67.963887294772448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67.963887294772448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67.963887294772448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67.963887294772448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67.963887294772448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67.963887294772448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4.4000000000000004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16.133333333333336</v>
      </c>
      <c r="H140" s="70">
        <f t="shared" si="110"/>
        <v>192.13333333333333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67.999209298142091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71.173545323577173</v>
      </c>
      <c r="T140" s="62">
        <f t="shared" si="142"/>
        <v>348.38731536853368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7.0827138827433256</v>
      </c>
      <c r="AA140" s="23">
        <f>EXP(-LN(2)/25)*AA139+(1-EXP(-LN(2)/25))/(LN(2)/25)*Calculateur!V140*Calculateur!X140*VLOOKUP('Données projet'!$B$9,Paramètres!$A$1:$I$89,3,0)*0.475*44/12</f>
        <v>0.74957331207234701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7.8322871948156729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67.999209298142091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-5.9412741393316544E-14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349.85922977910184</v>
      </c>
      <c r="AO140" s="62">
        <f t="shared" si="144"/>
        <v>180.11084167023813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67.999209298142091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67.999209298142091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67.999209298142091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67.999209298142091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67.999209298142091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67.999209298142091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67.999209298142091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67.999209298142091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4.4000000000000004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16.133333333333336</v>
      </c>
      <c r="H141" s="70">
        <f t="shared" si="110"/>
        <v>192.13333333333333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68.033918543721427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71.173545323577173</v>
      </c>
      <c r="T141" s="62">
        <f t="shared" si="142"/>
        <v>348.38731536853368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6.9438261835316304</v>
      </c>
      <c r="AA141" s="23">
        <f>EXP(-LN(2)/25)*AA140+(1-EXP(-LN(2)/25))/(LN(2)/25)*Calculateur!V141*Calculateur!X141*VLOOKUP('Données projet'!$B$9,Paramètres!$A$1:$I$89,3,0)*0.475*44/12</f>
        <v>0.72907619043538141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7.6729023739670117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68.033918543721427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-5.9412741393316544E-14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349.85922977910184</v>
      </c>
      <c r="AO141" s="62">
        <f t="shared" si="144"/>
        <v>180.11084167023813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68.033918543721427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68.033918543721427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68.033918543721427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68.033918543721427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68.033918543721427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68.033918543721427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68.033918543721427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68.033918543721427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4.4000000000000004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16.133333333333336</v>
      </c>
      <c r="H142" s="70">
        <f t="shared" si="110"/>
        <v>192.13333333333333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68.068025661488221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71.173545323577173</v>
      </c>
      <c r="T142" s="62">
        <f t="shared" si="142"/>
        <v>348.38731536853368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6.8076619873883439</v>
      </c>
      <c r="AA142" s="23">
        <f>EXP(-LN(2)/25)*AA141+(1-EXP(-LN(2)/25))/(LN(2)/25)*Calculateur!V142*Calculateur!X142*VLOOKUP('Données projet'!$B$9,Paramètres!$A$1:$I$89,3,0)*0.475*44/12</f>
        <v>0.70913956366747533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7.5168015510558188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68.068025661488221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-5.9412741393316544E-14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349.85922977910184</v>
      </c>
      <c r="AO142" s="62">
        <f t="shared" si="144"/>
        <v>180.11084167023813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68.068025661488221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68.068025661488221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68.068025661488221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68.068025661488221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68.068025661488221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68.068025661488221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68.068025661488221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68.068025661488221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4.4000000000000004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16.133333333333336</v>
      </c>
      <c r="H143" s="70">
        <f t="shared" si="110"/>
        <v>192.13333333333333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68.10154109701385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71.173545323577173</v>
      </c>
      <c r="T143" s="62">
        <f t="shared" si="142"/>
        <v>348.38731536853368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6.6741678880794693</v>
      </c>
      <c r="AA143" s="23">
        <f>EXP(-LN(2)/25)*AA142+(1-EXP(-LN(2)/25))/(LN(2)/25)*Calculateur!V143*Calculateur!X143*VLOOKUP('Données projet'!$B$9,Paramètres!$A$1:$I$89,3,0)*0.475*44/12</f>
        <v>0.68974810500695927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7.3639159930864286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68.10154109701385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-5.9412741393316544E-14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349.85922977910184</v>
      </c>
      <c r="AO143" s="62">
        <f t="shared" si="144"/>
        <v>180.11084167023813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68.10154109701385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68.10154109701385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68.10154109701385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68.10154109701385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68.10154109701385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68.10154109701385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68.10154109701385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68.10154109701385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4.4000000000000004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16.133333333333336</v>
      </c>
      <c r="H144" s="70">
        <f t="shared" si="110"/>
        <v>192.13333333333333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68.134475114662393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71.173545323577173</v>
      </c>
      <c r="T144" s="62">
        <f t="shared" si="142"/>
        <v>348.38731536853368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6.5432915266346807</v>
      </c>
      <c r="AA144" s="23">
        <f>EXP(-LN(2)/25)*AA143+(1-EXP(-LN(2)/25))/(LN(2)/25)*Calculateur!V144*Calculateur!X144*VLOOKUP('Données projet'!$B$9,Paramètres!$A$1:$I$89,3,0)*0.475*44/12</f>
        <v>0.67088690680326757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7.2141784334379482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68.134475114662393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-5.9412741393316544E-14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349.85922977910184</v>
      </c>
      <c r="AO144" s="62">
        <f t="shared" si="144"/>
        <v>180.11084167023813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68.134475114662393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68.134475114662393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68.134475114662393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68.134475114662393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68.134475114662393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68.134475114662393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68.134475114662393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68.134475114662393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4.4000000000000004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16.133333333333336</v>
      </c>
      <c r="H145" s="70">
        <f t="shared" si="110"/>
        <v>192.13333333333333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68.166837800734172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71.173545323577173</v>
      </c>
      <c r="T145" s="62">
        <f t="shared" si="142"/>
        <v>348.38731536853368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6.4149815708111264</v>
      </c>
      <c r="AA145" s="23">
        <f>EXP(-LN(2)/25)*AA144+(1-EXP(-LN(2)/25))/(LN(2)/25)*Calculateur!V145*Calculateur!X145*VLOOKUP('Données projet'!$B$9,Paramètres!$A$1:$I$89,3,0)*0.475*44/12</f>
        <v>0.65254146905632315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7.0675230398674493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68.166837800734172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-5.9412741393316544E-14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349.85922977910184</v>
      </c>
      <c r="AO145" s="62">
        <f t="shared" si="144"/>
        <v>180.11084167023813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68.166837800734172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68.166837800734172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68.166837800734172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68.166837800734172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68.166837800734172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68.166837800734172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68.166837800734172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68.166837800734172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4.4000000000000004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16.133333333333336</v>
      </c>
      <c r="H146" s="70">
        <f t="shared" si="110"/>
        <v>192.13333333333333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68.198639066554748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71.173545323577173</v>
      </c>
      <c r="T146" s="62">
        <f t="shared" si="142"/>
        <v>348.38731536853368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6.2891876949599261</v>
      </c>
      <c r="AA146" s="23">
        <f>EXP(-LN(2)/25)*AA145+(1-EXP(-LN(2)/25))/(LN(2)/25)*Calculateur!V146*Calculateur!X146*VLOOKUP('Données projet'!$B$9,Paramètres!$A$1:$I$89,3,0)*0.475*44/12</f>
        <v>0.6346976882693135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6.9238853832292397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68.198639066554748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-5.9412741393316544E-14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349.85922977910184</v>
      </c>
      <c r="AO146" s="62">
        <f t="shared" si="144"/>
        <v>180.11084167023813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68.198639066554748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68.198639066554748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68.198639066554748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68.198639066554748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68.198639066554748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68.198639066554748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68.198639066554748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68.198639066554748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4.4000000000000004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16.133333333333336</v>
      </c>
      <c r="H147" s="70">
        <f t="shared" si="110"/>
        <v>192.13333333333333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68.229888651510294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71.173545323577173</v>
      </c>
      <c r="T147" s="62">
        <f t="shared" si="142"/>
        <v>348.38731536853368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6.1658605602874799</v>
      </c>
      <c r="AA147" s="23">
        <f>EXP(-LN(2)/25)*AA146+(1-EXP(-LN(2)/25))/(LN(2)/25)*Calculateur!V147*Calculateur!X147*VLOOKUP('Données projet'!$B$9,Paramètres!$A$1:$I$89,3,0)*0.475*44/12</f>
        <v>0.61734184660628832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6.7832024068937677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68.229888651510294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-5.9412741393316544E-14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349.85922977910184</v>
      </c>
      <c r="AO147" s="62">
        <f t="shared" si="144"/>
        <v>180.11084167023813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68.229888651510294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68.229888651510294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68.229888651510294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68.229888651510294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68.229888651510294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68.229888651510294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68.229888651510294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68.229888651510294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4.4000000000000004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16.133333333333336</v>
      </c>
      <c r="H148" s="70">
        <f t="shared" si="110"/>
        <v>192.13333333333333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68.260596126030464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71.173545323577173</v>
      </c>
      <c r="T148" s="62">
        <f t="shared" si="142"/>
        <v>348.38731536853368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6.0449517955038354</v>
      </c>
      <c r="AA148" s="23">
        <f>EXP(-LN(2)/25)*AA147+(1-EXP(-LN(2)/25))/(LN(2)/25)*Calculateur!V148*Calculateur!X148*VLOOKUP('Données projet'!$B$9,Paramètres!$A$1:$I$89,3,0)*0.475*44/12</f>
        <v>0.60046060134624257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6.6454123968500785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68.260596126030464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-5.9412741393316544E-14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349.85922977910184</v>
      </c>
      <c r="AO148" s="62">
        <f t="shared" si="144"/>
        <v>180.11084167023813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68.260596126030464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68.260596126030464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68.260596126030464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68.260596126030464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68.260596126030464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68.260596126030464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68.260596126030464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68.260596126030464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4.4000000000000004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16.133333333333336</v>
      </c>
      <c r="H149" s="70">
        <f t="shared" si="110"/>
        <v>192.13333333333333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68.290770894519355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71.173545323577173</v>
      </c>
      <c r="T149" s="62">
        <f t="shared" si="142"/>
        <v>348.38731536853368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5.926413977850534</v>
      </c>
      <c r="AA149" s="23">
        <f>EXP(-LN(2)/25)*AA148+(1-EXP(-LN(2)/25))/(LN(2)/25)*Calculateur!V149*Calculateur!X149*VLOOKUP('Données projet'!$B$9,Paramètres!$A$1:$I$89,3,0)*0.475*44/12</f>
        <v>0.58404097462557891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6.5104549524761133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68.290770894519355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-5.9412741393316544E-14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349.85922977910184</v>
      </c>
      <c r="AO149" s="62">
        <f t="shared" si="144"/>
        <v>180.11084167023813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68.290770894519355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68.290770894519355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68.290770894519355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68.290770894519355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68.290770894519355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68.290770894519355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68.290770894519355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68.290770894519355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4.4000000000000004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16.133333333333336</v>
      </c>
      <c r="H150" s="70">
        <f t="shared" si="110"/>
        <v>192.13333333333333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68.320422198235619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71.173545323577173</v>
      </c>
      <c r="T150" s="62">
        <f t="shared" si="142"/>
        <v>348.38731536853368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5.8102006145004843</v>
      </c>
      <c r="AA150" s="23">
        <f>EXP(-LN(2)/25)*AA149+(1-EXP(-LN(2)/25))/(LN(2)/25)*Calculateur!V150*Calculateur!X150*VLOOKUP('Données projet'!$B$9,Paramètres!$A$1:$I$89,3,0)*0.475*44/12</f>
        <v>0.56807034346106244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6.3782709579615471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68.320422198235619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-5.9412741393316544E-14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349.85922977910184</v>
      </c>
      <c r="AO150" s="62">
        <f t="shared" si="144"/>
        <v>180.11084167023813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68.320422198235619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68.320422198235619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68.320422198235619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68.320422198235619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68.320422198235619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68.320422198235619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68.320422198235619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68.320422198235619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4.4000000000000004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16.133333333333336</v>
      </c>
      <c r="H151" s="70">
        <f t="shared" si="110"/>
        <v>192.13333333333333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68.349559118122812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71.173545323577173</v>
      </c>
      <c r="T151" s="62">
        <f t="shared" si="142"/>
        <v>348.38731536853368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5.6962661243225767</v>
      </c>
      <c r="AA151" s="23">
        <f>EXP(-LN(2)/25)*AA150+(1-EXP(-LN(2)/25))/(LN(2)/25)*Calculateur!V151*Calculateur!X151*VLOOKUP('Données projet'!$B$9,Paramètres!$A$1:$I$89,3,0)*0.475*44/12</f>
        <v>0.55253643004559871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6.2488025543681758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68.349559118122812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-5.9412741393316544E-14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349.85922977910184</v>
      </c>
      <c r="AO151" s="62">
        <f t="shared" si="144"/>
        <v>180.11084167023813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68.349559118122812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68.349559118122812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68.349559118122812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68.349559118122812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68.349559118122812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68.349559118122812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68.349559118122812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68.349559118122812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4.4000000000000004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16.133333333333336</v>
      </c>
      <c r="H152" s="70">
        <f t="shared" si="110"/>
        <v>192.13333333333333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68.378190577590345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71.173545323577173</v>
      </c>
      <c r="T152" s="62">
        <f t="shared" si="142"/>
        <v>348.38731536853368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5.5845658200038804</v>
      </c>
      <c r="AA152" s="23">
        <f>EXP(-LN(2)/25)*AA151+(1-EXP(-LN(2)/25))/(LN(2)/25)*Calculateur!V152*Calculateur!X152*VLOOKUP('Données projet'!$B$9,Paramètres!$A$1:$I$89,3,0)*0.475*44/12</f>
        <v>0.53742729230937381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6.1219931123132545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68.378190577590345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-5.9412741393316544E-14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349.85922977910184</v>
      </c>
      <c r="AO152" s="62">
        <f t="shared" si="144"/>
        <v>180.11084167023813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68.378190577590345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68.378190577590345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68.378190577590345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68.378190577590345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68.378190577590345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68.378190577590345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68.378190577590345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68.378190577590345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4.4000000000000004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16.133333333333336</v>
      </c>
      <c r="H153" s="70">
        <f t="shared" si="110"/>
        <v>192.13333333333333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68.406325345246472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71.173545323577173</v>
      </c>
      <c r="T153" s="62">
        <f t="shared" si="142"/>
        <v>348.38731536853368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5.4750558905224151</v>
      </c>
      <c r="AA153" s="23">
        <f>EXP(-LN(2)/25)*AA152+(1-EXP(-LN(2)/25))/(LN(2)/25)*Calculateur!V153*Calculateur!X153*VLOOKUP('Données projet'!$B$9,Paramètres!$A$1:$I$89,3,0)*0.475*44/12</f>
        <v>0.52273131473910095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5.997787205261516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68.406325345246472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-5.9412741393316544E-14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349.85922977910184</v>
      </c>
      <c r="AO153" s="62">
        <f t="shared" si="144"/>
        <v>180.11084167023813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68.406325345246472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68.406325345246472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68.406325345246472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68.406325345246472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68.406325345246472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68.406325345246472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68.406325345246472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68.406325345246472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4.4000000000000004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16.133333333333336</v>
      </c>
      <c r="H154" s="70">
        <f t="shared" si="110"/>
        <v>192.13333333333333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68.433972037583686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71.173545323577173</v>
      </c>
      <c r="T154" s="62">
        <f t="shared" si="142"/>
        <v>348.38731536853368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5.3676933839636201</v>
      </c>
      <c r="AA154" s="23">
        <f>EXP(-LN(2)/25)*AA153+(1-EXP(-LN(2)/25))/(LN(2)/25)*Calculateur!V154*Calculateur!X154*VLOOKUP('Données projet'!$B$9,Paramètres!$A$1:$I$89,3,0)*0.475*44/12</f>
        <v>0.50843719944831511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5.8761305834119355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68.433972037583686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-5.9412741393316544E-14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349.85922977910184</v>
      </c>
      <c r="AO154" s="62">
        <f t="shared" si="144"/>
        <v>180.11084167023813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68.433972037583686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68.433972037583686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68.433972037583686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68.433972037583686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68.433972037583686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68.433972037583686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68.433972037583686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68.433972037583686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4.4000000000000004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16.133333333333336</v>
      </c>
      <c r="H155" s="70">
        <f t="shared" si="110"/>
        <v>192.13333333333333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68.461139121617592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71.173545323577173</v>
      </c>
      <c r="T155" s="62">
        <f t="shared" si="142"/>
        <v>348.38731536853368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5.26243619067378</v>
      </c>
      <c r="AA155" s="23">
        <f>EXP(-LN(2)/25)*AA154+(1-EXP(-LN(2)/25))/(LN(2)/25)*Calculateur!V155*Calculateur!X155*VLOOKUP('Données projet'!$B$9,Paramètres!$A$1:$I$89,3,0)*0.475*44/12</f>
        <v>0.49453395749185064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5.7569701481656308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68.461139121617592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-5.9412741393316544E-14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349.85922977910184</v>
      </c>
      <c r="AO155" s="62">
        <f t="shared" si="144"/>
        <v>180.11084167023813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68.461139121617592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68.461139121617592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68.461139121617592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68.461139121617592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68.461139121617592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68.461139121617592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68.461139121617592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68.461139121617592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4.4000000000000004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16.133333333333336</v>
      </c>
      <c r="H156" s="70">
        <f t="shared" si="110"/>
        <v>192.13333333333333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68.487834917480001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71.173545323577173</v>
      </c>
      <c r="T156" s="62">
        <f t="shared" si="142"/>
        <v>348.38731536853368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5.1592430267438054</v>
      </c>
      <c r="AA156" s="23">
        <f>EXP(-LN(2)/25)*AA155+(1-EXP(-LN(2)/25))/(LN(2)/25)*Calculateur!V156*Calculateur!X156*VLOOKUP('Données projet'!$B$9,Paramètres!$A$1:$I$89,3,0)*0.475*44/12</f>
        <v>0.48101090041782546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5.6402539271616305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68.487834917480001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-5.9412741393316544E-14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349.85922977910184</v>
      </c>
      <c r="AO156" s="62">
        <f t="shared" si="144"/>
        <v>180.11084167023813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68.487834917480001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68.487834917480001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68.487834917480001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68.487834917480001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68.487834917480001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68.487834917480001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68.487834917480001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68.487834917480001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4.4000000000000004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16.133333333333336</v>
      </c>
      <c r="H157" s="70">
        <f t="shared" si="110"/>
        <v>192.13333333333333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68.514067600967067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71.173545323577173</v>
      </c>
      <c r="T157" s="62">
        <f t="shared" si="142"/>
        <v>348.38731536853368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5.0580734178168827</v>
      </c>
      <c r="AA157" s="23">
        <f>EXP(-LN(2)/25)*AA156+(1-EXP(-LN(2)/25))/(LN(2)/25)*Calculateur!V157*Calculateur!X157*VLOOKUP('Données projet'!$B$9,Paramètres!$A$1:$I$89,3,0)*0.475*44/12</f>
        <v>0.46785763205063613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5.5259310498675189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68.514067600967067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-5.9412741393316544E-14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349.85922977910184</v>
      </c>
      <c r="AO157" s="62">
        <f t="shared" si="144"/>
        <v>180.11084167023813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68.514067600967067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68.514067600967067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68.514067600967067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68.514067600967067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68.514067600967067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68.514067600967067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68.514067600967067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68.514067600967067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4.4000000000000004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16.133333333333336</v>
      </c>
      <c r="H158" s="70">
        <f t="shared" si="110"/>
        <v>192.13333333333333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68.539845206043125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71.173545323577173</v>
      </c>
      <c r="T158" s="62">
        <f t="shared" si="142"/>
        <v>348.38731536853368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4.9588876832136481</v>
      </c>
      <c r="AA158" s="23">
        <f>EXP(-LN(2)/25)*AA157+(1-EXP(-LN(2)/25))/(LN(2)/25)*Calculateur!V158*Calculateur!X158*VLOOKUP('Données projet'!$B$9,Paramètres!$A$1:$I$89,3,0)*0.475*44/12</f>
        <v>0.4550640404986479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5.4139517237122963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68.539845206043125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-5.9412741393316544E-14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349.85922977910184</v>
      </c>
      <c r="AO158" s="62">
        <f t="shared" si="144"/>
        <v>180.11084167023813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68.539845206043125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68.539845206043125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68.539845206043125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68.539845206043125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68.539845206043125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68.539845206043125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68.539845206043125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68.539845206043125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4.4000000000000004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16.133333333333336</v>
      </c>
      <c r="H159" s="70">
        <f t="shared" si="110"/>
        <v>192.13333333333333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68.565175627301187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71.173545323577173</v>
      </c>
      <c r="T159" s="62">
        <f t="shared" si="142"/>
        <v>348.38731536853368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4.861646920368659</v>
      </c>
      <c r="AA159" s="23">
        <f>EXP(-LN(2)/25)*AA158+(1-EXP(-LN(2)/25))/(LN(2)/25)*Calculateur!V159*Calculateur!X159*VLOOKUP('Données projet'!$B$9,Paramètres!$A$1:$I$89,3,0)*0.475*44/12</f>
        <v>0.44262029038043454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5.3042672107490931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68.565175627301187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-5.9412741393316544E-14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349.85922977910184</v>
      </c>
      <c r="AO159" s="62">
        <f t="shared" si="144"/>
        <v>180.11084167023813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68.565175627301187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68.565175627301187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68.565175627301187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68.565175627301187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68.565175627301187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68.565175627301187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68.565175627301187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68.565175627301187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4.4000000000000004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16.133333333333336</v>
      </c>
      <c r="H160" s="70">
        <f t="shared" si="110"/>
        <v>192.13333333333333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68.590066622380789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71.173545323577173</v>
      </c>
      <c r="T160" s="62">
        <f t="shared" si="142"/>
        <v>348.38731536853368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4.7663129895720511</v>
      </c>
      <c r="AA160" s="23">
        <f>EXP(-LN(2)/25)*AA159+(1-EXP(-LN(2)/25))/(LN(2)/25)*Calculateur!V160*Calculateur!X160*VLOOKUP('Données projet'!$B$9,Paramètres!$A$1:$I$89,3,0)*0.475*44/12</f>
        <v>0.43051681526359209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5.1968298048356427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68.590066622380789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-5.9412741393316544E-14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349.85922977910184</v>
      </c>
      <c r="AO160" s="62">
        <f t="shared" si="144"/>
        <v>180.11084167023813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68.590066622380789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68.590066622380789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68.590066622380789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68.590066622380789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68.590066622380789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68.590066622380789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68.590066622380789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68.590066622380789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4.4000000000000004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16.133333333333336</v>
      </c>
      <c r="H161" s="70">
        <f t="shared" si="110"/>
        <v>192.13333333333333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68.614525814343679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71.173545323577173</v>
      </c>
      <c r="T161" s="62">
        <f t="shared" si="142"/>
        <v>348.38731536853368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4.6728484990104082</v>
      </c>
      <c r="AA161" s="23">
        <f>EXP(-LN(2)/25)*AA160+(1-EXP(-LN(2)/25))/(LN(2)/25)*Calculateur!V161*Calculateur!X161*VLOOKUP('Données projet'!$B$9,Paramètres!$A$1:$I$89,3,0)*0.475*44/12</f>
        <v>0.41874431031031378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5.0915928093207219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68.614525814343679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-5.9412741393316544E-14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349.85922977910184</v>
      </c>
      <c r="AO161" s="62">
        <f t="shared" si="144"/>
        <v>180.11084167023813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68.614525814343679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68.614525814343679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68.614525814343679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68.614525814343679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68.614525814343679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68.614525814343679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68.614525814343679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68.614525814343679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4.4000000000000004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16.133333333333336</v>
      </c>
      <c r="H162" s="70">
        <f t="shared" si="110"/>
        <v>192.13333333333333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68.638560694008561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71.173545323577173</v>
      </c>
      <c r="T162" s="62">
        <f t="shared" si="142"/>
        <v>348.38731536853368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4.581216790100969</v>
      </c>
      <c r="AA162" s="23">
        <f>EXP(-LN(2)/25)*AA161+(1-EXP(-LN(2)/25))/(LN(2)/25)*Calculateur!V162*Calculateur!X162*VLOOKUP('Données projet'!$B$9,Paramètres!$A$1:$I$89,3,0)*0.475*44/12</f>
        <v>0.40729372512407203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4.9885105152250411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68.638560694008561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-5.9412741393316544E-14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349.85922977910184</v>
      </c>
      <c r="AO162" s="62">
        <f t="shared" si="144"/>
        <v>180.11084167023813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68.638560694008561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68.638560694008561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68.638560694008561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68.638560694008561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68.638560694008561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68.638560694008561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68.638560694008561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68.638560694008561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4.4000000000000004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16.133333333333336</v>
      </c>
      <c r="H163" s="70">
        <f t="shared" si="110"/>
        <v>192.13333333333333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68.662178622245207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71.173545323577173</v>
      </c>
      <c r="T163" s="62">
        <f t="shared" si="142"/>
        <v>348.38731536853368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4.49138192311342</v>
      </c>
      <c r="AA163" s="23">
        <f>EXP(-LN(2)/25)*AA162+(1-EXP(-LN(2)/25))/(LN(2)/25)*Calculateur!V163*Calculateur!X163*VLOOKUP('Données projet'!$B$9,Paramètres!$A$1:$I$89,3,0)*0.475*44/12</f>
        <v>0.39615625679190813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4.8875381799053281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68.662178622245207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-5.9412741393316544E-14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349.85922977910184</v>
      </c>
      <c r="AO163" s="62">
        <f t="shared" si="144"/>
        <v>180.11084167023813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68.662178622245207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68.662178622245207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68.662178622245207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68.662178622245207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68.662178622245207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68.662178622245207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68.662178622245207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68.662178622245207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4.4000000000000004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16.133333333333336</v>
      </c>
      <c r="H164" s="70">
        <f t="shared" si="110"/>
        <v>192.13333333333333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68.68538683222873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71.173545323577173</v>
      </c>
      <c r="T164" s="62">
        <f t="shared" si="142"/>
        <v>348.38731536853368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4.4033086630736387</v>
      </c>
      <c r="AA164" s="23">
        <f>EXP(-LN(2)/25)*AA163+(1-EXP(-LN(2)/25))/(LN(2)/25)*Calculateur!V164*Calculateur!X164*VLOOKUP('Données projet'!$B$9,Paramètres!$A$1:$I$89,3,0)*0.475*44/12</f>
        <v>0.3853233431169813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4.7886320061906202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68.68538683222873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-5.9412741393316544E-14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349.85922977910184</v>
      </c>
      <c r="AO164" s="62">
        <f t="shared" si="144"/>
        <v>180.11084167023813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68.68538683222873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68.68538683222873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68.68538683222873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68.68538683222873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68.68538683222873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68.68538683222873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68.68538683222873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68.68538683222873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4.4000000000000004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16.133333333333336</v>
      </c>
      <c r="H165" s="70">
        <f t="shared" si="110"/>
        <v>192.13333333333333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68.708192431654808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71.173545323577173</v>
      </c>
      <c r="T165" s="62">
        <f t="shared" si="142"/>
        <v>348.38731536853368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4.3169624659438526</v>
      </c>
      <c r="AA165" s="23">
        <f>EXP(-LN(2)/25)*AA164+(1-EXP(-LN(2)/25))/(LN(2)/25)*Calculateur!V165*Calculateur!X165*VLOOKUP('Données projet'!$B$9,Paramètres!$A$1:$I$89,3,0)*0.475*44/12</f>
        <v>0.3747866560361735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4.6917491219800258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68.708192431654808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-5.9412741393316544E-14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349.85922977910184</v>
      </c>
      <c r="AO165" s="62">
        <f t="shared" si="144"/>
        <v>180.11084167023813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68.708192431654808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68.708192431654808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68.708192431654808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68.708192431654808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68.708192431654808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68.708192431654808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68.708192431654808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68.708192431654808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4.4000000000000004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16.133333333333336</v>
      </c>
      <c r="H166" s="70">
        <f t="shared" si="110"/>
        <v>192.13333333333333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68.730602404916539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71.173545323577173</v>
      </c>
      <c r="T166" s="62">
        <f t="shared" si="142"/>
        <v>348.38731536853368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4.2323094650738025</v>
      </c>
      <c r="AA166" s="23">
        <f>EXP(-LN(2)/25)*AA165+(1-EXP(-LN(2)/25))/(LN(2)/25)*Calculateur!V166*Calculateur!X166*VLOOKUP('Données projet'!$B$9,Paramètres!$A$1:$I$89,3,0)*0.475*44/12</f>
        <v>0.36453809521769071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4.5968475602914936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68.730602404916539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-5.9412741393316544E-14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349.85922977910184</v>
      </c>
      <c r="AO166" s="62">
        <f t="shared" si="144"/>
        <v>180.11084167023813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68.730602404916539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68.730602404916539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68.730602404916539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68.730602404916539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68.730602404916539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68.730602404916539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68.730602404916539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68.730602404916539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4.4000000000000004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16.133333333333336</v>
      </c>
      <c r="H167" s="70">
        <f t="shared" si="110"/>
        <v>192.13333333333333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68.752623615243365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71.173545323577173</v>
      </c>
      <c r="T167" s="62">
        <f t="shared" si="142"/>
        <v>348.38731536853368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4.1493164579175819</v>
      </c>
      <c r="AA167" s="23">
        <f>EXP(-LN(2)/25)*AA166+(1-EXP(-LN(2)/25))/(LN(2)/25)*Calculateur!V167*Calculateur!X167*VLOOKUP('Données projet'!$B$9,Paramètres!$A$1:$I$89,3,0)*0.475*44/12</f>
        <v>0.35456978183373766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4.5038862397513197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68.752623615243365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-5.9412741393316544E-14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349.85922977910184</v>
      </c>
      <c r="AO167" s="62">
        <f t="shared" si="144"/>
        <v>180.11084167023813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68.752623615243365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68.752623615243365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68.752623615243365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68.752623615243365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68.752623615243365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68.752623615243365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68.752623615243365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68.752623615243365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4.4000000000000004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16.133333333333336</v>
      </c>
      <c r="H168" s="70">
        <f t="shared" si="110"/>
        <v>192.13333333333333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68.77426280680308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71.173545323577173</v>
      </c>
      <c r="T168" s="62">
        <f t="shared" si="142"/>
        <v>348.38731536853368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4.0679508930109582</v>
      </c>
      <c r="AA168" s="23">
        <f>EXP(-LN(2)/25)*AA167+(1-EXP(-LN(2)/25))/(LN(2)/25)*Calculateur!V168*Calculateur!X168*VLOOKUP('Données projet'!$B$9,Paramètres!$A$1:$I$89,3,0)*0.475*44/12</f>
        <v>0.34487405250347963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4.4128249455144379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68.77426280680308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-5.9412741393316544E-14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349.85922977910184</v>
      </c>
      <c r="AO168" s="62">
        <f t="shared" si="144"/>
        <v>180.11084167023813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68.77426280680308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68.77426280680308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68.77426280680308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68.77426280680308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68.77426280680308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68.77426280680308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68.77426280680308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68.77426280680308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4.4000000000000004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16.133333333333336</v>
      </c>
      <c r="H169" s="70">
        <f t="shared" si="110"/>
        <v>192.13333333333333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68.795526606767211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71.173545323577173</v>
      </c>
      <c r="T169" s="62">
        <f t="shared" si="142"/>
        <v>348.38731536853368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3.9881808572040596</v>
      </c>
      <c r="AA169" s="23">
        <f>EXP(-LN(2)/25)*AA168+(1-EXP(-LN(2)/25))/(LN(2)/25)*Calculateur!V169*Calculateur!X169*VLOOKUP('Données projet'!$B$9,Paramètres!$A$1:$I$89,3,0)*0.475*44/12</f>
        <v>0.33544345340163378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4.3236243106056937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68.795526606767211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-5.9412741393316544E-14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349.85922977910184</v>
      </c>
      <c r="AO169" s="62">
        <f t="shared" si="144"/>
        <v>180.11084167023813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68.795526606767211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68.795526606767211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68.795526606767211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68.795526606767211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68.795526606767211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68.795526606767211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68.795526606767211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68.795526606767211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4.4000000000000004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16.133333333333336</v>
      </c>
      <c r="H170" s="70">
        <f t="shared" si="110"/>
        <v>192.13333333333333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68.816421527340708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71.173545323577173</v>
      </c>
      <c r="T170" s="62">
        <f t="shared" si="142"/>
        <v>348.38731536853368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3.9099750631444166</v>
      </c>
      <c r="AA170" s="23">
        <f>EXP(-LN(2)/25)*AA169+(1-EXP(-LN(2)/25))/(LN(2)/25)*Calculateur!V170*Calculateur!X170*VLOOKUP('Données projet'!$B$9,Paramètres!$A$1:$I$89,3,0)*0.475*44/12</f>
        <v>0.32627073452816158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4.236245797672578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68.816421527340708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-5.9412741393316544E-14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349.85922977910184</v>
      </c>
      <c r="AO170" s="62">
        <f t="shared" si="144"/>
        <v>180.11084167023813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68.816421527340708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68.816421527340708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68.816421527340708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68.816421527340708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68.816421527340708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68.816421527340708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68.816421527340708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68.816421527340708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4.4000000000000004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16.133333333333336</v>
      </c>
      <c r="H171" s="70">
        <f t="shared" si="110"/>
        <v>192.13333333333333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68.836953967756287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71.173545323577173</v>
      </c>
      <c r="T171" s="62">
        <f t="shared" si="142"/>
        <v>348.38731536853368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3.8333028370054589</v>
      </c>
      <c r="AA171" s="23">
        <f>EXP(-LN(2)/25)*AA170+(1-EXP(-LN(2)/25))/(LN(2)/25)*Calculateur!V171*Calculateur!X171*VLOOKUP('Données projet'!$B$9,Paramètres!$A$1:$I$89,3,0)*0.475*44/12</f>
        <v>0.31734884413465675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4.1506516811401157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68.836953967756287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-5.9412741393316544E-14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349.85922977910184</v>
      </c>
      <c r="AO171" s="62">
        <f t="shared" si="144"/>
        <v>180.11084167023813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68.836953967756287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68.836953967756287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68.836953967756287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68.836953967756287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68.836953967756287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68.836953967756287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68.836953967756287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68.836953967756287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4.4000000000000004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16.133333333333336</v>
      </c>
      <c r="H172" s="70">
        <f t="shared" si="110"/>
        <v>192.13333333333333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68.857130216234339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71.173545323577173</v>
      </c>
      <c r="T172" s="62">
        <f t="shared" si="142"/>
        <v>348.38731536853368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3.7581341064556457</v>
      </c>
      <c r="AA172" s="23">
        <f>EXP(-LN(2)/25)*AA171+(1-EXP(-LN(2)/25))/(LN(2)/25)*Calculateur!V172*Calculateur!X172*VLOOKUP('Données projet'!$B$9,Paramètres!$A$1:$I$89,3,0)*0.475*44/12</f>
        <v>0.30867092330314416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4.0668050297587897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68.857130216234339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-5.9412741393316544E-14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349.85922977910184</v>
      </c>
      <c r="AO172" s="62">
        <f t="shared" si="144"/>
        <v>180.11084167023813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68.857130216234339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68.857130216234339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68.857130216234339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68.857130216234339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68.857130216234339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68.857130216234339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68.857130216234339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68.857130216234339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4.4000000000000004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16.133333333333336</v>
      </c>
      <c r="H173" s="70">
        <f t="shared" si="110"/>
        <v>192.13333333333333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68.876956451908612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71.173545323577173</v>
      </c>
      <c r="T173" s="62">
        <f t="shared" si="142"/>
        <v>348.38731536853368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3.6844393888635159</v>
      </c>
      <c r="AA173" s="23">
        <f>EXP(-LN(2)/25)*AA172+(1-EXP(-LN(2)/25))/(LN(2)/25)*Calculateur!V173*Calculateur!X173*VLOOKUP('Données projet'!$B$9,Paramètres!$A$1:$I$89,3,0)*0.475*44/12</f>
        <v>0.30023030067312129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3.9846696895366369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68.876956451908612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-5.9412741393316544E-14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349.85922977910184</v>
      </c>
      <c r="AO173" s="62">
        <f t="shared" si="144"/>
        <v>180.11084167023813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68.876956451908612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68.876956451908612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68.876956451908612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68.876956451908612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68.876956451908612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68.876956451908612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68.876956451908612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68.876956451908612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4.4000000000000004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16.133333333333336</v>
      </c>
      <c r="H174" s="70">
        <f t="shared" si="110"/>
        <v>192.13333333333333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68.896438746718758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71.173545323577173</v>
      </c>
      <c r="T174" s="62">
        <f t="shared" si="142"/>
        <v>348.38731536853368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3.6121897797340283</v>
      </c>
      <c r="AA174" s="23">
        <f>EXP(-LN(2)/25)*AA173+(1-EXP(-LN(2)/25))/(LN(2)/25)*Calculateur!V174*Calculateur!X174*VLOOKUP('Données projet'!$B$9,Paramètres!$A$1:$I$89,3,0)*0.475*44/12</f>
        <v>0.29202048731278946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3.904210267046818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68.896438746718758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-5.9412741393316544E-14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349.85922977910184</v>
      </c>
      <c r="AO174" s="62">
        <f t="shared" si="144"/>
        <v>180.11084167023813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68.896438746718758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68.896438746718758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68.896438746718758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68.896438746718758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68.896438746718758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68.896438746718758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68.896438746718758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68.896438746718758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4.4000000000000004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16.133333333333336</v>
      </c>
      <c r="H175" s="70">
        <f t="shared" si="110"/>
        <v>192.13333333333333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68.915583067269836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71.173545323577173</v>
      </c>
      <c r="T175" s="62">
        <f t="shared" si="142"/>
        <v>348.38731536853368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3.5413569413716601</v>
      </c>
      <c r="AA175" s="23">
        <f>EXP(-LN(2)/25)*AA174+(1-EXP(-LN(2)/25))/(LN(2)/25)*Calculateur!V175*Calculateur!X175*VLOOKUP('Données projet'!$B$9,Paramètres!$A$1:$I$89,3,0)*0.475*44/12</f>
        <v>0.28403517173053122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3.8253921131021915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68.915583067269836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-5.9412741393316544E-14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349.85922977910184</v>
      </c>
      <c r="AO175" s="62">
        <f t="shared" si="144"/>
        <v>180.11084167023813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68.915583067269836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68.915583067269836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68.915583067269836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68.915583067269836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68.915583067269836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68.915583067269836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68.915583067269836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68.915583067269836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4.4000000000000004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16.133333333333336</v>
      </c>
      <c r="H176" s="70">
        <f t="shared" si="110"/>
        <v>192.13333333333333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68.934395276659643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71.173545323577173</v>
      </c>
      <c r="T176" s="62">
        <f t="shared" si="142"/>
        <v>348.38731536853368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3.4719130917658125</v>
      </c>
      <c r="AA176" s="23">
        <f>EXP(-LN(2)/25)*AA175+(1-EXP(-LN(2)/25))/(LN(2)/25)*Calculateur!V176*Calculateur!X176*VLOOKUP('Données projet'!$B$9,Paramètres!$A$1:$I$89,3,0)*0.475*44/12</f>
        <v>0.27626821502279936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3.7481813067886121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68.934395276659643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-5.9412741393316544E-14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349.85922977910184</v>
      </c>
      <c r="AO176" s="62">
        <f t="shared" si="144"/>
        <v>180.11084167023813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68.934395276659643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68.934395276659643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68.934395276659643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68.934395276659643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68.934395276659643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68.934395276659643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68.934395276659643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68.934395276659643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4.4000000000000004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16.133333333333336</v>
      </c>
      <c r="H177" s="70">
        <f t="shared" si="110"/>
        <v>192.13333333333333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68.952881136274343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71.173545323577173</v>
      </c>
      <c r="T177" s="62">
        <f t="shared" si="142"/>
        <v>348.38731536853368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3.4038309936941697</v>
      </c>
      <c r="AA177" s="23">
        <f>EXP(-LN(2)/25)*AA176+(1-EXP(-LN(2)/25))/(LN(2)/25)*Calculateur!V177*Calculateur!X177*VLOOKUP('Données projet'!$B$9,Paramètres!$A$1:$I$89,3,0)*0.475*44/12</f>
        <v>0.2687136461546869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3.6725446398488568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68.952881136274343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-5.9412741393316544E-14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349.85922977910184</v>
      </c>
      <c r="AO177" s="62">
        <f t="shared" si="144"/>
        <v>180.11084167023813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68.952881136274343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68.952881136274343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68.952881136274343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68.952881136274343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68.952881136274343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68.952881136274343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68.952881136274343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68.952881136274343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4.4000000000000004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16.133333333333336</v>
      </c>
      <c r="H178" s="70">
        <f t="shared" si="110"/>
        <v>192.13333333333333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68.971046307552896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71.173545323577173</v>
      </c>
      <c r="T178" s="62">
        <f t="shared" si="142"/>
        <v>348.38731536853368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3.3370839440397324</v>
      </c>
      <c r="AA178" s="23">
        <f>EXP(-LN(2)/25)*AA177+(1-EXP(-LN(2)/25))/(LN(2)/25)*Calculateur!V178*Calculateur!X178*VLOOKUP('Données projet'!$B$9,Paramètres!$A$1:$I$89,3,0)*0.475*44/12</f>
        <v>0.26136565736955047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3.5984496014092828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68.971046307552896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-5.9412741393316544E-14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349.85922977910184</v>
      </c>
      <c r="AO178" s="62">
        <f t="shared" si="144"/>
        <v>180.11084167023813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68.971046307552896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68.971046307552896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68.971046307552896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68.971046307552896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68.971046307552896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68.971046307552896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68.971046307552896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68.971046307552896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4.4000000000000004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16.133333333333336</v>
      </c>
      <c r="H179" s="70">
        <f t="shared" si="110"/>
        <v>192.13333333333333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68.988896353721032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71.173545323577173</v>
      </c>
      <c r="T179" s="62">
        <f t="shared" si="142"/>
        <v>348.38731536853368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3.2716457633173381</v>
      </c>
      <c r="AA179" s="23">
        <f>EXP(-LN(2)/25)*AA178+(1-EXP(-LN(2)/25))/(LN(2)/25)*Calculateur!V179*Calculateur!X179*VLOOKUP('Données projet'!$B$9,Paramètres!$A$1:$I$89,3,0)*0.475*44/12</f>
        <v>0.25421859972415756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3.5258643630414959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68.988896353721032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-5.9412741393316544E-14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349.85922977910184</v>
      </c>
      <c r="AO179" s="62">
        <f t="shared" si="144"/>
        <v>180.11084167023813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68.988896353721032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68.988896353721032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68.988896353721032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68.988896353721032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68.988896353721032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68.988896353721032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68.988896353721032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68.988896353721032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4.4000000000000004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16.133333333333336</v>
      </c>
      <c r="H180" s="70">
        <f t="shared" si="110"/>
        <v>192.13333333333333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69.006436741494866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71.173545323577173</v>
      </c>
      <c r="T180" s="62">
        <f t="shared" si="142"/>
        <v>348.38731536853368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3.207490785405561</v>
      </c>
      <c r="AA180" s="23">
        <f>EXP(-LN(2)/25)*AA179+(1-EXP(-LN(2)/25))/(LN(2)/25)*Calculateur!V180*Calculateur!X180*VLOOKUP('Données projet'!$B$9,Paramètres!$A$1:$I$89,3,0)*0.475*44/12</f>
        <v>0.24726697874592532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3.4547577641514864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69.006436741494866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-5.9412741393316544E-14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349.85922977910184</v>
      </c>
      <c r="AO180" s="62">
        <f t="shared" si="144"/>
        <v>180.11084167023813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69.006436741494866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69.006436741494866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69.006436741494866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69.006436741494866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69.006436741494866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69.006436741494866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69.006436741494866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69.006436741494866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4.4000000000000004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16.133333333333336</v>
      </c>
      <c r="H181" s="70">
        <f t="shared" si="110"/>
        <v>192.13333333333333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69.023672842755246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71.173545323577173</v>
      </c>
      <c r="T181" s="62">
        <f t="shared" si="142"/>
        <v>348.38731536853368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3.1445938474799608</v>
      </c>
      <c r="AA181" s="23">
        <f>EXP(-LN(2)/25)*AA180+(1-EXP(-LN(2)/25))/(LN(2)/25)*Calculateur!V181*Calculateur!X181*VLOOKUP('Données projet'!$B$9,Paramètres!$A$1:$I$89,3,0)*0.475*44/12</f>
        <v>0.24050545020891273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3.3850992976888734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69.023672842755246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-5.9412741393316544E-14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349.85922977910184</v>
      </c>
      <c r="AO181" s="62">
        <f t="shared" si="144"/>
        <v>180.11084167023813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69.023672842755246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69.023672842755246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69.023672842755246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69.023672842755246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69.023672842755246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69.023672842755246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69.023672842755246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69.023672842755246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4.4000000000000004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16.133333333333336</v>
      </c>
      <c r="H182" s="70">
        <f t="shared" si="110"/>
        <v>192.13333333333333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69.040609936192922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71.173545323577173</v>
      </c>
      <c r="T182" s="62">
        <f t="shared" si="142"/>
        <v>348.38731536853368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3.0829302801437377</v>
      </c>
      <c r="AA182" s="23">
        <f>EXP(-LN(2)/25)*AA181+(1-EXP(-LN(2)/25))/(LN(2)/25)*Calculateur!V182*Calculateur!X182*VLOOKUP('Données projet'!$B$9,Paramètres!$A$1:$I$89,3,0)*0.475*44/12</f>
        <v>0.23392881602531806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3.3168590961690558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69.040609936192922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-5.9412741393316544E-14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349.85922977910184</v>
      </c>
      <c r="AO182" s="62">
        <f t="shared" si="144"/>
        <v>180.11084167023813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69.040609936192922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69.040609936192922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69.040609936192922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69.040609936192922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69.040609936192922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69.040609936192922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69.040609936192922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69.040609936192922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4.4000000000000004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16.133333333333336</v>
      </c>
      <c r="H183" s="70">
        <f t="shared" si="110"/>
        <v>192.13333333333333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69.057253208925118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71.173545323577173</v>
      </c>
      <c r="T183" s="62">
        <f t="shared" si="142"/>
        <v>348.38731536853368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3.0224758977519155</v>
      </c>
      <c r="AA183" s="23">
        <f>EXP(-LN(2)/25)*AA182+(1-EXP(-LN(2)/25))/(LN(2)/25)*Calculateur!V183*Calculateur!X183*VLOOKUP('Données projet'!$B$9,Paramètres!$A$1:$I$89,3,0)*0.475*44/12</f>
        <v>0.22753202024932395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3.2500079180012396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69.057253208925118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-5.9412741393316544E-14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349.85922977910184</v>
      </c>
      <c r="AO183" s="62">
        <f t="shared" si="144"/>
        <v>180.11084167023813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69.057253208925118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69.057253208925118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69.057253208925118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69.057253208925118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69.057253208925118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69.057253208925118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69.057253208925118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69.057253208925118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4.4000000000000004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16.133333333333336</v>
      </c>
      <c r="H184" s="70">
        <f t="shared" si="110"/>
        <v>192.13333333333333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69.073607758084194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71.173545323577173</v>
      </c>
      <c r="T184" s="62">
        <f t="shared" si="142"/>
        <v>348.38731536853368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2.9632069889252648</v>
      </c>
      <c r="AA184" s="23">
        <f>EXP(-LN(2)/25)*AA183+(1-EXP(-LN(2)/25))/(LN(2)/25)*Calculateur!V184*Calculateur!X184*VLOOKUP('Données projet'!$B$9,Paramètres!$A$1:$I$89,3,0)*0.475*44/12</f>
        <v>0.22131014519021727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3.1845171341154819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69.073607758084194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-5.9412741393316544E-14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349.85922977910184</v>
      </c>
      <c r="AO184" s="62">
        <f t="shared" si="144"/>
        <v>180.11084167023813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69.073607758084194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69.073607758084194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69.073607758084194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69.073607758084194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69.073607758084194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69.073607758084194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69.073607758084194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69.073607758084194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4.4000000000000004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16.133333333333336</v>
      </c>
      <c r="H185" s="70">
        <f t="shared" si="110"/>
        <v>192.13333333333333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69.089678592378661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71.173545323577173</v>
      </c>
      <c r="T185" s="62">
        <f t="shared" si="142"/>
        <v>348.38731536853368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2.9051003072502399</v>
      </c>
      <c r="AA185" s="23">
        <f>EXP(-LN(2)/25)*AA184+(1-EXP(-LN(2)/25))/(LN(2)/25)*Calculateur!V185*Calculateur!X185*VLOOKUP('Données projet'!$B$9,Paramètres!$A$1:$I$89,3,0)*0.475*44/12</f>
        <v>0.21525840763179604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3.1203587148820358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69.089678592378661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-5.9412741393316544E-14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349.85922977910184</v>
      </c>
      <c r="AO185" s="62">
        <f t="shared" si="144"/>
        <v>180.11084167023813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69.089678592378661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69.089678592378661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69.089678592378661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69.089678592378661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69.089678592378661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69.089678592378661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69.089678592378661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69.089678592378661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4.4000000000000004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16.133333333333336</v>
      </c>
      <c r="H186" s="70">
        <f t="shared" si="110"/>
        <v>192.13333333333333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69.105470633627107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71.173545323577173</v>
      </c>
      <c r="T186" s="62">
        <f t="shared" si="142"/>
        <v>348.38731536853368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2.8481330621612861</v>
      </c>
      <c r="AA186" s="23">
        <f>EXP(-LN(2)/25)*AA185+(1-EXP(-LN(2)/25))/(LN(2)/25)*Calculateur!V186*Calculateur!X186*VLOOKUP('Données projet'!$B$9,Paramètres!$A$1:$I$89,3,0)*0.475*44/12</f>
        <v>0.20937215515515689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3.057505217316443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69.105470633627107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-5.9412741393316544E-14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349.85922977910184</v>
      </c>
      <c r="AO186" s="62">
        <f t="shared" si="144"/>
        <v>180.11084167023813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69.105470633627107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69.105470633627107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69.105470633627107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69.105470633627107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69.105470633627107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69.105470633627107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69.105470633627107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69.105470633627107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4.4000000000000004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16.133333333333336</v>
      </c>
      <c r="H187" s="70">
        <f t="shared" si="110"/>
        <v>192.13333333333333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69.120988718265622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71.173545323577173</v>
      </c>
      <c r="T187" s="62">
        <f t="shared" si="142"/>
        <v>348.38731536853368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2.792282910001938</v>
      </c>
      <c r="AA187" s="23">
        <f>EXP(-LN(2)/25)*AA186+(1-EXP(-LN(2)/25))/(LN(2)/25)*Calculateur!V187*Calculateur!X187*VLOOKUP('Données projet'!$B$9,Paramètres!$A$1:$I$89,3,0)*0.475*44/12</f>
        <v>0.20364686256203601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2.995929772563974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69.120988718265622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-5.9412741393316544E-14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349.85922977910184</v>
      </c>
      <c r="AO187" s="62">
        <f t="shared" si="144"/>
        <v>180.11084167023813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69.120988718265622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69.120988718265622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69.120988718265622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69.120988718265622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69.120988718265622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69.120988718265622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69.120988718265622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69.120988718265622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4.4000000000000004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16.133333333333336</v>
      </c>
      <c r="H188" s="70">
        <f t="shared" si="110"/>
        <v>192.13333333333333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69.136237598828899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71.173545323577173</v>
      </c>
      <c r="T188" s="62">
        <f t="shared" si="142"/>
        <v>348.38731536853368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2.7375279452612054</v>
      </c>
      <c r="AA188" s="23">
        <f>EXP(-LN(2)/25)*AA187+(1-EXP(-LN(2)/25))/(LN(2)/25)*Calculateur!V188*Calculateur!X188*VLOOKUP('Données projet'!$B$9,Paramètres!$A$1:$I$89,3,0)*0.475*44/12</f>
        <v>0.19807812839595407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2.9356060736571594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69.136237598828899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-5.9412741393316544E-14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349.85922977910184</v>
      </c>
      <c r="AO188" s="62">
        <f t="shared" si="144"/>
        <v>180.11084167023813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69.136237598828899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69.136237598828899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69.136237598828899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69.136237598828899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69.136237598828899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69.136237598828899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69.136237598828899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69.136237598828899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4.4000000000000004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16.133333333333336</v>
      </c>
      <c r="H189" s="70">
        <f t="shared" si="110"/>
        <v>192.13333333333333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69.15122194540578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71.173545323577173</v>
      </c>
      <c r="T189" s="62">
        <f t="shared" si="142"/>
        <v>348.38731536853368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2.6838466919818078</v>
      </c>
      <c r="AA189" s="23">
        <f>EXP(-LN(2)/25)*AA188+(1-EXP(-LN(2)/25))/(LN(2)/25)*Calculateur!V189*Calculateur!X189*VLOOKUP('Données projet'!$B$9,Paramètres!$A$1:$I$89,3,0)*0.475*44/12</f>
        <v>0.19266167155849065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2.8765083635402986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69.15122194540578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-5.9412741393316544E-14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349.85922977910184</v>
      </c>
      <c r="AO189" s="62">
        <f t="shared" si="144"/>
        <v>180.11084167023813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69.15122194540578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69.15122194540578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69.15122194540578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69.15122194540578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69.15122194540578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69.15122194540578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69.15122194540578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69.15122194540578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4.4000000000000004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16.133333333333336</v>
      </c>
      <c r="H190" s="70">
        <f t="shared" si="110"/>
        <v>192.13333333333333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69.165946347069536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71.173545323577173</v>
      </c>
      <c r="T190" s="62">
        <f t="shared" si="142"/>
        <v>348.38731536853368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2.6312180953368878</v>
      </c>
      <c r="AA190" s="23">
        <f>EXP(-LN(2)/25)*AA189+(1-EXP(-LN(2)/25))/(LN(2)/25)*Calculateur!V190*Calculateur!X190*VLOOKUP('Données projet'!$B$9,Paramètres!$A$1:$I$89,3,0)*0.475*44/12</f>
        <v>0.18739332801808675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2.8186114233549744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69.165946347069536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-5.9412741393316544E-14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349.85922977910184</v>
      </c>
      <c r="AO190" s="62">
        <f t="shared" si="144"/>
        <v>180.11084167023813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69.165946347069536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69.165946347069536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69.165946347069536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69.165946347069536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69.165946347069536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69.165946347069536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69.165946347069536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69.165946347069536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4.4000000000000004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16.133333333333336</v>
      </c>
      <c r="H191" s="70">
        <f t="shared" si="110"/>
        <v>192.13333333333333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69.180415313283262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71.173545323577173</v>
      </c>
      <c r="T191" s="62">
        <f t="shared" si="142"/>
        <v>348.38731536853368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2.5796215133719005</v>
      </c>
      <c r="AA191" s="23">
        <f>EXP(-LN(2)/25)*AA190+(1-EXP(-LN(2)/25))/(LN(2)/25)*Calculateur!V191*Calculateur!X191*VLOOKUP('Données projet'!$B$9,Paramètres!$A$1:$I$89,3,0)*0.475*44/12</f>
        <v>0.18226904760884535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2.761890560980746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69.180415313283262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-5.9412741393316544E-14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349.85922977910184</v>
      </c>
      <c r="AO191" s="62">
        <f t="shared" si="144"/>
        <v>180.11084167023813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69.180415313283262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69.180415313283262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69.180415313283262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69.180415313283262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69.180415313283262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69.180415313283262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69.180415313283262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69.180415313283262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4.4000000000000004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16.133333333333336</v>
      </c>
      <c r="H192" s="70">
        <f t="shared" si="110"/>
        <v>192.13333333333333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69.194633275280935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71.173545323577173</v>
      </c>
      <c r="T192" s="62">
        <f t="shared" si="142"/>
        <v>348.38731536853368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2.5290367089084391</v>
      </c>
      <c r="AA192" s="23">
        <f>EXP(-LN(2)/25)*AA191+(1-EXP(-LN(2)/25))/(LN(2)/25)*Calculateur!V192*Calculateur!X192*VLOOKUP('Données projet'!$B$9,Paramètres!$A$1:$I$89,3,0)*0.475*44/12</f>
        <v>0.17728489091686883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2.7063215998253081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69.194633275280935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-5.9412741393316544E-14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349.85922977910184</v>
      </c>
      <c r="AO192" s="62">
        <f t="shared" si="144"/>
        <v>180.11084167023813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69.194633275280935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69.194633275280935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69.194633275280935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69.194633275280935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69.194633275280935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69.194633275280935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69.194633275280935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69.194633275280935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4.4000000000000004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16.133333333333336</v>
      </c>
      <c r="H193" s="70">
        <f t="shared" si="110"/>
        <v>192.13333333333333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69.208604587424546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71.173545323577173</v>
      </c>
      <c r="T193" s="62">
        <f t="shared" si="142"/>
        <v>348.38731536853368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2.4794438416068219</v>
      </c>
      <c r="AA193" s="23">
        <f>EXP(-LN(2)/25)*AA192+(1-EXP(-LN(2)/25))/(LN(2)/25)*Calculateur!V193*Calculateur!X193*VLOOKUP('Données projet'!$B$9,Paramètres!$A$1:$I$89,3,0)*0.475*44/12</f>
        <v>0.17243702625173982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2.6518808678585617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69.208604587424546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-5.9412741393316544E-14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349.85922977910184</v>
      </c>
      <c r="AO193" s="62">
        <f t="shared" si="144"/>
        <v>180.11084167023813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69.208604587424546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69.208604587424546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69.208604587424546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69.208604587424546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69.208604587424546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69.208604587424546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69.208604587424546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69.208604587424546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4.4000000000000004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16.133333333333336</v>
      </c>
      <c r="H194" s="70">
        <f t="shared" si="110"/>
        <v>192.13333333333333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69.222333528537646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71.173545323577173</v>
      </c>
      <c r="T194" s="62">
        <f t="shared" si="142"/>
        <v>348.38731536853368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2.4308234601843273</v>
      </c>
      <c r="AA194" s="23">
        <f>EXP(-LN(2)/25)*AA193+(1-EXP(-LN(2)/25))/(LN(2)/25)*Calculateur!V194*Calculateur!X194*VLOOKUP('Données projet'!$B$9,Paramètres!$A$1:$I$89,3,0)*0.475*44/12</f>
        <v>0.16772172670081689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2.5985451868851444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69.222333528537646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-5.9412741393316544E-14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349.85922977910184</v>
      </c>
      <c r="AO194" s="62">
        <f t="shared" si="144"/>
        <v>180.11084167023813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69.222333528537646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69.222333528537646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69.222333528537646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69.222333528537646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69.222333528537646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69.222333528537646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69.222333528537646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69.222333528537646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4.4000000000000004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16.133333333333336</v>
      </c>
      <c r="H195" s="70">
        <f t="shared" si="110"/>
        <v>192.13333333333333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69.235824303215765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71.173545323577173</v>
      </c>
      <c r="T195" s="62">
        <f t="shared" si="142"/>
        <v>348.38731536853368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2.3831564947860233</v>
      </c>
      <c r="AA195" s="23">
        <f>EXP(-LN(2)/25)*AA194+(1-EXP(-LN(2)/25))/(LN(2)/25)*Calculateur!V195*Calculateur!X195*VLOOKUP('Données projet'!$B$9,Paramètres!$A$1:$I$89,3,0)*0.475*44/12</f>
        <v>0.16313536726408079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2.5462918620501043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69.235824303215765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-5.9412741393316544E-14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349.85922977910184</v>
      </c>
      <c r="AO195" s="62">
        <f t="shared" si="144"/>
        <v>180.11084167023813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69.235824303215765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69.235824303215765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69.235824303215765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69.235824303215765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69.235824303215765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69.235824303215765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69.235824303215765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69.235824303215765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4.4000000000000004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16.133333333333336</v>
      </c>
      <c r="H196" s="70">
        <f t="shared" ref="H196:H203" si="192">(B196+E196+F196)*44/12+(C196+D196)*0.475*44/12</f>
        <v>192.13333333333333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69.249081043114046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71.173545323577173</v>
      </c>
      <c r="T196" s="62">
        <f t="shared" si="142"/>
        <v>348.38731536853368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2.3364242495052019</v>
      </c>
      <c r="AA196" s="23">
        <f>EXP(-LN(2)/25)*AA195+(1-EXP(-LN(2)/25))/(LN(2)/25)*Calculateur!V196*Calculateur!X196*VLOOKUP('Données projet'!$B$9,Paramètres!$A$1:$I$89,3,0)*0.475*44/12</f>
        <v>0.15867442206732837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2.4950986715725301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69.249081043114046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-5.9412741393316544E-14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349.85922977910184</v>
      </c>
      <c r="AO196" s="62">
        <f t="shared" si="144"/>
        <v>180.11084167023813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69.249081043114046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69.249081043114046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69.249081043114046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69.249081043114046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69.249081043114046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69.249081043114046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69.249081043114046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69.249081043114046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4.4000000000000004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16.133333333333336</v>
      </c>
      <c r="H197" s="70">
        <f t="shared" si="192"/>
        <v>192.13333333333333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69.262107808212733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71.173545323577173</v>
      </c>
      <c r="T197" s="62">
        <f t="shared" ref="T197:T203" si="204">$T$3</f>
        <v>348.38731536853368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2.2906083950504823</v>
      </c>
      <c r="AA197" s="23">
        <f>EXP(-LN(2)/25)*AA196+(1-EXP(-LN(2)/25))/(LN(2)/25)*Calculateur!V197*Calculateur!X197*VLOOKUP('Données projet'!$B$9,Paramètres!$A$1:$I$89,3,0)*0.475*44/12</f>
        <v>0.15433546165157208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2.4449438567020545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69.262107808212733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-5.9412741393316544E-14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349.85922977910184</v>
      </c>
      <c r="AO197" s="62">
        <f t="shared" ref="AO197:AO203" si="205">$AO$3</f>
        <v>180.11084167023813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69.262107808212733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69.262107808212733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69.262107808212733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69.262107808212733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69.262107808212733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69.262107808212733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69.262107808212733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69.262107808212733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4.4000000000000004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16.133333333333336</v>
      </c>
      <c r="H198" s="70">
        <f t="shared" si="192"/>
        <v>192.13333333333333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69.274908588060441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71.173545323577173</v>
      </c>
      <c r="T198" s="62">
        <f t="shared" si="204"/>
        <v>348.38731536853368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2.2456909615567078</v>
      </c>
      <c r="AA198" s="23">
        <f>EXP(-LN(2)/25)*AA197+(1-EXP(-LN(2)/25))/(LN(2)/25)*Calculateur!V198*Calculateur!X198*VLOOKUP('Données projet'!$B$9,Paramètres!$A$1:$I$89,3,0)*0.475*44/12</f>
        <v>0.15011515033656064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2.3958061118932683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69.274908588060441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-5.9412741393316544E-14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349.85922977910184</v>
      </c>
      <c r="AO198" s="62">
        <f t="shared" si="205"/>
        <v>180.11084167023813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69.274908588060441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69.274908588060441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69.274908588060441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69.274908588060441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69.274908588060441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69.274908588060441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69.274908588060441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69.274908588060441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4.4000000000000004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16.133333333333336</v>
      </c>
      <c r="H199" s="70">
        <f t="shared" si="192"/>
        <v>192.13333333333333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69.287487302996055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71.173545323577173</v>
      </c>
      <c r="T199" s="62">
        <f t="shared" si="204"/>
        <v>348.38731536853368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2.2016543315368171</v>
      </c>
      <c r="AA199" s="23">
        <f>EXP(-LN(2)/25)*AA198+(1-EXP(-LN(2)/25))/(LN(2)/25)*Calculateur!V199*Calculateur!X199*VLOOKUP('Données projet'!$B$9,Paramètres!$A$1:$I$89,3,0)*0.475*44/12</f>
        <v>0.14601024365639473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2.3476645751932117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69.287487302996055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-5.9412741393316544E-14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349.85922977910184</v>
      </c>
      <c r="AO199" s="62">
        <f t="shared" si="205"/>
        <v>180.11084167023813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69.287487302996055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69.287487302996055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69.287487302996055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69.287487302996055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69.287487302996055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69.287487302996055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69.287487302996055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69.287487302996055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4.4000000000000004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16.133333333333336</v>
      </c>
      <c r="H200" s="70">
        <f t="shared" si="192"/>
        <v>192.13333333333333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69.299847805349302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71.173545323577173</v>
      </c>
      <c r="T200" s="62">
        <f t="shared" si="204"/>
        <v>348.38731536853368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2.1584812329719245</v>
      </c>
      <c r="AA200" s="23">
        <f>EXP(-LN(2)/25)*AA199+(1-EXP(-LN(2)/25))/(LN(2)/25)*Calculateur!V200*Calculateur!X200*VLOOKUP('Données projet'!$B$9,Paramètres!$A$1:$I$89,3,0)*0.475*44/12</f>
        <v>0.14201758586526561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2.3004988188371902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69.299847805349302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-5.9412741393316544E-14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349.85922977910184</v>
      </c>
      <c r="AO200" s="62">
        <f t="shared" si="205"/>
        <v>180.11084167023813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69.299847805349302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69.299847805349302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69.299847805349302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69.299847805349302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69.299847805349302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69.299847805349302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69.299847805349302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69.299847805349302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4.4000000000000004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16.133333333333336</v>
      </c>
      <c r="H201" s="70">
        <f t="shared" si="192"/>
        <v>192.13333333333333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69.311993880620705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71.173545323577173</v>
      </c>
      <c r="T201" s="62">
        <f t="shared" si="204"/>
        <v>348.38731536853368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2.1161547325368995</v>
      </c>
      <c r="AA201" s="23">
        <f>EXP(-LN(2)/25)*AA200+(1-EXP(-LN(2)/25))/(LN(2)/25)*Calculateur!V201*Calculateur!X201*VLOOKUP('Données projet'!$B$9,Paramètres!$A$1:$I$89,3,0)*0.475*44/12</f>
        <v>0.13813410751139968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2.2542888400482992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69.311993880620705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-5.9412741393316544E-14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349.85922977910184</v>
      </c>
      <c r="AO201" s="62">
        <f t="shared" si="205"/>
        <v>180.11084167023813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69.311993880620705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69.311993880620705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69.311993880620705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69.311993880620705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69.311993880620705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69.311993880620705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69.311993880620705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69.311993880620705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4.4000000000000004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16.133333333333336</v>
      </c>
      <c r="H202" s="70">
        <f t="shared" si="192"/>
        <v>192.13333333333333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69.323929248640681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71.173545323577173</v>
      </c>
      <c r="T202" s="62">
        <f t="shared" si="204"/>
        <v>348.38731536853368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2.0746582289587892</v>
      </c>
      <c r="AA202" s="23">
        <f>EXP(-LN(2)/25)*AA201+(1-EXP(-LN(2)/25))/(LN(2)/25)*Calculateur!V202*Calculateur!X202*VLOOKUP('Données projet'!$B$9,Paramètres!$A$1:$I$89,3,0)*0.475*44/12</f>
        <v>0.13435682307734345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2.2090150520361327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69.323929248640681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-5.9412741393316544E-14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349.85922977910184</v>
      </c>
      <c r="AO202" s="62">
        <f t="shared" si="205"/>
        <v>180.11084167023813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69.323929248640681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69.323929248640681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69.323929248640681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69.323929248640681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69.323929248640681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69.323929248640681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69.323929248640681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69.323929248640681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4.4000000000000004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48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16.133333333333336</v>
      </c>
      <c r="H203" s="70">
        <f t="shared" si="192"/>
        <v>192.13333333333333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69.335657564708995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71.173545323577173</v>
      </c>
      <c r="T203" s="62">
        <f t="shared" si="204"/>
        <v>348.38731536853368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2.0339754465054773</v>
      </c>
      <c r="AA203" s="23">
        <f>EXP(-LN(2)/25)*AA202+(1-EXP(-LN(2)/25))/(LN(2)/25)*Calculateur!V203*Calculateur!X203*VLOOKUP('Données projet'!$B$9,Paramètres!$A$1:$I$89,3,0)*0.475*44/12</f>
        <v>0.13068282868477524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2.1646582751902526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69.335657564708995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-5.9412741393316544E-14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349.85922977910184</v>
      </c>
      <c r="AO203" s="62">
        <f t="shared" si="205"/>
        <v>180.11084167023813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69.335657564708995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69.335657564708995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69.335657564708995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69.335657564708995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69.335657564708995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69.335657564708995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69.335657564708995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69.335657564708995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1.3604941437265583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1.1457367676485573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25" workbookViewId="0">
      <selection activeCell="C11" sqref="C11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3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3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3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3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3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3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3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3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2" sqref="C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37" t="s">
        <v>191</v>
      </c>
      <c r="C2" s="338"/>
      <c r="D2" s="338"/>
      <c r="E2" s="338"/>
      <c r="F2" s="338"/>
      <c r="G2" s="33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36"/>
      <c r="C4" s="336"/>
      <c r="D4" s="336"/>
      <c r="E4" s="336"/>
      <c r="F4" s="336"/>
      <c r="G4" s="33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0.88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0.12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C1" workbookViewId="0">
      <selection activeCell="K31" sqref="K3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37" t="s">
        <v>271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Taro</v>
      </c>
      <c r="B6" s="155">
        <f>'Données projet'!D9</f>
        <v>2.7368000000000001</v>
      </c>
      <c r="C6" s="156">
        <f ca="1">IF(OR('Données projet'!B9="",'Données projet'!C9="",'Données projet'!C9=0%),0,Calculateur!S3)</f>
        <v>71.173545323577173</v>
      </c>
      <c r="D6" s="156">
        <f>IF(OR('Données projet'!B9="",'Données projet'!C9="",'Données projet'!C9=0%),0,Calculateur!T3)</f>
        <v>348.38731536853368</v>
      </c>
      <c r="E6" s="156">
        <f ca="1">MIN(C6,D6)</f>
        <v>71.173545323577173</v>
      </c>
      <c r="F6" s="156">
        <f ca="1">E6*B6</f>
        <v>194.78775884156602</v>
      </c>
      <c r="G6" s="156">
        <f ca="1">F6*(100%-'Données projet'!$C$24)*(100%-'Données projet'!$C$25)*(100%-'Données projet'!$C$26)*(100%-'Données projet'!$C$27)</f>
        <v>166.54353380953896</v>
      </c>
      <c r="H6" s="157">
        <f>IF(OR('Données projet'!B9="",'Données projet'!C9="",'Données projet'!C9=0%),0,AVERAGE(Calculateur!$AC$3:$AC$33)*B6)</f>
        <v>96.247426231135549</v>
      </c>
      <c r="I6" s="158">
        <f>H6*(100%-'Données projet'!$C$24)*(100%-'Données projet'!$C$25)*(100%-'Données projet'!$C$26)*(100%-'Données projet'!$C$27)</f>
        <v>82.291549427620893</v>
      </c>
      <c r="J6" s="159">
        <f>IF(OR('Données projet'!B9="",'Données projet'!C9="",'Données projet'!C9=0%),0,SUM(Calculateur!$V$3:$V$33)*VLOOKUP('Données projet'!$B$9,Paramètres!$A$1:$I$89,9,0)*B6)</f>
        <v>718.8205200000001</v>
      </c>
      <c r="K6" s="160">
        <f>J6*(100%-'Données projet'!$C$24)*(100%-'Données projet'!$C$25)*(100%-'Données projet'!$C$26)*(100%-'Données projet'!$C$27)</f>
        <v>614.59154460000002</v>
      </c>
      <c r="L6" s="161">
        <f ca="1">G6+I6+K6</f>
        <v>863.42662783715991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chevelu</v>
      </c>
      <c r="B7" s="163">
        <f>'Données projet'!D10</f>
        <v>0.37319999999999998</v>
      </c>
      <c r="C7" s="156">
        <f ca="1">IF(OR('Données projet'!B10="",'Données projet'!C10="",'Données projet'!C10=0%),0,Calculateur!AN3)</f>
        <v>349.85922977910184</v>
      </c>
      <c r="D7" s="156">
        <f>IF(OR('Données projet'!B10="",'Données projet'!C10="",'Données projet'!C10=0%),0,Calculateur!AO3)</f>
        <v>180.11084167023813</v>
      </c>
      <c r="E7" s="156">
        <f t="shared" ref="E7:E15" ca="1" si="0">MIN(C7,D7)</f>
        <v>180.11084167023813</v>
      </c>
      <c r="F7" s="156">
        <f t="shared" ref="F7:F15" ca="1" si="1">E7*B7</f>
        <v>67.217366111332865</v>
      </c>
      <c r="G7" s="156">
        <f ca="1">F7*(100%-'Données projet'!$C$24)*(100%-'Données projet'!$C$25)*(100%-'Données projet'!$C$26)*(100%-'Données projet'!$C$27)</f>
        <v>57.470848025189596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57.470848025189596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262.00512495289888</v>
      </c>
      <c r="G16" s="175">
        <f t="shared" ca="1" si="3"/>
        <v>224.01438183472857</v>
      </c>
      <c r="H16" s="176">
        <f t="shared" si="3"/>
        <v>96.247426231135549</v>
      </c>
      <c r="I16" s="176">
        <f t="shared" si="3"/>
        <v>82.291549427620893</v>
      </c>
      <c r="J16" s="177">
        <f t="shared" si="3"/>
        <v>718.8205200000001</v>
      </c>
      <c r="K16" s="177">
        <f t="shared" si="3"/>
        <v>614.59154460000002</v>
      </c>
      <c r="L16" s="178">
        <f t="shared" ca="1" si="3"/>
        <v>920.89747586234955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40" t="s">
        <v>246</v>
      </c>
      <c r="G17" s="341"/>
      <c r="H17" s="341"/>
      <c r="I17" s="341"/>
      <c r="J17" s="341"/>
      <c r="K17" s="341"/>
      <c r="L17" s="34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42"/>
      <c r="G18" s="342"/>
      <c r="H18" s="342"/>
      <c r="I18" s="342"/>
      <c r="J18" s="342"/>
      <c r="K18" s="342"/>
      <c r="L18" s="34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Taro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chevelu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cellWatches>
    <cellWatch r="L16"/>
  </cellWatch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D1" zoomScale="85" zoomScaleNormal="85" workbookViewId="0">
      <selection activeCell="P31" sqref="P3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37" t="s">
        <v>272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6" t="s">
        <v>315</v>
      </c>
      <c r="I4" s="346"/>
      <c r="K4" s="343" t="s">
        <v>253</v>
      </c>
      <c r="L4" s="34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54" t="s">
        <v>310</v>
      </c>
      <c r="S7" s="355"/>
      <c r="T7" s="355"/>
      <c r="U7" s="355"/>
      <c r="V7" s="35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Taro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6927.8456433599922</v>
      </c>
      <c r="U10" s="190">
        <f>'Données projet'!D9</f>
        <v>2.7368000000000001</v>
      </c>
      <c r="V10" s="189">
        <f>U10*T10</f>
        <v>18960.127956747627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chevelu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369.01721981656857</v>
      </c>
      <c r="U11" s="190">
        <f>'Données projet'!D10</f>
        <v>0.37319999999999998</v>
      </c>
      <c r="V11" s="189">
        <f t="shared" ref="V11" si="0">U11*T11</f>
        <v>137.71722643554338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Taro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7"/>
      <c r="H16" s="203"/>
      <c r="I16" s="204"/>
      <c r="J16" s="216"/>
      <c r="K16" s="225"/>
      <c r="L16" s="343" t="s">
        <v>254</v>
      </c>
      <c r="M16" s="34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7"/>
      <c r="J17" s="216"/>
      <c r="K17" s="225"/>
      <c r="L17" s="314" t="s">
        <v>289</v>
      </c>
      <c r="M17" s="31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7"/>
      <c r="J18" s="216"/>
      <c r="K18" s="225"/>
      <c r="L18" s="314" t="s">
        <v>255</v>
      </c>
      <c r="M18" s="31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7"/>
      <c r="H19" s="232" t="s">
        <v>178</v>
      </c>
      <c r="I19" s="232" t="s">
        <v>287</v>
      </c>
      <c r="J19" s="260"/>
      <c r="K19" s="183"/>
      <c r="L19" s="343" t="s">
        <v>288</v>
      </c>
      <c r="M19" s="34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7"/>
      <c r="H20" s="203">
        <v>0</v>
      </c>
      <c r="I20" s="204">
        <v>3643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640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208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18</v>
      </c>
      <c r="B23" s="193">
        <f>'Données projet'!D36</f>
        <v>255</v>
      </c>
      <c r="C23" s="206">
        <v>60</v>
      </c>
      <c r="D23" s="194">
        <f>B23*C23</f>
        <v>15300</v>
      </c>
      <c r="E23" s="206"/>
      <c r="F23" s="261"/>
      <c r="H23" s="203">
        <v>3</v>
      </c>
      <c r="I23" s="204">
        <v>562</v>
      </c>
      <c r="K23" s="225"/>
      <c r="L23" s="345" t="s">
        <v>260</v>
      </c>
      <c r="M23" s="345"/>
      <c r="N23" s="345"/>
      <c r="O23" s="25"/>
      <c r="P23" s="25"/>
      <c r="Q23" s="265"/>
      <c r="R23" s="25"/>
      <c r="S23" s="185" t="s">
        <v>264</v>
      </c>
      <c r="T23" s="35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3197.0015046685894</v>
      </c>
      <c r="U23" s="359"/>
      <c r="V23" s="35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4</v>
      </c>
      <c r="I24" s="204">
        <v>208</v>
      </c>
      <c r="K24" s="225"/>
      <c r="O24" s="25"/>
      <c r="P24" s="25"/>
      <c r="Q24" s="265"/>
      <c r="R24" s="25"/>
      <c r="S24" s="185" t="s">
        <v>261</v>
      </c>
      <c r="T24" s="360">
        <f ca="1">'Scénario référence'!$B$8*$M$30*'Données projet'!$C$5+('Scénario référence'!B9+'Scénario référence'!B10+'Scénario référence'!F8+'Scénario référence'!F9)*$N$19/(1+M4)^N16*'Données projet'!$C$5</f>
        <v>4092.7574508570069</v>
      </c>
      <c r="U24" s="360"/>
      <c r="V24" s="36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100</v>
      </c>
      <c r="Q25" s="265"/>
      <c r="R25" s="25"/>
      <c r="S25" s="198" t="s">
        <v>266</v>
      </c>
      <c r="T25" s="361">
        <f ca="1">T23-T24</f>
        <v>-895.75594618841751</v>
      </c>
      <c r="U25" s="361"/>
      <c r="V25" s="36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48" t="s">
        <v>258</v>
      </c>
      <c r="M26" s="349"/>
      <c r="N26" s="349"/>
      <c r="O26" s="349"/>
      <c r="P26" s="350"/>
      <c r="Q26" s="265"/>
      <c r="R26" s="25"/>
      <c r="S26" s="198" t="s">
        <v>265</v>
      </c>
      <c r="T26" s="358" t="str">
        <f ca="1">IF(T25&lt;0,"Votre projet est additionnel","Votre projet n'est pas additionnel")</f>
        <v>Votre projet est additionnel</v>
      </c>
      <c r="U26" s="358"/>
      <c r="V26" s="35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51"/>
      <c r="M27" s="352"/>
      <c r="N27" s="352"/>
      <c r="O27" s="352"/>
      <c r="P27" s="353"/>
      <c r="Q27" s="265"/>
      <c r="R27" s="25"/>
      <c r="S27" s="357" t="s">
        <v>267</v>
      </c>
      <c r="T27" s="357"/>
      <c r="U27" s="357"/>
      <c r="V27" s="35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1315.9991803398736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100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95.693779904306226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91.572995123738025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87.629660405490938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83.856134359321487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80.245104650068413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76.789573827816682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73.482845768245625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70.31851269688579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67.290442772139514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64.392768203004323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61.619873878473044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chevelu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58.966386486577086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56.427164101987636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53.997286221997754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51.672044231576791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49.446932279020878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47.317638544517585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45.280036884705829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str">
        <f>IF(O51+1&lt;=MIN('Données projet'!$E$9:$E$18),O51+1,"STOP")</f>
        <v>STOP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13</v>
      </c>
      <c r="C56" s="204">
        <v>10</v>
      </c>
      <c r="D56" s="191">
        <f t="shared" si="4"/>
        <v>130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14</v>
      </c>
      <c r="C57" s="204">
        <v>10</v>
      </c>
      <c r="D57" s="191">
        <f t="shared" si="4"/>
        <v>140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14</v>
      </c>
      <c r="C58" s="204">
        <v>10</v>
      </c>
      <c r="D58" s="191">
        <f t="shared" si="4"/>
        <v>140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14</v>
      </c>
      <c r="C59" s="204">
        <v>10</v>
      </c>
      <c r="D59" s="191">
        <f t="shared" si="4"/>
        <v>140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14</v>
      </c>
      <c r="C60" s="204">
        <v>15</v>
      </c>
      <c r="D60" s="191">
        <f t="shared" si="4"/>
        <v>210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14</v>
      </c>
      <c r="C61" s="204">
        <v>15</v>
      </c>
      <c r="D61" s="191">
        <f t="shared" si="4"/>
        <v>210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14</v>
      </c>
      <c r="C62" s="204">
        <v>15</v>
      </c>
      <c r="D62" s="191">
        <f t="shared" si="4"/>
        <v>210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14</v>
      </c>
      <c r="C63" s="204">
        <v>15</v>
      </c>
      <c r="D63" s="191">
        <f t="shared" si="4"/>
        <v>210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14</v>
      </c>
      <c r="C64" s="204">
        <v>20</v>
      </c>
      <c r="D64" s="191">
        <f t="shared" si="4"/>
        <v>280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14</v>
      </c>
      <c r="C65" s="204">
        <v>20</v>
      </c>
      <c r="D65" s="191">
        <f t="shared" si="4"/>
        <v>280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14</v>
      </c>
      <c r="C66" s="204">
        <v>20</v>
      </c>
      <c r="D66" s="191">
        <f t="shared" si="4"/>
        <v>280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14</v>
      </c>
      <c r="C67" s="204">
        <v>20</v>
      </c>
      <c r="D67" s="191">
        <f t="shared" si="4"/>
        <v>280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14</v>
      </c>
      <c r="C68" s="204">
        <v>30</v>
      </c>
      <c r="D68" s="191">
        <f t="shared" si="4"/>
        <v>420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13</v>
      </c>
      <c r="C69" s="204">
        <v>30</v>
      </c>
      <c r="D69" s="191">
        <f t="shared" si="4"/>
        <v>390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13</v>
      </c>
      <c r="C70" s="204">
        <v>40</v>
      </c>
      <c r="D70" s="191">
        <f t="shared" si="4"/>
        <v>520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13</v>
      </c>
      <c r="C71" s="204">
        <v>50</v>
      </c>
      <c r="D71" s="191">
        <f t="shared" si="4"/>
        <v>650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13</v>
      </c>
      <c r="C72" s="204">
        <v>70</v>
      </c>
      <c r="D72" s="191">
        <f t="shared" si="4"/>
        <v>910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222</v>
      </c>
      <c r="C73" s="204">
        <v>150</v>
      </c>
      <c r="D73" s="191">
        <f t="shared" si="4"/>
        <v>33300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9BA4-452E-4D8D-AC7D-78402E44DFD8}">
  <dimension ref="B1:M28"/>
  <sheetViews>
    <sheetView workbookViewId="0">
      <selection activeCell="E25" sqref="E25"/>
    </sheetView>
  </sheetViews>
  <sheetFormatPr baseColWidth="10" defaultRowHeight="15" x14ac:dyDescent="0.25"/>
  <cols>
    <col min="1" max="1" width="1.85546875" style="302" customWidth="1"/>
    <col min="2" max="2" width="23" style="302" bestFit="1" customWidth="1"/>
    <col min="3" max="12" width="16.7109375" style="302" customWidth="1"/>
    <col min="13" max="16384" width="11.42578125" style="302"/>
  </cols>
  <sheetData>
    <row r="1" spans="2:13" ht="30.75" customHeight="1" thickBot="1" x14ac:dyDescent="0.3">
      <c r="B1" s="362" t="s">
        <v>324</v>
      </c>
      <c r="C1" s="363"/>
      <c r="D1" s="364"/>
    </row>
    <row r="2" spans="2:13" ht="27.75" customHeight="1" thickBot="1" x14ac:dyDescent="0.3"/>
    <row r="3" spans="2:13" ht="24.95" customHeight="1" x14ac:dyDescent="0.25">
      <c r="B3" s="307" t="s">
        <v>325</v>
      </c>
      <c r="C3" s="292" t="str">
        <f>'Données projet'!B9</f>
        <v>Peuplier Taro</v>
      </c>
      <c r="D3" s="292" t="str">
        <f>'Données projet'!B10</f>
        <v>chêne chevelu</v>
      </c>
      <c r="E3" s="292">
        <f>'Données projet'!B11</f>
        <v>0</v>
      </c>
      <c r="F3" s="292">
        <f>'Données projet'!B12</f>
        <v>0</v>
      </c>
      <c r="G3" s="292">
        <f>'Données projet'!B13</f>
        <v>0</v>
      </c>
      <c r="H3" s="292">
        <f>'Données projet'!B14</f>
        <v>0</v>
      </c>
      <c r="I3" s="292">
        <f>'Données projet'!B15</f>
        <v>0</v>
      </c>
      <c r="J3" s="292">
        <f>'Données projet'!B16</f>
        <v>0</v>
      </c>
      <c r="K3" s="292">
        <f>'Données projet'!B17</f>
        <v>0</v>
      </c>
      <c r="L3" s="295">
        <f>'Données projet'!B18</f>
        <v>0</v>
      </c>
      <c r="M3" s="298" t="s">
        <v>328</v>
      </c>
    </row>
    <row r="4" spans="2:13" ht="24.95" customHeight="1" x14ac:dyDescent="0.25">
      <c r="B4" s="308" t="s">
        <v>326</v>
      </c>
      <c r="C4" s="300">
        <f>'Données projet'!$D$9</f>
        <v>2.7368000000000001</v>
      </c>
      <c r="D4" s="300">
        <f>'Données projet'!$D$10</f>
        <v>0.37319999999999998</v>
      </c>
      <c r="E4" s="300">
        <f>'Données projet'!$D$11</f>
        <v>0</v>
      </c>
      <c r="F4" s="300">
        <f>'Données projet'!$D$12</f>
        <v>0</v>
      </c>
      <c r="G4" s="300">
        <f>'Données projet'!$D$13</f>
        <v>0</v>
      </c>
      <c r="H4" s="300">
        <f>'Données projet'!$D$14</f>
        <v>0</v>
      </c>
      <c r="I4" s="300">
        <f>'Données projet'!$D$15</f>
        <v>0</v>
      </c>
      <c r="J4" s="300">
        <f>'Données projet'!$D$16</f>
        <v>0</v>
      </c>
      <c r="K4" s="300">
        <f>'Données projet'!$D$17</f>
        <v>0</v>
      </c>
      <c r="L4" s="301">
        <f>'Données projet'!$D$18</f>
        <v>0</v>
      </c>
      <c r="M4" s="304">
        <f>IF(SUM(C4:L4)=0,"",SUM(C4:L4))</f>
        <v>3.1100000000000003</v>
      </c>
    </row>
    <row r="5" spans="2:13" ht="24.95" customHeight="1" x14ac:dyDescent="0.25">
      <c r="B5" s="308" t="s">
        <v>327</v>
      </c>
      <c r="C5" s="292"/>
      <c r="D5" s="293"/>
      <c r="E5" s="293"/>
      <c r="F5" s="293"/>
      <c r="G5" s="293"/>
      <c r="H5" s="293"/>
      <c r="I5" s="293"/>
      <c r="J5" s="293"/>
      <c r="K5" s="293"/>
      <c r="L5" s="296"/>
      <c r="M5" s="299"/>
    </row>
    <row r="6" spans="2:13" ht="24.95" customHeight="1" x14ac:dyDescent="0.25">
      <c r="B6" s="308" t="s">
        <v>329</v>
      </c>
      <c r="C6" s="288"/>
      <c r="D6" s="288"/>
      <c r="E6" s="288"/>
      <c r="F6" s="288"/>
      <c r="G6" s="288"/>
      <c r="H6" s="288"/>
      <c r="I6" s="288"/>
      <c r="J6" s="288"/>
      <c r="K6" s="288"/>
      <c r="L6" s="297"/>
      <c r="M6" s="305" t="str">
        <f>IF(SUM(C6:L6)=0,"",SUM(C6:L6))</f>
        <v/>
      </c>
    </row>
    <row r="7" spans="2:13" ht="24.95" customHeight="1" x14ac:dyDescent="0.25">
      <c r="B7" s="308" t="s">
        <v>249</v>
      </c>
      <c r="C7" s="288"/>
      <c r="D7" s="288"/>
      <c r="E7" s="288"/>
      <c r="F7" s="288"/>
      <c r="G7" s="288"/>
      <c r="H7" s="288"/>
      <c r="I7" s="288"/>
      <c r="J7" s="288"/>
      <c r="K7" s="288"/>
      <c r="L7" s="297"/>
      <c r="M7" s="306" t="str">
        <f>IF(SUM(C7:L7)=0,"",SUM(C7:L7))</f>
        <v/>
      </c>
    </row>
    <row r="8" spans="2:13" ht="24.95" customHeight="1" x14ac:dyDescent="0.25">
      <c r="B8" s="308" t="s">
        <v>330</v>
      </c>
      <c r="C8" s="294"/>
      <c r="D8" s="294"/>
      <c r="E8" s="294"/>
      <c r="F8" s="294"/>
      <c r="G8" s="294"/>
      <c r="H8" s="294"/>
      <c r="I8" s="288"/>
      <c r="J8" s="288"/>
      <c r="K8" s="288"/>
      <c r="L8" s="297"/>
      <c r="M8" s="306"/>
    </row>
    <row r="9" spans="2:13" ht="24.95" customHeight="1" thickBot="1" x14ac:dyDescent="0.3">
      <c r="B9" s="309" t="s">
        <v>331</v>
      </c>
      <c r="C9" s="310" t="str">
        <f>IF(C7=0,"",IFERROR((C7-C4)*REE!L6/REE!$B$6,""))</f>
        <v/>
      </c>
      <c r="D9" s="310" t="str">
        <f>IF(D7=0,"",IFERROR((D7-D4)*REE!L7/REE!$B$6,""))</f>
        <v/>
      </c>
      <c r="E9" s="310" t="str">
        <f>IF(E7=0,"",IFERROR((E7-E4)*REE!L8/REE!$B$6,""))</f>
        <v/>
      </c>
      <c r="F9" s="310" t="str">
        <f>IF(F7=0,"",IFERROR((F7-F4)*REE!L9/REE!$B$6,""))</f>
        <v/>
      </c>
      <c r="G9" s="310" t="str">
        <f>IF(G7=0,"",IFERROR((G7-G4)*REE!L10/REE!$B$6,""))</f>
        <v/>
      </c>
      <c r="H9" s="310" t="str">
        <f>IF(H7=0,"",IFERROR((H7-H4)*REE!L11/REE!$B$6,""))</f>
        <v/>
      </c>
      <c r="I9" s="310" t="str">
        <f>IF(I7=0,"",IFERROR((I7-I4)*REE!L12/REE!$B$6,""))</f>
        <v/>
      </c>
      <c r="J9" s="310" t="str">
        <f>IF(J7=0,"",IFERROR((J7-J4)*REE!L13/REE!$B$6,""))</f>
        <v/>
      </c>
      <c r="K9" s="310" t="str">
        <f>IF(K7=0,"",IFERROR((K7-K4)*REE!L14/REE!$B$6,""))</f>
        <v/>
      </c>
      <c r="L9" s="310" t="str">
        <f>IF(L7=0,"",IFERROR((L7-L4)*REE!L15/REE!$B$6,""))</f>
        <v/>
      </c>
      <c r="M9" s="311" t="str">
        <f>IF(SUM(C9:L9)=0,"",SUM(C9:L9))</f>
        <v/>
      </c>
    </row>
    <row r="12" spans="2:13" x14ac:dyDescent="0.25">
      <c r="D12" s="303"/>
    </row>
    <row r="13" spans="2:13" x14ac:dyDescent="0.25">
      <c r="D13" s="303"/>
    </row>
    <row r="14" spans="2:13" x14ac:dyDescent="0.25">
      <c r="D14" s="303"/>
    </row>
    <row r="15" spans="2:13" x14ac:dyDescent="0.25">
      <c r="D15" s="303"/>
    </row>
    <row r="16" spans="2:13" x14ac:dyDescent="0.25">
      <c r="D16" s="303"/>
    </row>
    <row r="17" spans="4:4" x14ac:dyDescent="0.25">
      <c r="D17" s="303"/>
    </row>
    <row r="18" spans="4:4" x14ac:dyDescent="0.25">
      <c r="D18" s="303"/>
    </row>
    <row r="19" spans="4:4" x14ac:dyDescent="0.25">
      <c r="D19" s="303"/>
    </row>
    <row r="20" spans="4:4" x14ac:dyDescent="0.25">
      <c r="D20" s="303"/>
    </row>
    <row r="21" spans="4:4" x14ac:dyDescent="0.25">
      <c r="D21" s="303"/>
    </row>
    <row r="22" spans="4:4" x14ac:dyDescent="0.25">
      <c r="D22" s="303"/>
    </row>
    <row r="23" spans="4:4" x14ac:dyDescent="0.25">
      <c r="D23" s="303"/>
    </row>
    <row r="24" spans="4:4" x14ac:dyDescent="0.25">
      <c r="D24" s="303"/>
    </row>
    <row r="25" spans="4:4" x14ac:dyDescent="0.25">
      <c r="D25" s="303"/>
    </row>
    <row r="26" spans="4:4" x14ac:dyDescent="0.25">
      <c r="D26" s="303"/>
    </row>
    <row r="27" spans="4:4" x14ac:dyDescent="0.25">
      <c r="D27" s="303"/>
    </row>
    <row r="28" spans="4:4" x14ac:dyDescent="0.25">
      <c r="D28" s="303"/>
    </row>
  </sheetData>
  <mergeCells count="1">
    <mergeCell ref="B1:D1"/>
  </mergeCells>
  <conditionalFormatting sqref="C9:M9">
    <cfRule type="cellIs" dxfId="0" priority="1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vérification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2024-11-06T15:27:07Z</dcterms:modified>
</cp:coreProperties>
</file>