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ONF/SAINT NICOLAS DE BOURGEUIL Commune/2.Dossier_LBC_déposé/"/>
    </mc:Choice>
  </mc:AlternateContent>
  <xr:revisionPtr revIDLastSave="66" documentId="11_E6967C7E78D5A5CAE6D435F968EBF6B69F8688AF" xr6:coauthVersionLast="47" xr6:coauthVersionMax="47" xr10:uidLastSave="{698046BA-2A91-4463-95A3-145B33D1C6D4}"/>
  <bookViews>
    <workbookView xWindow="-80" yWindow="-80" windowWidth="19360" windowHeight="114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A155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HG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A157" i="2"/>
  <c r="HH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EC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HG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FS164" i="2"/>
  <c r="EX164" i="2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DI167" i="2"/>
  <c r="EC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X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B172" i="2"/>
  <c r="EA172" i="2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HI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HH178" i="2"/>
  <c r="EB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H179" i="2"/>
  <c r="DF179" i="2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EB185" i="2"/>
  <c r="HH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EB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EV190" i="2"/>
  <c r="HH190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EW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ED194" i="2" s="1"/>
  <c r="FQ194" i="2"/>
  <c r="HG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DH195" i="2"/>
  <c r="EX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A197" i="2" l="1"/>
  <c r="EW197" i="2"/>
  <c r="A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A199" i="2"/>
  <c r="EV199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H201" i="2" l="1"/>
  <c r="EA201" i="2"/>
  <c r="HG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FS202" i="2"/>
  <c r="HI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S203" i="2" l="1"/>
  <c r="DN56" i="2" a="1"/>
  <c r="DN56" i="2" s="1"/>
  <c r="BX107" i="2" a="1"/>
  <c r="BX107" i="2" s="1"/>
  <c r="BP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47" i="2" l="1"/>
  <c r="BI184" i="2"/>
  <c r="BI34" i="2"/>
  <c r="BI143" i="2"/>
  <c r="BI109" i="2"/>
  <c r="BI112" i="2"/>
  <c r="BI169" i="2"/>
  <c r="BI60" i="2"/>
  <c r="BI117" i="2"/>
  <c r="BI198" i="2"/>
  <c r="BI148" i="2"/>
  <c r="BI115" i="2"/>
  <c r="BI161" i="2"/>
  <c r="BI75" i="2"/>
  <c r="BI137" i="2"/>
  <c r="BI44" i="2"/>
  <c r="BI27" i="2"/>
  <c r="BI81" i="2"/>
  <c r="BI80" i="2"/>
  <c r="BI96" i="2"/>
  <c r="BI83" i="2"/>
  <c r="BI127" i="2"/>
  <c r="BI15" i="2"/>
  <c r="BI36" i="2"/>
  <c r="BI152" i="2"/>
  <c r="BI55" i="2"/>
  <c r="BI182" i="2"/>
  <c r="BI133" i="2"/>
  <c r="BI110" i="2"/>
  <c r="BI95" i="2"/>
  <c r="BI194" i="2"/>
  <c r="BI164" i="2"/>
  <c r="BI167" i="2"/>
  <c r="BI126" i="2"/>
  <c r="BI29" i="2"/>
  <c r="BI120" i="2"/>
  <c r="BI129" i="2"/>
  <c r="BI98" i="2"/>
  <c r="BI183" i="2"/>
  <c r="BI105" i="2"/>
  <c r="BI101" i="2"/>
  <c r="BI6" i="2"/>
  <c r="BI200" i="2"/>
  <c r="BI155" i="2"/>
  <c r="BI78" i="2"/>
  <c r="BI154" i="2"/>
  <c r="BI192" i="2"/>
  <c r="BI63" i="2"/>
  <c r="BI201" i="2"/>
  <c r="BI166" i="2"/>
  <c r="BI58" i="2"/>
  <c r="BI84" i="2"/>
  <c r="BI53" i="2"/>
  <c r="BI11" i="2"/>
  <c r="BI197" i="2"/>
  <c r="BI50" i="2"/>
  <c r="BI41" i="2"/>
  <c r="BI4" i="2"/>
  <c r="BI181" i="2"/>
  <c r="BI26" i="2"/>
  <c r="BI8" i="2"/>
  <c r="BI87" i="2"/>
  <c r="BI136" i="2"/>
  <c r="BI59" i="2"/>
  <c r="BI116" i="2"/>
  <c r="BI68" i="2"/>
  <c r="BI162" i="2"/>
  <c r="BI25" i="2"/>
  <c r="BI107" i="2"/>
  <c r="BI203" i="2"/>
  <c r="BI24" i="2"/>
  <c r="BI124" i="2"/>
  <c r="BI3" i="2"/>
  <c r="C8" i="4" s="1"/>
  <c r="E8" i="4" s="1"/>
  <c r="F8" i="4" s="1"/>
  <c r="G8" i="4" s="1"/>
  <c r="L8" i="4" s="1"/>
  <c r="BI61" i="2"/>
  <c r="BI135" i="2"/>
  <c r="BI108" i="2"/>
  <c r="BI31" i="2"/>
  <c r="BI66" i="2"/>
  <c r="BI46" i="2"/>
  <c r="BI163" i="2"/>
  <c r="BI32" i="2"/>
  <c r="BI179" i="2"/>
  <c r="BI74" i="2"/>
  <c r="BI40" i="2"/>
  <c r="BI165" i="2"/>
  <c r="BI139" i="2"/>
  <c r="BI199" i="2"/>
  <c r="BI19" i="2"/>
  <c r="BI175" i="2"/>
  <c r="BI102" i="2"/>
  <c r="BI119" i="2"/>
  <c r="BI190" i="2"/>
  <c r="BI145" i="2"/>
  <c r="BI147" i="2"/>
  <c r="BI132" i="2"/>
  <c r="BI106" i="2"/>
  <c r="BI174" i="2"/>
  <c r="BI159" i="2"/>
  <c r="BI187" i="2"/>
  <c r="BI100" i="2"/>
  <c r="BI56" i="2"/>
  <c r="BI193" i="2"/>
  <c r="BI171" i="2"/>
  <c r="BI35" i="2"/>
  <c r="BI71" i="2"/>
  <c r="BI38" i="2"/>
  <c r="BI14" i="2"/>
  <c r="BI82" i="2"/>
  <c r="BI144" i="2"/>
  <c r="BI92" i="2"/>
  <c r="BI151" i="2"/>
  <c r="BI28" i="2"/>
  <c r="BI180" i="2"/>
  <c r="BI188" i="2"/>
  <c r="BI172" i="2"/>
  <c r="BI196" i="2"/>
  <c r="BI111" i="2"/>
  <c r="BI76" i="2"/>
  <c r="BI45" i="2"/>
  <c r="BI16" i="2"/>
  <c r="BI123" i="2"/>
  <c r="BI69" i="2"/>
  <c r="BI73" i="2"/>
  <c r="BI94" i="2"/>
  <c r="BI77" i="2"/>
  <c r="BI178" i="2"/>
  <c r="BI9" i="2"/>
  <c r="BI134" i="2"/>
  <c r="BI158" i="2"/>
  <c r="BI103" i="2"/>
  <c r="BI104" i="2"/>
  <c r="BI88" i="2"/>
  <c r="BI21" i="2"/>
  <c r="BI10" i="2"/>
  <c r="BI37" i="2"/>
  <c r="BI85" i="2"/>
  <c r="BI54" i="2"/>
  <c r="BI146" i="2"/>
  <c r="BI138" i="2"/>
  <c r="BI5" i="2"/>
  <c r="BI202" i="2"/>
  <c r="BI114" i="2"/>
  <c r="BI128" i="2"/>
  <c r="BI93" i="2"/>
  <c r="BI64" i="2"/>
  <c r="BI90" i="2"/>
  <c r="BI70" i="2"/>
  <c r="BI186" i="2"/>
  <c r="BI91" i="2"/>
  <c r="BI185" i="2"/>
  <c r="BI149" i="2"/>
  <c r="BI142" i="2"/>
  <c r="BI43" i="2"/>
  <c r="BI97" i="2"/>
  <c r="BI42" i="2"/>
  <c r="BI17" i="2"/>
  <c r="BI62" i="2"/>
  <c r="BI48" i="2"/>
  <c r="BI67" i="2"/>
  <c r="BI39" i="2"/>
  <c r="BI168" i="2"/>
  <c r="BI160" i="2"/>
  <c r="BI113" i="2"/>
  <c r="BI170" i="2"/>
  <c r="BI51" i="2"/>
  <c r="BI65" i="2"/>
  <c r="BI140" i="2"/>
  <c r="BI72" i="2"/>
  <c r="BI177" i="2"/>
  <c r="BI131" i="2"/>
  <c r="BI86" i="2"/>
  <c r="BI125" i="2"/>
  <c r="BI122" i="2"/>
  <c r="BI12" i="2"/>
  <c r="BI20" i="2"/>
  <c r="BI121" i="2"/>
  <c r="BI33" i="2"/>
  <c r="BI18" i="2"/>
  <c r="BI195" i="2"/>
  <c r="BI191" i="2"/>
  <c r="BI153" i="2"/>
  <c r="BI130" i="2"/>
  <c r="BI49" i="2"/>
  <c r="BI30" i="2"/>
  <c r="BI57" i="2"/>
  <c r="BI141" i="2"/>
  <c r="BI7" i="2"/>
  <c r="BI52" i="2"/>
  <c r="BI99" i="2"/>
  <c r="BI22" i="2"/>
  <c r="BI89" i="2"/>
  <c r="BI13" i="2"/>
  <c r="BI118" i="2"/>
  <c r="BI173" i="2"/>
  <c r="BI23" i="2"/>
  <c r="BI157" i="2"/>
  <c r="BI150" i="2"/>
  <c r="BI189" i="2"/>
  <c r="BI156" i="2"/>
  <c r="BI79" i="2"/>
  <c r="BI176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<sst xmlns="http://schemas.openxmlformats.org/spreadsheetml/2006/main" count="1175" uniqueCount="325">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</sst>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2.9640993580666724</c:v>
                </c:pt>
                <c:pt idx="2">
                  <c:v>3.458752304811004</c:v>
                </c:pt>
                <c:pt idx="3">
                  <c:v>4.0362521032197076</c:v>
                </c:pt>
                <c:pt idx="4">
                  <c:v>4.7105215361670529</c:v>
                </c:pt>
                <c:pt idx="5">
                  <c:v>5.4978306071878214</c:v>
                </c:pt>
                <c:pt idx="6">
                  <c:v>6.4171934221324669</c:v>
                </c:pt>
                <c:pt idx="7">
                  <c:v>7.4908323605632203</c:v>
                </c:pt>
                <c:pt idx="8">
                  <c:v>8.7447209741137168</c:v>
                </c:pt>
                <c:pt idx="9">
                  <c:v>10.209218997453661</c:v>
                </c:pt>
                <c:pt idx="10">
                  <c:v>11.919815138535776</c:v>
                </c:pt>
                <c:pt idx="11">
                  <c:v>13.917995985342884</c:v>
                </c:pt>
                <c:pt idx="12">
                  <c:v>16.252262493033044</c:v>
                </c:pt>
                <c:pt idx="13">
                  <c:v>18.979319176252268</c:v>
                </c:pt>
                <c:pt idx="14">
                  <c:v>22.165465417878838</c:v>
                </c:pt>
                <c:pt idx="15">
                  <c:v>25.888223324685317</c:v>
                </c:pt>
                <c:pt idx="16">
                  <c:v>30.23824243782461</c:v>
                </c:pt>
                <c:pt idx="17">
                  <c:v>35.321528488654785</c:v>
                </c:pt>
                <c:pt idx="18">
                  <c:v>41.262051450417594</c:v>
                </c:pt>
                <c:pt idx="19">
                  <c:v>48.204797575429787</c:v>
                </c:pt>
                <c:pt idx="20">
                  <c:v>56.3193411621073</c:v>
                </c:pt>
                <c:pt idx="21">
                  <c:v>65.804024743266794</c:v>
                </c:pt>
                <c:pt idx="22">
                  <c:v>76.89085155122946</c:v>
                </c:pt>
                <c:pt idx="23">
                  <c:v>89.85121187649888</c:v>
                </c:pt>
                <c:pt idx="24">
                  <c:v>105.00258574070961</c:v>
                </c:pt>
                <c:pt idx="25">
                  <c:v>122.71638867318397</c:v>
                </c:pt>
                <c:pt idx="26">
                  <c:v>143.42715592551835</c:v>
                </c:pt>
                <c:pt idx="27">
                  <c:v>167.6432938969983</c:v>
                </c:pt>
                <c:pt idx="28">
                  <c:v>195.95966671535757</c:v>
                </c:pt>
                <c:pt idx="29">
                  <c:v>229.0723318069123</c:v>
                </c:pt>
                <c:pt idx="30">
                  <c:v>267.79579205111827</c:v>
                </c:pt>
                <c:pt idx="31">
                  <c:v>285.0547583309596</c:v>
                </c:pt>
                <c:pt idx="32">
                  <c:v>302.29033961874109</c:v>
                </c:pt>
                <c:pt idx="33">
                  <c:v>319.50405667423905</c:v>
                </c:pt>
                <c:pt idx="34">
                  <c:v>336.69725300985061</c:v>
                </c:pt>
                <c:pt idx="35">
                  <c:v>353.87112373479096</c:v>
                </c:pt>
                <c:pt idx="36">
                  <c:v>244.17615854336623</c:v>
                </c:pt>
                <c:pt idx="37">
                  <c:v>264.16729043726428</c:v>
                </c:pt>
                <c:pt idx="38">
                  <c:v>284.12430825972262</c:v>
                </c:pt>
                <c:pt idx="39">
                  <c:v>304.04994452903782</c:v>
                </c:pt>
                <c:pt idx="40">
                  <c:v>323.94654434225191</c:v>
                </c:pt>
                <c:pt idx="41">
                  <c:v>343.8161412270677</c:v>
                </c:pt>
                <c:pt idx="42">
                  <c:v>281.50080004370147</c:v>
                </c:pt>
                <c:pt idx="43">
                  <c:v>301.49699420025064</c:v>
                </c:pt>
                <c:pt idx="44">
                  <c:v>321.46367351994064</c:v>
                </c:pt>
                <c:pt idx="45">
                  <c:v>341.40292833372791</c:v>
                </c:pt>
                <c:pt idx="46">
                  <c:v>361.31658491550326</c:v>
                </c:pt>
                <c:pt idx="47">
                  <c:v>381.20625185605076</c:v>
                </c:pt>
                <c:pt idx="48">
                  <c:v>401.07335624876691</c:v>
                </c:pt>
                <c:pt idx="49">
                  <c:v>317.68185529751241</c:v>
                </c:pt>
                <c:pt idx="50">
                  <c:v>336.62029730417618</c:v>
                </c:pt>
                <c:pt idx="51">
                  <c:v>355.53528536439404</c:v>
                </c:pt>
                <c:pt idx="52">
                  <c:v>374.42824230994961</c:v>
                </c:pt>
                <c:pt idx="53">
                  <c:v>393.30043570903302</c:v>
                </c:pt>
                <c:pt idx="54">
                  <c:v>412.15300160022394</c:v>
                </c:pt>
                <c:pt idx="55">
                  <c:v>430.98696365677</c:v>
                </c:pt>
                <c:pt idx="56">
                  <c:v>352.81093608029602</c:v>
                </c:pt>
                <c:pt idx="57">
                  <c:v>370.64404149946154</c:v>
                </c:pt>
                <c:pt idx="58">
                  <c:v>388.45843971697235</c:v>
                </c:pt>
                <c:pt idx="59">
                  <c:v>406.25510903934338</c:v>
                </c:pt>
                <c:pt idx="60">
                  <c:v>424.03493509568131</c:v>
                </c:pt>
                <c:pt idx="61">
                  <c:v>441.79872321528131</c:v>
                </c:pt>
                <c:pt idx="62">
                  <c:v>459.54720871085141</c:v>
                </c:pt>
                <c:pt idx="63">
                  <c:v>477.28106549054843</c:v>
                </c:pt>
                <c:pt idx="64">
                  <c:v>405.98448140505258</c:v>
                </c:pt>
                <c:pt idx="65">
                  <c:v>423.1829779763184</c:v>
                </c:pt>
                <c:pt idx="66">
                  <c:v>440.366434889027</c:v>
                </c:pt>
                <c:pt idx="67">
                  <c:v>457.53552136725466</c:v>
                </c:pt>
                <c:pt idx="68">
                  <c:v>474.6908523338991</c:v>
                </c:pt>
                <c:pt idx="69">
                  <c:v>491.83299466033623</c:v>
                </c:pt>
                <c:pt idx="70">
                  <c:v>508.96247249963699</c:v>
                </c:pt>
                <c:pt idx="71">
                  <c:v>526.07977186466121</c:v>
                </c:pt>
                <c:pt idx="72">
                  <c:v>458.18667606042396</c:v>
                </c:pt>
                <c:pt idx="73">
                  <c:v>474.79621576596702</c:v>
                </c:pt>
                <c:pt idx="74">
                  <c:v>491.39339558175885</c:v>
                </c:pt>
                <c:pt idx="75">
                  <c:v>507.97869155778614</c:v>
                </c:pt>
                <c:pt idx="76">
                  <c:v>524.55254613826889</c:v>
                </c:pt>
                <c:pt idx="77">
                  <c:v>541.11537154271321</c:v>
                </c:pt>
                <c:pt idx="78">
                  <c:v>557.66755271162992</c:v>
                </c:pt>
                <c:pt idx="79">
                  <c:v>574.20944988448639</c:v>
                </c:pt>
                <c:pt idx="80">
                  <c:v>590.74140086528587</c:v>
                </c:pt>
                <c:pt idx="81">
                  <c:v>510.30190837603124</c:v>
                </c:pt>
                <c:pt idx="82">
                  <c:v>526.1399561854787</c:v>
                </c:pt>
                <c:pt idx="83">
                  <c:v>541.96796566969704</c:v>
                </c:pt>
                <c:pt idx="84">
                  <c:v>557.78627113783455</c:v>
                </c:pt>
                <c:pt idx="85">
                  <c:v>573.59518640137128</c:v>
                </c:pt>
                <c:pt idx="86">
                  <c:v>589.39500657285555</c:v>
                </c:pt>
                <c:pt idx="87">
                  <c:v>605.18600966182873</c:v>
                </c:pt>
                <c:pt idx="88">
                  <c:v>620.96845799561152</c:v>
                </c:pt>
                <c:pt idx="89">
                  <c:v>636.74259948822078</c:v>
                </c:pt>
                <c:pt idx="90">
                  <c:v>547.78831326717443</c:v>
                </c:pt>
                <c:pt idx="91">
                  <c:v>562.93483731411129</c:v>
                </c:pt>
                <c:pt idx="92">
                  <c:v>578.07283827736649</c:v>
                </c:pt>
                <c:pt idx="93">
                  <c:v>593.20257067688976</c:v>
                </c:pt>
                <c:pt idx="94">
                  <c:v>608.32427499780977</c:v>
                </c:pt>
                <c:pt idx="95">
                  <c:v>623.43817880119639</c:v>
                </c:pt>
                <c:pt idx="96">
                  <c:v>638.54449772156784</c:v>
                </c:pt>
                <c:pt idx="97">
                  <c:v>653.643436365154</c:v>
                </c:pt>
                <c:pt idx="98">
                  <c:v>668.7351891208973</c:v>
                </c:pt>
                <c:pt idx="99">
                  <c:v>683.81994089448551</c:v>
                </c:pt>
                <c:pt idx="100">
                  <c:v>597.50843183596521</c:v>
                </c:pt>
                <c:pt idx="101">
                  <c:v>612.23913507015232</c:v>
                </c:pt>
                <c:pt idx="102">
                  <c:v>626.96248797384635</c:v>
                </c:pt>
                <c:pt idx="103">
                  <c:v>641.67868737909782</c:v>
                </c:pt>
                <c:pt idx="104">
                  <c:v>656.38792035894619</c:v>
                </c:pt>
                <c:pt idx="105">
                  <c:v>671.09036492364601</c:v>
                </c:pt>
                <c:pt idx="106">
                  <c:v>685.78619065274654</c:v>
                </c:pt>
                <c:pt idx="107">
                  <c:v>700.4755592702146</c:v>
                </c:pt>
                <c:pt idx="108">
                  <c:v>715.15862516883874</c:v>
                </c:pt>
                <c:pt idx="109">
                  <c:v>729.8355358893599</c:v>
                </c:pt>
                <c:pt idx="110">
                  <c:v>636.45935740627795</c:v>
                </c:pt>
                <c:pt idx="111">
                  <c:v>650.86096652415483</c:v>
                </c:pt>
                <c:pt idx="112">
                  <c:v>665.25600733282261</c:v>
                </c:pt>
                <c:pt idx="113">
                  <c:v>679.64464189713055</c:v>
                </c:pt>
                <c:pt idx="114">
                  <c:v>694.0270248647272</c:v>
                </c:pt>
                <c:pt idx="115">
                  <c:v>708.40330395537342</c:v>
                </c:pt>
                <c:pt idx="116">
                  <c:v>722.77362040849687</c:v>
                </c:pt>
                <c:pt idx="117">
                  <c:v>737.13810939332973</c:v>
                </c:pt>
                <c:pt idx="118">
                  <c:v>751.4969003854402</c:v>
                </c:pt>
                <c:pt idx="119">
                  <c:v>765.85011751301136</c:v>
                </c:pt>
                <c:pt idx="120">
                  <c:v>457.91580414691771</c:v>
                </c:pt>
                <c:pt idx="121">
                  <c:v>466.02916946203032</c:v>
                </c:pt>
                <c:pt idx="122">
                  <c:v>474.1395239306633</c:v>
                </c:pt>
                <c:pt idx="123">
                  <c:v>482.24692633799822</c:v>
                </c:pt>
                <c:pt idx="124">
                  <c:v>323.22469807753976</c:v>
                </c:pt>
                <c:pt idx="125">
                  <c:v>328.20847843131236</c:v>
                </c:pt>
                <c:pt idx="126">
                  <c:v>333.19058819819924</c:v>
                </c:pt>
                <c:pt idx="127">
                  <c:v>338.17105591708673</c:v>
                </c:pt>
                <c:pt idx="128">
                  <c:v>234.53208786780417</c:v>
                </c:pt>
                <c:pt idx="129">
                  <c:v>237.77072993493167</c:v>
                </c:pt>
                <c:pt idx="130">
                  <c:v>241.00836655110513</c:v>
                </c:pt>
                <c:pt idx="131">
                  <c:v>244.24501316072394</c:v>
                </c:pt>
                <c:pt idx="132">
                  <c:v>1.3120596395817921E-11</c:v>
                </c:pt>
                <c:pt idx="133">
                  <c:v>1.3120596395817921E-11</c:v>
                </c:pt>
                <c:pt idx="134">
                  <c:v>1.3120596395817921E-11</c:v>
                </c:pt>
                <c:pt idx="135">
                  <c:v>1.3120596395817921E-11</c:v>
                </c:pt>
                <c:pt idx="136">
                  <c:v>1.3120596395817921E-11</c:v>
                </c:pt>
                <c:pt idx="137">
                  <c:v>1.3120596395817921E-11</c:v>
                </c:pt>
                <c:pt idx="138">
                  <c:v>1.3120596395817921E-11</c:v>
                </c:pt>
                <c:pt idx="139">
                  <c:v>1.3120596395817921E-11</c:v>
                </c:pt>
                <c:pt idx="140">
                  <c:v>1.3120596395817921E-11</c:v>
                </c:pt>
                <c:pt idx="141">
                  <c:v>1.3120596395817921E-11</c:v>
                </c:pt>
                <c:pt idx="142">
                  <c:v>1.3120596395817921E-11</c:v>
                </c:pt>
                <c:pt idx="143">
                  <c:v>1.3120596395817921E-11</c:v>
                </c:pt>
                <c:pt idx="144">
                  <c:v>1.3120596395817921E-11</c:v>
                </c:pt>
                <c:pt idx="145">
                  <c:v>1.3120596395817921E-11</c:v>
                </c:pt>
                <c:pt idx="146">
                  <c:v>1.3120596395817921E-11</c:v>
                </c:pt>
                <c:pt idx="147">
                  <c:v>1.3120596395817921E-11</c:v>
                </c:pt>
                <c:pt idx="148">
                  <c:v>1.3120596395817921E-11</c:v>
                </c:pt>
                <c:pt idx="149">
                  <c:v>1.3120596395817921E-11</c:v>
                </c:pt>
                <c:pt idx="150">
                  <c:v>1.3120596395817921E-11</c:v>
                </c:pt>
                <c:pt idx="151">
                  <c:v>1.3120596395817921E-11</c:v>
                </c:pt>
                <c:pt idx="152">
                  <c:v>1.3120596395817921E-11</c:v>
                </c:pt>
                <c:pt idx="153">
                  <c:v>1.3120596395817921E-11</c:v>
                </c:pt>
                <c:pt idx="154">
                  <c:v>1.3120596395817921E-11</c:v>
                </c:pt>
                <c:pt idx="155">
                  <c:v>1.3120596395817921E-11</c:v>
                </c:pt>
                <c:pt idx="156">
                  <c:v>1.3120596395817921E-11</c:v>
                </c:pt>
                <c:pt idx="157">
                  <c:v>1.3120596395817921E-11</c:v>
                </c:pt>
                <c:pt idx="158">
                  <c:v>1.3120596395817921E-11</c:v>
                </c:pt>
                <c:pt idx="159">
                  <c:v>1.3120596395817921E-11</c:v>
                </c:pt>
                <c:pt idx="160">
                  <c:v>1.3120596395817921E-11</c:v>
                </c:pt>
                <c:pt idx="161">
                  <c:v>1.3120596395817921E-11</c:v>
                </c:pt>
                <c:pt idx="162">
                  <c:v>1.3120596395817921E-11</c:v>
                </c:pt>
                <c:pt idx="163">
                  <c:v>1.3120596395817921E-11</c:v>
                </c:pt>
                <c:pt idx="164">
                  <c:v>1.3120596395817921E-11</c:v>
                </c:pt>
                <c:pt idx="165">
                  <c:v>1.3120596395817921E-11</c:v>
                </c:pt>
                <c:pt idx="166">
                  <c:v>1.3120596395817921E-11</c:v>
                </c:pt>
                <c:pt idx="167">
                  <c:v>1.3120596395817921E-11</c:v>
                </c:pt>
                <c:pt idx="168">
                  <c:v>1.3120596395817921E-11</c:v>
                </c:pt>
                <c:pt idx="169">
                  <c:v>1.3120596395817921E-11</c:v>
                </c:pt>
                <c:pt idx="170">
                  <c:v>1.3120596395817921E-11</c:v>
                </c:pt>
                <c:pt idx="171">
                  <c:v>1.3120596395817921E-11</c:v>
                </c:pt>
                <c:pt idx="172">
                  <c:v>1.3120596395817921E-11</c:v>
                </c:pt>
                <c:pt idx="173">
                  <c:v>1.3120596395817921E-11</c:v>
                </c:pt>
                <c:pt idx="174">
                  <c:v>1.3120596395817921E-11</c:v>
                </c:pt>
                <c:pt idx="175">
                  <c:v>1.3120596395817921E-11</c:v>
                </c:pt>
                <c:pt idx="176">
                  <c:v>1.3120596395817921E-11</c:v>
                </c:pt>
                <c:pt idx="177">
                  <c:v>1.3120596395817921E-11</c:v>
                </c:pt>
                <c:pt idx="178">
                  <c:v>1.3120596395817921E-11</c:v>
                </c:pt>
                <c:pt idx="179">
                  <c:v>1.3120596395817921E-11</c:v>
                </c:pt>
                <c:pt idx="180">
                  <c:v>1.3120596395817921E-11</c:v>
                </c:pt>
                <c:pt idx="181">
                  <c:v>1.3120596395817921E-11</c:v>
                </c:pt>
                <c:pt idx="182">
                  <c:v>1.3120596395817921E-11</c:v>
                </c:pt>
                <c:pt idx="183">
                  <c:v>1.3120596395817921E-11</c:v>
                </c:pt>
                <c:pt idx="184">
                  <c:v>1.3120596395817921E-11</c:v>
                </c:pt>
                <c:pt idx="185">
                  <c:v>1.3120596395817921E-11</c:v>
                </c:pt>
                <c:pt idx="186">
                  <c:v>1.3120596395817921E-11</c:v>
                </c:pt>
                <c:pt idx="187">
                  <c:v>1.3120596395817921E-11</c:v>
                </c:pt>
                <c:pt idx="188">
                  <c:v>1.3120596395817921E-11</c:v>
                </c:pt>
                <c:pt idx="189">
                  <c:v>1.3120596395817921E-11</c:v>
                </c:pt>
                <c:pt idx="190">
                  <c:v>1.3120596395817921E-11</c:v>
                </c:pt>
                <c:pt idx="191">
                  <c:v>1.3120596395817921E-11</c:v>
                </c:pt>
                <c:pt idx="192">
                  <c:v>1.3120596395817921E-11</c:v>
                </c:pt>
                <c:pt idx="193">
                  <c:v>1.3120596395817921E-11</c:v>
                </c:pt>
                <c:pt idx="194">
                  <c:v>1.3120596395817921E-11</c:v>
                </c:pt>
                <c:pt idx="195">
                  <c:v>1.3120596395817921E-11</c:v>
                </c:pt>
                <c:pt idx="196">
                  <c:v>1.3120596395817921E-11</c:v>
                </c:pt>
                <c:pt idx="197">
                  <c:v>1.3120596395817921E-11</c:v>
                </c:pt>
                <c:pt idx="198">
                  <c:v>1.3120596395817921E-11</c:v>
                </c:pt>
                <c:pt idx="199">
                  <c:v>1.3120596395817921E-11</c:v>
                </c:pt>
                <c:pt idx="200">
                  <c:v>1.3120596395817921E-11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289.40050775542744</c:v>
                </c:pt>
                <c:pt idx="32">
                  <c:v>306.89948661909699</c:v>
                </c:pt>
                <c:pt idx="33">
                  <c:v>324.37629966034979</c:v>
                </c:pt>
                <c:pt idx="34">
                  <c:v>341.83230892368027</c:v>
                </c:pt>
                <c:pt idx="35">
                  <c:v>359.26872600336202</c:v>
                </c:pt>
                <c:pt idx="36">
                  <c:v>247.89733645105048</c:v>
                </c:pt>
                <c:pt idx="37">
                  <c:v>268.19388020667242</c:v>
                </c:pt>
                <c:pt idx="38">
                  <c:v>288.45583932928992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349.06002407123123</c:v>
                </c:pt>
                <c:pt idx="42">
                  <c:v>285.79224141654964</c:v>
                </c:pt>
                <c:pt idx="43">
                  <c:v>306.09401640717584</c:v>
                </c:pt>
                <c:pt idx="44">
                  <c:v>326.36586944014988</c:v>
                </c:pt>
                <c:pt idx="45">
                  <c:v>346.60991967996728</c:v>
                </c:pt>
                <c:pt idx="46">
                  <c:v>366.82801859171582</c:v>
                </c:pt>
                <c:pt idx="47">
                  <c:v>387.02179695470659</c:v>
                </c:pt>
                <c:pt idx="48">
                  <c:v>407.19270154733073</c:v>
                </c:pt>
                <c:pt idx="49">
                  <c:v>322.52624611434112</c:v>
                </c:pt>
                <c:pt idx="50">
                  <c:v>341.75417681771779</c:v>
                </c:pt>
                <c:pt idx="51">
                  <c:v>360.95833005636814</c:v>
                </c:pt>
                <c:pt idx="52">
                  <c:v>380.1401482882859</c:v>
                </c:pt>
                <c:pt idx="53">
                  <c:v>399.30091656620215</c:v>
                </c:pt>
                <c:pt idx="54">
                  <c:v>418.44178659894874</c:v>
                </c:pt>
                <c:pt idx="55">
                  <c:v>437.56379618008327</c:v>
                </c:pt>
                <c:pt idx="56">
                  <c:v>358.1923298746517</c:v>
                </c:pt>
                <c:pt idx="57">
                  <c:v>376.29808691039688</c:v>
                </c:pt>
                <c:pt idx="58">
                  <c:v>394.38487870170007</c:v>
                </c:pt>
                <c:pt idx="59">
                  <c:v>412.45369704960859</c:v>
                </c:pt>
                <c:pt idx="60">
                  <c:v>430.50543979939113</c:v>
                </c:pt>
                <c:pt idx="61">
                  <c:v>448.54092338886767</c:v>
                </c:pt>
                <c:pt idx="62">
                  <c:v>466.56089327347848</c:v>
                </c:pt>
                <c:pt idx="63">
                  <c:v>484.566032657113</c:v>
                </c:pt>
                <c:pt idx="64">
                  <c:v>412.17893074941094</c:v>
                </c:pt>
                <c:pt idx="65">
                  <c:v>429.64045267146849</c:v>
                </c:pt>
                <c:pt idx="66">
                  <c:v>447.08672748141771</c:v>
                </c:pt>
                <c:pt idx="67">
                  <c:v>464.51843363445613</c:v>
                </c:pt>
                <c:pt idx="68">
                  <c:v>481.93619453558489</c:v>
                </c:pt>
                <c:pt idx="69">
                  <c:v>499.34058487547162</c:v>
                </c:pt>
                <c:pt idx="70">
                  <c:v>516.73213603723286</c:v>
                </c:pt>
                <c:pt idx="71">
                  <c:v>534.11134073767676</c:v>
                </c:pt>
                <c:pt idx="72">
                  <c:v>465.17954885268068</c:v>
                </c:pt>
                <c:pt idx="73">
                  <c:v>482.04316980390831</c:v>
                </c:pt>
                <c:pt idx="74">
                  <c:v>498.89426037594109</c:v>
                </c:pt>
                <c:pt idx="75">
                  <c:v>515.73330318528826</c:v>
                </c:pt>
                <c:pt idx="76">
                  <c:v>532.56074677914273</c:v>
                </c:pt>
                <c:pt idx="77">
                  <c:v>549.37700906307055</c:v>
                </c:pt>
                <c:pt idx="78">
                  <c:v>566.18248028736241</c:v>
                </c:pt>
                <c:pt idx="79">
                  <c:v>582.97752566054464</c:v>
                </c:pt>
                <c:pt idx="80">
                  <c:v>599.76248764621096</c:v>
                </c:pt>
                <c:pt idx="81">
                  <c:v>518.0920654638179</c:v>
                </c:pt>
                <c:pt idx="82">
                  <c:v>534.17244594763577</c:v>
                </c:pt>
                <c:pt idx="83">
                  <c:v>550.24264963990152</c:v>
                </c:pt>
                <c:pt idx="84">
                  <c:v>566.30301546114617</c:v>
                </c:pt>
                <c:pt idx="85">
                  <c:v>582.35386155149297</c:v>
                </c:pt>
                <c:pt idx="86">
                  <c:v>598.39548709420319</c:v>
                </c:pt>
                <c:pt idx="87">
                  <c:v>614.42817393361736</c:v>
                </c:pt>
                <c:pt idx="88">
                  <c:v>630.45218801553858</c:v>
                </c:pt>
                <c:pt idx="89">
                  <c:v>646.46778067365187</c:v>
                </c:pt>
                <c:pt idx="90">
                  <c:v>556.15206169982298</c:v>
                </c:pt>
                <c:pt idx="91">
                  <c:v>571.53037088991744</c:v>
                </c:pt>
                <c:pt idx="92">
                  <c:v>586.90003943089675</c:v>
                </c:pt>
                <c:pt idx="93">
                  <c:v>602.26132535349996</c:v>
                </c:pt>
                <c:pt idx="94">
                  <c:v>617.6144724600515</c:v>
                </c:pt>
                <c:pt idx="95">
                  <c:v>632.95971145054534</c:v>
                </c:pt>
                <c:pt idx="96">
                  <c:v>648.29726093391253</c:v>
                </c:pt>
                <c:pt idx="97">
                  <c:v>663.62732833867358</c:v>
                </c:pt>
                <c:pt idx="98">
                  <c:v>678.95011073512637</c:v>
                </c:pt>
                <c:pt idx="99">
                  <c:v>694.26579557950515</c:v>
                </c:pt>
                <c:pt idx="100">
                  <c:v>606.63308794985471</c:v>
                </c:pt>
                <c:pt idx="101">
                  <c:v>621.5892527220193</c:v>
                </c:pt>
                <c:pt idx="102">
                  <c:v>636.53796577494199</c:v>
                </c:pt>
                <c:pt idx="103">
                  <c:v>651.47942665572896</c:v>
                </c:pt>
                <c:pt idx="104">
                  <c:v>666.41382501786154</c:v>
                </c:pt>
                <c:pt idx="105">
                  <c:v>681.34134132702627</c:v>
                </c:pt>
                <c:pt idx="106">
                  <c:v>696.26214750191332</c:v>
                </c:pt>
                <c:pt idx="107">
                  <c:v>711.17640749727252</c:v>
                </c:pt>
                <c:pt idx="108">
                  <c:v>726.08427783555044</c:v>
                </c:pt>
                <c:pt idx="109">
                  <c:v>740.98590809263044</c:v>
                </c:pt>
                <c:pt idx="110">
                  <c:v>646.18020296138832</c:v>
                </c:pt>
                <c:pt idx="111">
                  <c:v>660.80226469034744</c:v>
                </c:pt>
                <c:pt idx="112">
                  <c:v>675.41766750836871</c:v>
                </c:pt>
                <c:pt idx="113">
                  <c:v>690.02657571578584</c:v>
                </c:pt>
                <c:pt idx="114">
                  <c:v>704.62914609342113</c:v>
                </c:pt>
                <c:pt idx="115">
                  <c:v>719.22552839864738</c:v>
                </c:pt>
                <c:pt idx="116">
                  <c:v>733.81586581911597</c:v>
                </c:pt>
                <c:pt idx="117">
                  <c:v>748.40029538855242</c:v>
                </c:pt>
                <c:pt idx="118">
                  <c:v>762.97894836847979</c:v>
                </c:pt>
                <c:pt idx="119">
                  <c:v>777.55195059927792</c:v>
                </c:pt>
                <c:pt idx="120">
                  <c:v>464.90453348622708</c:v>
                </c:pt>
                <c:pt idx="121">
                  <c:v>473.14200892852961</c:v>
                </c:pt>
                <c:pt idx="122">
                  <c:v>481.37643199343648</c:v>
                </c:pt>
                <c:pt idx="123">
                  <c:v>489.60786227699901</c:v>
                </c:pt>
                <c:pt idx="124">
                  <c:v>328.15381176580001</c:v>
                </c:pt>
                <c:pt idx="125">
                  <c:v>333.21377234826514</c:v>
                </c:pt>
                <c:pt idx="126">
                  <c:v>338.27203930015764</c:v>
                </c:pt>
                <c:pt idx="127">
                  <c:v>343.32864155402285</c:v>
                </c:pt>
                <c:pt idx="128">
                  <c:v>238.10594921033294</c:v>
                </c:pt>
                <c:pt idx="129">
                  <c:v>241.39406120554747</c:v>
                </c:pt>
                <c:pt idx="130">
                  <c:v>244.6811538808515</c:v>
                </c:pt>
                <c:pt idx="131">
                  <c:v>247.96724289368069</c:v>
                </c:pt>
                <c:pt idx="132">
                  <c:v>1.3303388911427938E-11</c:v>
                </c:pt>
                <c:pt idx="133">
                  <c:v>1.3303388911427938E-11</c:v>
                </c:pt>
                <c:pt idx="134">
                  <c:v>1.3303388911427938E-11</c:v>
                </c:pt>
                <c:pt idx="135">
                  <c:v>1.3303388911427938E-11</c:v>
                </c:pt>
                <c:pt idx="136">
                  <c:v>1.3303388911427938E-11</c:v>
                </c:pt>
                <c:pt idx="137">
                  <c:v>1.3303388911427938E-11</c:v>
                </c:pt>
                <c:pt idx="138">
                  <c:v>1.3303388911427938E-11</c:v>
                </c:pt>
                <c:pt idx="139">
                  <c:v>1.3303388911427938E-11</c:v>
                </c:pt>
                <c:pt idx="140">
                  <c:v>1.3303388911427938E-11</c:v>
                </c:pt>
                <c:pt idx="141">
                  <c:v>1.3303388911427938E-11</c:v>
                </c:pt>
                <c:pt idx="142">
                  <c:v>1.3303388911427938E-11</c:v>
                </c:pt>
                <c:pt idx="143">
                  <c:v>1.3303388911427938E-11</c:v>
                </c:pt>
                <c:pt idx="144">
                  <c:v>1.3303388911427938E-11</c:v>
                </c:pt>
                <c:pt idx="145">
                  <c:v>1.3303388911427938E-11</c:v>
                </c:pt>
                <c:pt idx="146">
                  <c:v>1.3303388911427938E-11</c:v>
                </c:pt>
                <c:pt idx="147">
                  <c:v>1.3303388911427938E-11</c:v>
                </c:pt>
                <c:pt idx="148">
                  <c:v>1.3303388911427938E-11</c:v>
                </c:pt>
                <c:pt idx="149">
                  <c:v>1.3303388911427938E-11</c:v>
                </c:pt>
                <c:pt idx="150">
                  <c:v>1.3303388911427938E-11</c:v>
                </c:pt>
                <c:pt idx="151">
                  <c:v>1.3303388911427938E-11</c:v>
                </c:pt>
                <c:pt idx="152">
                  <c:v>1.3303388911427938E-11</c:v>
                </c:pt>
                <c:pt idx="153">
                  <c:v>1.3303388911427938E-11</c:v>
                </c:pt>
                <c:pt idx="154">
                  <c:v>1.3303388911427938E-11</c:v>
                </c:pt>
                <c:pt idx="155">
                  <c:v>1.3303388911427938E-11</c:v>
                </c:pt>
                <c:pt idx="156">
                  <c:v>1.3303388911427938E-11</c:v>
                </c:pt>
                <c:pt idx="157">
                  <c:v>1.3303388911427938E-11</c:v>
                </c:pt>
                <c:pt idx="158">
                  <c:v>1.3303388911427938E-11</c:v>
                </c:pt>
                <c:pt idx="159">
                  <c:v>1.3303388911427938E-11</c:v>
                </c:pt>
                <c:pt idx="160">
                  <c:v>1.3303388911427938E-11</c:v>
                </c:pt>
                <c:pt idx="161">
                  <c:v>1.3303388911427938E-11</c:v>
                </c:pt>
                <c:pt idx="162">
                  <c:v>1.3303388911427938E-11</c:v>
                </c:pt>
                <c:pt idx="163">
                  <c:v>1.3303388911427938E-11</c:v>
                </c:pt>
                <c:pt idx="164">
                  <c:v>1.3303388911427938E-11</c:v>
                </c:pt>
                <c:pt idx="165">
                  <c:v>1.3303388911427938E-11</c:v>
                </c:pt>
                <c:pt idx="166">
                  <c:v>1.3303388911427938E-11</c:v>
                </c:pt>
                <c:pt idx="167">
                  <c:v>1.3303388911427938E-11</c:v>
                </c:pt>
                <c:pt idx="168">
                  <c:v>1.3303388911427938E-11</c:v>
                </c:pt>
                <c:pt idx="169">
                  <c:v>1.3303388911427938E-11</c:v>
                </c:pt>
                <c:pt idx="170">
                  <c:v>1.3303388911427938E-11</c:v>
                </c:pt>
                <c:pt idx="171">
                  <c:v>1.3303388911427938E-11</c:v>
                </c:pt>
                <c:pt idx="172">
                  <c:v>1.3303388911427938E-11</c:v>
                </c:pt>
                <c:pt idx="173">
                  <c:v>1.3303388911427938E-11</c:v>
                </c:pt>
                <c:pt idx="174">
                  <c:v>1.3303388911427938E-11</c:v>
                </c:pt>
                <c:pt idx="175">
                  <c:v>1.3303388911427938E-11</c:v>
                </c:pt>
                <c:pt idx="176">
                  <c:v>1.3303388911427938E-11</c:v>
                </c:pt>
                <c:pt idx="177">
                  <c:v>1.3303388911427938E-11</c:v>
                </c:pt>
                <c:pt idx="178">
                  <c:v>1.3303388911427938E-11</c:v>
                </c:pt>
                <c:pt idx="179">
                  <c:v>1.3303388911427938E-11</c:v>
                </c:pt>
                <c:pt idx="180">
                  <c:v>1.3303388911427938E-11</c:v>
                </c:pt>
                <c:pt idx="181">
                  <c:v>1.3303388911427938E-11</c:v>
                </c:pt>
                <c:pt idx="182">
                  <c:v>1.3303388911427938E-11</c:v>
                </c:pt>
                <c:pt idx="183">
                  <c:v>1.3303388911427938E-11</c:v>
                </c:pt>
                <c:pt idx="184">
                  <c:v>1.3303388911427938E-11</c:v>
                </c:pt>
                <c:pt idx="185">
                  <c:v>1.3303388911427938E-11</c:v>
                </c:pt>
                <c:pt idx="186">
                  <c:v>1.3303388911427938E-11</c:v>
                </c:pt>
                <c:pt idx="187">
                  <c:v>1.3303388911427938E-11</c:v>
                </c:pt>
                <c:pt idx="188">
                  <c:v>1.3303388911427938E-11</c:v>
                </c:pt>
                <c:pt idx="189">
                  <c:v>1.3303388911427938E-11</c:v>
                </c:pt>
                <c:pt idx="190">
                  <c:v>1.3303388911427938E-11</c:v>
                </c:pt>
                <c:pt idx="191">
                  <c:v>1.3303388911427938E-11</c:v>
                </c:pt>
                <c:pt idx="192">
                  <c:v>1.3303388911427938E-11</c:v>
                </c:pt>
                <c:pt idx="193">
                  <c:v>1.3303388911427938E-11</c:v>
                </c:pt>
                <c:pt idx="194">
                  <c:v>1.3303388911427938E-11</c:v>
                </c:pt>
                <c:pt idx="195">
                  <c:v>1.3303388911427938E-11</c:v>
                </c:pt>
                <c:pt idx="196">
                  <c:v>1.3303388911427938E-11</c:v>
                </c:pt>
                <c:pt idx="197">
                  <c:v>1.3303388911427938E-11</c:v>
                </c:pt>
                <c:pt idx="198">
                  <c:v>1.3303388911427938E-11</c:v>
                </c:pt>
                <c:pt idx="199">
                  <c:v>1.3303388911427938E-11</c:v>
                </c:pt>
                <c:pt idx="200">
                  <c:v>1.3303388911427938E-11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" zoomScale="80" zoomScaleNormal="80" workbookViewId="0">
      <selection activeCell="C9" sqref="C9:C1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7</v>
      </c>
      <c r="B5" s="268"/>
      <c r="C5" s="24">
        <v>31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229</v>
      </c>
      <c r="C9" s="32">
        <v>0.7</v>
      </c>
      <c r="D9" s="33">
        <f t="shared" ref="D9:D18" si="0">C9*$C$5</f>
        <v>21.7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17</v>
      </c>
      <c r="B10" s="31" t="s">
        <v>145</v>
      </c>
      <c r="C10" s="32">
        <v>0.09</v>
      </c>
      <c r="D10" s="33">
        <f>C10*$C$5</f>
        <v>2.79</v>
      </c>
      <c r="E10" s="34">
        <v>131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18</v>
      </c>
      <c r="B11" s="31" t="s">
        <v>139</v>
      </c>
      <c r="C11" s="32">
        <v>0.11</v>
      </c>
      <c r="D11" s="33">
        <f>C11*$C$5</f>
        <v>3.41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19</v>
      </c>
      <c r="B12" s="31" t="s">
        <v>168</v>
      </c>
      <c r="C12" s="32">
        <v>0.1</v>
      </c>
      <c r="D12" s="33">
        <f t="shared" si="0"/>
        <v>3.1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26</v>
      </c>
      <c r="C19" s="37">
        <f>SUM(C9:C18)</f>
        <v>0.99999999999999989</v>
      </c>
      <c r="D19" s="38">
        <f>SUM(D9:D18)</f>
        <v>31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33</v>
      </c>
      <c r="B26" s="42" t="s">
        <v>34</v>
      </c>
      <c r="C26" s="43">
        <v>0.15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Pin maritime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19.393589743589743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48</v>
      </c>
      <c r="B41" s="60">
        <v>427.74615384615385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15.21153846153846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12.837499999999991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17</v>
      </c>
      <c r="B58" s="52" t="str">
        <f>IF(B10="","",B10)</f>
        <v>Chêne tauzin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30</v>
      </c>
      <c r="B62" s="60">
        <v>121.88461538461537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4.0628205128205126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35</v>
      </c>
      <c r="B63" s="60">
        <v>162.16666666666669</v>
      </c>
      <c r="C63" s="60">
        <v>1</v>
      </c>
      <c r="D63" s="60">
        <v>60.602564102564102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8.0564102564102633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41</v>
      </c>
      <c r="B64" s="60">
        <v>157.44871794871796</v>
      </c>
      <c r="C64" s="60">
        <v>2</v>
      </c>
      <c r="D64" s="60">
        <v>38.512820512820511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9.3141025641025621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48</v>
      </c>
      <c r="B65" s="60">
        <v>184.35256410256409</v>
      </c>
      <c r="C65" s="60">
        <v>3</v>
      </c>
      <c r="D65" s="60">
        <v>48.025641025641022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9.3452380952380913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55</v>
      </c>
      <c r="B66" s="60">
        <v>198.44230769230768</v>
      </c>
      <c r="C66" s="60">
        <v>4</v>
      </c>
      <c r="D66" s="60">
        <v>45.147435897435898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8.8736263736263741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63</v>
      </c>
      <c r="B67" s="60">
        <v>220.28846153846152</v>
      </c>
      <c r="C67" s="60">
        <v>5</v>
      </c>
      <c r="D67" s="60">
        <v>41.724358974358978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8.374198717948719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71</v>
      </c>
      <c r="B68" s="60">
        <v>243.36538461538464</v>
      </c>
      <c r="C68" s="60">
        <v>6</v>
      </c>
      <c r="D68" s="60">
        <v>39.935897435897431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8.1001602564102626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80</v>
      </c>
      <c r="B69" s="50">
        <v>274.01282051282055</v>
      </c>
      <c r="C69" s="50">
        <v>7</v>
      </c>
      <c r="D69" s="50">
        <v>45.608974358974358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7.8425925925925934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89</v>
      </c>
      <c r="B70" s="50">
        <v>295.85897435897436</v>
      </c>
      <c r="C70" s="50">
        <v>8</v>
      </c>
      <c r="D70" s="50">
        <v>49.391025641025635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2"/>
        <v>7.4950142450142421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99</v>
      </c>
      <c r="B71" s="50">
        <v>318.25</v>
      </c>
      <c r="C71" s="50">
        <v>9</v>
      </c>
      <c r="D71" s="50">
        <v>48.019230769230766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7.1782051282051267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109</v>
      </c>
      <c r="B72" s="50">
        <v>340.16666666666663</v>
      </c>
      <c r="C72" s="50">
        <v>10</v>
      </c>
      <c r="D72" s="50">
        <v>51.28846153846154</v>
      </c>
      <c r="E72" s="51">
        <v>0.9</v>
      </c>
      <c r="F72" s="51">
        <v>0</v>
      </c>
      <c r="G72" s="51">
        <v>0</v>
      </c>
      <c r="H72" s="51">
        <v>0.1</v>
      </c>
      <c r="I72" s="49">
        <f t="shared" si="2"/>
        <v>6.9935897435897401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119</v>
      </c>
      <c r="B73" s="50">
        <v>357.33974358974359</v>
      </c>
      <c r="C73" s="50">
        <v>11</v>
      </c>
      <c r="D73" s="50">
        <v>150.02564102564102</v>
      </c>
      <c r="E73" s="51">
        <v>0.9</v>
      </c>
      <c r="F73" s="51">
        <v>0</v>
      </c>
      <c r="G73" s="51">
        <v>0</v>
      </c>
      <c r="H73" s="51">
        <v>0.1</v>
      </c>
      <c r="I73" s="49">
        <f t="shared" si="2"/>
        <v>6.8461538461538511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123</v>
      </c>
      <c r="B74" s="50">
        <v>222.63461538461539</v>
      </c>
      <c r="C74" s="50">
        <v>12</v>
      </c>
      <c r="D74" s="50">
        <v>77.17307692307692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3.8301282051282044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127</v>
      </c>
      <c r="B75" s="50">
        <v>154.80128205128204</v>
      </c>
      <c r="C75" s="50">
        <v>13</v>
      </c>
      <c r="D75" s="50">
        <v>49.916666666666671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2.3349358974358978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131</v>
      </c>
      <c r="B76" s="50">
        <v>110.91025641025641</v>
      </c>
      <c r="C76" s="50">
        <v>14</v>
      </c>
      <c r="D76" s="50">
        <v>110.91025641025641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1.5064102564102591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18</v>
      </c>
      <c r="B84" s="52" t="str">
        <f>IF(B11="","",B11)</f>
        <v>Chêne pubescent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30</v>
      </c>
      <c r="B88" s="60">
        <v>121.88461538461537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4.0628205128205126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35</v>
      </c>
      <c r="B89" s="60">
        <v>162.16666666666669</v>
      </c>
      <c r="C89" s="60">
        <v>1</v>
      </c>
      <c r="D89" s="60">
        <v>60.602564102564102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8.0564102564102633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41</v>
      </c>
      <c r="B90" s="60">
        <v>157.44871794871796</v>
      </c>
      <c r="C90" s="60">
        <v>2</v>
      </c>
      <c r="D90" s="60">
        <v>38.512820512820511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9.3141025641025621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48</v>
      </c>
      <c r="B91" s="60">
        <v>184.35256410256409</v>
      </c>
      <c r="C91" s="60">
        <v>3</v>
      </c>
      <c r="D91" s="60">
        <v>48.025641025641022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9.3452380952380913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55</v>
      </c>
      <c r="B92" s="60">
        <v>198.44230769230768</v>
      </c>
      <c r="C92" s="60">
        <v>4</v>
      </c>
      <c r="D92" s="60">
        <v>45.147435897435898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8.8736263736263741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63</v>
      </c>
      <c r="B93" s="60">
        <v>220.28846153846152</v>
      </c>
      <c r="C93" s="60">
        <v>5</v>
      </c>
      <c r="D93" s="60">
        <v>41.724358974358978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3"/>
        <v>8.374198717948719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71</v>
      </c>
      <c r="B94" s="60">
        <v>243.36538461538464</v>
      </c>
      <c r="C94" s="60">
        <v>6</v>
      </c>
      <c r="D94" s="60">
        <v>39.935897435897431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8.1001602564102626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v>274.01282051282055</v>
      </c>
      <c r="C95" s="60">
        <v>7</v>
      </c>
      <c r="D95" s="60">
        <v>45.608974358974358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7.8425925925925934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89</v>
      </c>
      <c r="B96" s="60">
        <v>295.85897435897436</v>
      </c>
      <c r="C96" s="60">
        <v>8</v>
      </c>
      <c r="D96" s="60">
        <v>49.391025641025635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7.4950142450142421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99</v>
      </c>
      <c r="B97" s="60">
        <v>318.25</v>
      </c>
      <c r="C97" s="60">
        <v>9</v>
      </c>
      <c r="D97" s="60">
        <v>48.019230769230766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7.1782051282051267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109</v>
      </c>
      <c r="B98" s="60">
        <v>340.16666666666663</v>
      </c>
      <c r="C98" s="60">
        <v>10</v>
      </c>
      <c r="D98" s="60">
        <v>51.28846153846154</v>
      </c>
      <c r="E98" s="87">
        <v>0.9</v>
      </c>
      <c r="F98" s="87">
        <v>0</v>
      </c>
      <c r="G98" s="87">
        <v>0</v>
      </c>
      <c r="H98" s="87">
        <v>0.1</v>
      </c>
      <c r="I98" s="53">
        <f t="shared" si="3"/>
        <v>6.9935897435897401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119</v>
      </c>
      <c r="B99" s="60">
        <v>357.33974358974359</v>
      </c>
      <c r="C99" s="60">
        <v>11</v>
      </c>
      <c r="D99" s="60">
        <v>150.02564102564102</v>
      </c>
      <c r="E99" s="87">
        <v>0.9</v>
      </c>
      <c r="F99" s="87">
        <v>0</v>
      </c>
      <c r="G99" s="87">
        <v>0</v>
      </c>
      <c r="H99" s="87">
        <v>0.1</v>
      </c>
      <c r="I99" s="53">
        <f t="shared" si="3"/>
        <v>6.8461538461538511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123</v>
      </c>
      <c r="B100" s="60">
        <v>222.63461538461539</v>
      </c>
      <c r="C100" s="60">
        <v>12</v>
      </c>
      <c r="D100" s="60">
        <v>77.17307692307692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3.8301282051282044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127</v>
      </c>
      <c r="B101" s="60">
        <v>154.80128205128204</v>
      </c>
      <c r="C101" s="60">
        <v>13</v>
      </c>
      <c r="D101" s="60">
        <v>49.916666666666671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2.3349358974358978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131</v>
      </c>
      <c r="B102" s="50">
        <v>110.91025641025641</v>
      </c>
      <c r="C102" s="60">
        <v>14</v>
      </c>
      <c r="D102" s="50">
        <v>110.91025641025641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1.5064102564102591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19</v>
      </c>
      <c r="B110" s="52" t="str">
        <f>IF(B12="","",B12)</f>
        <v>Erable sycomore</v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15</v>
      </c>
      <c r="B114" s="60">
        <v>37</v>
      </c>
      <c r="C114" s="50">
        <v>1</v>
      </c>
      <c r="D114" s="60">
        <v>15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80</v>
      </c>
      <c r="C115" s="50">
        <v>2</v>
      </c>
      <c r="D115" s="60">
        <v>28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25</v>
      </c>
      <c r="B116" s="60">
        <v>115</v>
      </c>
      <c r="C116" s="50">
        <v>3</v>
      </c>
      <c r="D116" s="60">
        <v>28</v>
      </c>
      <c r="E116" s="51">
        <v>0</v>
      </c>
      <c r="F116" s="51">
        <v>7.0000000000000007E-2</v>
      </c>
      <c r="G116" s="51">
        <v>0</v>
      </c>
      <c r="H116" s="51">
        <v>0.93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30</v>
      </c>
      <c r="B117" s="60">
        <v>146</v>
      </c>
      <c r="C117" s="50">
        <v>4</v>
      </c>
      <c r="D117" s="60">
        <v>28</v>
      </c>
      <c r="E117" s="51">
        <v>0.04</v>
      </c>
      <c r="F117" s="51">
        <v>0.28999999999999998</v>
      </c>
      <c r="G117" s="51">
        <v>0</v>
      </c>
      <c r="H117" s="51">
        <v>0.68</v>
      </c>
      <c r="I117" s="53">
        <f t="shared" si="4"/>
        <v>11.8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35</v>
      </c>
      <c r="B118" s="60">
        <v>172</v>
      </c>
      <c r="C118" s="50">
        <v>5</v>
      </c>
      <c r="D118" s="60">
        <v>28</v>
      </c>
      <c r="E118" s="51">
        <v>0.18</v>
      </c>
      <c r="F118" s="51">
        <v>0.43</v>
      </c>
      <c r="G118" s="51">
        <v>0</v>
      </c>
      <c r="H118" s="51">
        <v>0.39</v>
      </c>
      <c r="I118" s="53">
        <f t="shared" si="4"/>
        <v>10.8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40</v>
      </c>
      <c r="B119" s="60">
        <v>192</v>
      </c>
      <c r="C119" s="50">
        <v>6</v>
      </c>
      <c r="D119" s="60">
        <v>28</v>
      </c>
      <c r="E119" s="51">
        <v>0.39</v>
      </c>
      <c r="F119" s="51">
        <v>0.39</v>
      </c>
      <c r="G119" s="51">
        <v>0</v>
      </c>
      <c r="H119" s="51">
        <v>0.21</v>
      </c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45</v>
      </c>
      <c r="B120" s="60">
        <v>205</v>
      </c>
      <c r="C120" s="60">
        <v>7</v>
      </c>
      <c r="D120" s="60">
        <v>22</v>
      </c>
      <c r="E120" s="87">
        <v>0.59</v>
      </c>
      <c r="F120" s="87">
        <v>0.27</v>
      </c>
      <c r="G120" s="87">
        <v>0</v>
      </c>
      <c r="H120" s="87">
        <v>0.14000000000000001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50</v>
      </c>
      <c r="B121" s="60">
        <v>219</v>
      </c>
      <c r="C121" s="60">
        <v>8</v>
      </c>
      <c r="D121" s="60">
        <v>17</v>
      </c>
      <c r="E121" s="87">
        <v>0.71</v>
      </c>
      <c r="F121" s="87">
        <v>0.18</v>
      </c>
      <c r="G121" s="87">
        <v>0</v>
      </c>
      <c r="H121" s="87">
        <v>0.12</v>
      </c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55</v>
      </c>
      <c r="B122" s="60">
        <v>232</v>
      </c>
      <c r="C122" s="60">
        <v>9</v>
      </c>
      <c r="D122" s="60">
        <v>13</v>
      </c>
      <c r="E122" s="87">
        <v>0.77</v>
      </c>
      <c r="F122" s="87">
        <v>0.15</v>
      </c>
      <c r="G122" s="87">
        <v>0</v>
      </c>
      <c r="H122" s="87">
        <v>0.08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60</v>
      </c>
      <c r="B123" s="60">
        <v>245</v>
      </c>
      <c r="C123" s="60">
        <v>10</v>
      </c>
      <c r="D123" s="60">
        <v>12</v>
      </c>
      <c r="E123" s="87">
        <v>0.83</v>
      </c>
      <c r="F123" s="87">
        <v>0.08</v>
      </c>
      <c r="G123" s="87">
        <v>0</v>
      </c>
      <c r="H123" s="87">
        <v>0.08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65</v>
      </c>
      <c r="B124" s="60">
        <v>255</v>
      </c>
      <c r="C124" s="60">
        <v>11</v>
      </c>
      <c r="D124" s="60">
        <v>11</v>
      </c>
      <c r="E124" s="87">
        <v>0.82</v>
      </c>
      <c r="F124" s="87">
        <v>0.09</v>
      </c>
      <c r="G124" s="87">
        <v>0</v>
      </c>
      <c r="H124" s="87">
        <v>0.09</v>
      </c>
      <c r="I124" s="53">
        <f t="shared" si="4"/>
        <v>4.4000000000000004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70</v>
      </c>
      <c r="B125" s="60">
        <v>263</v>
      </c>
      <c r="C125" s="60">
        <v>12</v>
      </c>
      <c r="D125" s="60">
        <v>10</v>
      </c>
      <c r="E125" s="87">
        <v>0.9</v>
      </c>
      <c r="F125" s="87">
        <v>0.1</v>
      </c>
      <c r="G125" s="87">
        <v>0</v>
      </c>
      <c r="H125" s="87">
        <v>0</v>
      </c>
      <c r="I125" s="53">
        <f t="shared" si="4"/>
        <v>3.8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75</v>
      </c>
      <c r="B126" s="60">
        <v>270</v>
      </c>
      <c r="C126" s="60">
        <v>13</v>
      </c>
      <c r="D126" s="60">
        <v>9</v>
      </c>
      <c r="E126" s="65">
        <v>0.89</v>
      </c>
      <c r="F126" s="65">
        <v>0.11</v>
      </c>
      <c r="G126" s="65">
        <v>0</v>
      </c>
      <c r="H126" s="65">
        <v>0</v>
      </c>
      <c r="I126" s="53">
        <f t="shared" si="4"/>
        <v>3.4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80</v>
      </c>
      <c r="B127" s="60">
        <v>275</v>
      </c>
      <c r="C127" s="60">
        <v>14</v>
      </c>
      <c r="D127" s="60">
        <v>8</v>
      </c>
      <c r="E127" s="65">
        <v>0.88</v>
      </c>
      <c r="F127" s="65">
        <v>0.13</v>
      </c>
      <c r="G127" s="65">
        <v>0</v>
      </c>
      <c r="H127" s="65">
        <v>0</v>
      </c>
      <c r="I127" s="53">
        <f t="shared" si="4"/>
        <v>2.8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tauzin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sycomore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261.10917418234862</v>
      </c>
      <c r="T3" s="59">
        <f>IF('Données projet'!E9&gt;30,$R$33-$H$33,LOOKUP('Données projet'!$E$9,$A$3:$A$203,R3:R203)-LOOKUP('Données projet'!$E$9,$A$3:$A$203,$H$3:$H$203))</f>
        <v>327.65691162938418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306.38046634523579</v>
      </c>
      <c r="AO3" s="59">
        <f>IF('Données projet'!E10&gt;30,$AM$33-$H$33,LOOKUP('Données projet'!$E$10,$A$3:$A$203,AM3:AM203)-LOOKUP('Données projet'!$E$10,$A$3:$A$203,$H$3:$H$203))</f>
        <v>229.77251296097705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312.29056285877169</v>
      </c>
      <c r="BJ3" s="59">
        <f>IF('Données projet'!E11&gt;30,$BH$33-$H$33,LOOKUP('Données projet'!$E$11,$A$3:$A$203,BH3:BH203)-LOOKUP('Données projet'!$E$11,$A$3:$A$203,$H$3:$H$203))</f>
        <v>233.85454224241693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219.43439115440339</v>
      </c>
      <c r="CE3" s="59">
        <f>IF('Données projet'!E12&gt;30,$CC$33-$H$33,LOOKUP('Données projet'!$E$12,$A$3:$A$203,CC3:CC203)-LOOKUP('Données projet'!$E$12,$A$3:$A$203,$H$3:$H$203))</f>
        <v>217.8880462742099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295.46414744933242</v>
      </c>
      <c r="S4" s="59">
        <f ca="1">AVERAGE(OFFSET($R$3,0,0,'Données projet'!$E$9+1,1))-AVERAGE(OFFSET($H$3,0,0,'Données projet'!$E$9+1,1))</f>
        <v>261.10917418234862</v>
      </c>
      <c r="T4" s="59">
        <f>$T$3</f>
        <v>327.65691162938418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4.0628205128205126</v>
      </c>
      <c r="AI4" s="13">
        <f>IF('Données projet'!$A$62&gt;35,AI3+AH4-AQ3,IF(A4&lt;'Données projet'!$A$62,$AF$205^A4,IF(A4='Données projet'!$A$62,'Données projet'!$B$62,AI3+AH4-AQ3)))</f>
        <v>1.1736311550444201</v>
      </c>
      <c r="AJ4" s="13">
        <f>AI4*VLOOKUP('Données projet'!$B$10,Paramètres!$A$1:$I$89,3,0)*VLOOKUP('Données projet'!$B$10,Paramètres!$A$1:$I$89,5,0)</f>
        <v>1.1717533451963491</v>
      </c>
      <c r="AK4" s="13">
        <f>EXP(-1.0587+0.8836*LN(AJ4)+0.284)</f>
        <v>0.53012188431561613</v>
      </c>
      <c r="AL4" s="20">
        <f t="shared" ref="AL4:AL67" si="4">(AJ4+AK4)*0.475*44/12</f>
        <v>2.9640993580666724</v>
      </c>
      <c r="AM4" s="59">
        <f t="shared" ref="AM4:AM67" si="5">AL4+(AD4+AE4)*44/12</f>
        <v>296.29743269139999</v>
      </c>
      <c r="AN4" s="59">
        <f ca="1">AVERAGE(OFFSET($AM$3,0,0,'Données projet'!$E$10+1,1))-AVERAGE(OFFSET($H$3,0,0,'Données projet'!$E$10+1,1))</f>
        <v>306.38046634523579</v>
      </c>
      <c r="AO4" s="59">
        <f>$AO$3</f>
        <v>229.77251296097705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4.0628205128205126</v>
      </c>
      <c r="BD4" s="12">
        <f>IF('Données projet'!$A$88&gt;35,BD3+BC4-BL3,IF(A4&lt;'Données projet'!$A$88,$BA$205^A4,IF(A4='Données projet'!$A$88,'Données projet'!$B$88,BD3+BC4-BL3)))</f>
        <v>1.1736311550444201</v>
      </c>
      <c r="BE4" s="13">
        <f>BD4*VLOOKUP('Données projet'!$B$11,Paramètres!$A$1:$I$89,3,0)*VLOOKUP('Données projet'!$B$11,Paramètres!$A$1:$I$89,5,0)</f>
        <v>1.1900619912150421</v>
      </c>
      <c r="BF4" s="13">
        <f>EXP(-1.0587+0.8836*LN(BE4)+0.284)</f>
        <v>0.53743426225295832</v>
      </c>
      <c r="BG4" s="20">
        <f t="shared" ref="BG4:BG67" si="7">(BE4+BF4)*0.475*44/12</f>
        <v>3.0087226414567669</v>
      </c>
      <c r="BH4" s="59">
        <f t="shared" ref="BH4:BH67" si="8">BG4+(AY4+AZ4)*44/12</f>
        <v>296.34205597479007</v>
      </c>
      <c r="BI4" s="59">
        <f ca="1">AVERAGE(OFFSET($BH$3,0,0,'Données projet'!$E$11+1,1))-AVERAGE(OFFSET($H$3,0,0,'Données projet'!$E$11+1,1))</f>
        <v>312.29056285877169</v>
      </c>
      <c r="BJ4" s="59">
        <f>$BJ$3</f>
        <v>233.85454224241693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1.0121422546683387</v>
      </c>
      <c r="CA4" s="13">
        <f>EXP(-1.0587+0.8836*LN(BZ4)+0.284)</f>
        <v>0.46578286063395047</v>
      </c>
      <c r="CB4" s="20">
        <f t="shared" ref="CB4:CB67" si="10">(BZ4+CA4)*0.475*44/12</f>
        <v>2.574052909151487</v>
      </c>
      <c r="CC4" s="59">
        <f t="shared" ref="CC4:CC67" si="11">CB4+(BT4+BU4)*44/12</f>
        <v>295.90738624248479</v>
      </c>
      <c r="CD4" s="59">
        <f ca="1">AVERAGE(OFFSET($CC$3,0,0,'Données projet'!$E$12+1,1))-AVERAGE(OFFSET($H$3,0,0,'Données projet'!$E$12+1,1))</f>
        <v>219.43439115440339</v>
      </c>
      <c r="CE4" s="59">
        <f>$CE$3</f>
        <v>217.8880462742099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296.26147722539025</v>
      </c>
      <c r="S5" s="59">
        <f ca="1">AVERAGE(OFFSET($R$3,0,0,'Données projet'!$E$9+1,1))-AVERAGE(OFFSET($H$3,0,0,'Données projet'!$E$9+1,1))</f>
        <v>261.10917418234862</v>
      </c>
      <c r="T5" s="59">
        <f t="shared" ref="T5:T68" si="34">$T$3</f>
        <v>327.65691162938418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4.0628205128205126</v>
      </c>
      <c r="AI5" s="13">
        <f>IF('Données projet'!$A$62&gt;35,AI4+AH5-AQ4,IF(A5&lt;'Données projet'!$A$62,$AF$205^A5,IF(A5='Données projet'!$A$62,'Données projet'!$B$62,AI4+AH5-AQ4)))</f>
        <v>1.3774100880908995</v>
      </c>
      <c r="AJ5" s="13">
        <f>AI5*VLOOKUP('Données projet'!$B$10,Paramètres!$A$1:$I$89,3,0)*VLOOKUP('Données projet'!$B$10,Paramètres!$A$1:$I$89,5,0)</f>
        <v>1.3752062319499543</v>
      </c>
      <c r="AK5" s="13">
        <f t="shared" ref="AK5:AK68" si="35">EXP(-1.0587+0.8836*LN(AJ5)+0.284)</f>
        <v>0.61068025885062216</v>
      </c>
      <c r="AL5" s="20">
        <f t="shared" si="4"/>
        <v>3.458752304811004</v>
      </c>
      <c r="AM5" s="59">
        <f t="shared" si="5"/>
        <v>296.79208563814433</v>
      </c>
      <c r="AN5" s="59">
        <f ca="1">AVERAGE(OFFSET($AM$3,0,0,'Données projet'!$E$10+1,1))-AVERAGE(OFFSET($H$3,0,0,'Données projet'!$E$10+1,1))</f>
        <v>306.38046634523579</v>
      </c>
      <c r="AO5" s="59">
        <f t="shared" ref="AO5:AO68" si="36">$AO$3</f>
        <v>229.77251296097705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4.0628205128205126</v>
      </c>
      <c r="BD5" s="12">
        <f>IF('Données projet'!$A$88&gt;35,BD4+BC5-BL4,IF(A5&lt;'Données projet'!$A$88,$BA$205^A5,IF(A5='Données projet'!$A$88,'Données projet'!$B$88,BD4+BC5-BL4)))</f>
        <v>1.3774100880908995</v>
      </c>
      <c r="BE5" s="13">
        <f>BD5*VLOOKUP('Données projet'!$B$11,Paramètres!$A$1:$I$89,3,0)*VLOOKUP('Données projet'!$B$11,Paramètres!$A$1:$I$89,5,0)</f>
        <v>1.3966938293241722</v>
      </c>
      <c r="BF5" s="13">
        <f t="shared" ref="BF5:BF68" si="37">EXP(-1.0587+0.8836*LN(BE5)+0.284)</f>
        <v>0.61910384026408283</v>
      </c>
      <c r="BG5" s="20">
        <f t="shared" si="7"/>
        <v>3.5108476078662108</v>
      </c>
      <c r="BH5" s="59">
        <f t="shared" si="8"/>
        <v>296.84418094119951</v>
      </c>
      <c r="BI5" s="59">
        <f ca="1">AVERAGE(OFFSET($BH$3,0,0,'Données projet'!$E$11+1,1))-AVERAGE(OFFSET($H$3,0,0,'Données projet'!$E$11+1,1))</f>
        <v>312.29056285877169</v>
      </c>
      <c r="BJ5" s="59">
        <f t="shared" ref="BJ5:BJ68" si="38">$BJ$3</f>
        <v>233.85454224241693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1.2876218497801761</v>
      </c>
      <c r="CA5" s="13">
        <f t="shared" ref="CA5:CA68" si="39">EXP(-1.0587+0.8836*LN(BZ5)+0.284)</f>
        <v>0.57618379541883336</v>
      </c>
      <c r="CB5" s="20">
        <f t="shared" si="10"/>
        <v>3.2461281653882743</v>
      </c>
      <c r="CC5" s="59">
        <f t="shared" si="11"/>
        <v>296.57946149872157</v>
      </c>
      <c r="CD5" s="59">
        <f ca="1">AVERAGE(OFFSET($CC$3,0,0,'Données projet'!$E$12+1,1))-AVERAGE(OFFSET($H$3,0,0,'Données projet'!$E$12+1,1))</f>
        <v>219.43439115440339</v>
      </c>
      <c r="CE5" s="59">
        <f t="shared" ref="CE5:CE68" si="40">$CE$3</f>
        <v>217.8880462742099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297.35843416345045</v>
      </c>
      <c r="S6" s="59">
        <f ca="1">AVERAGE(OFFSET($R$3,0,0,'Données projet'!$E$9+1,1))-AVERAGE(OFFSET($H$3,0,0,'Données projet'!$E$9+1,1))</f>
        <v>261.10917418234862</v>
      </c>
      <c r="T6" s="59">
        <f t="shared" si="34"/>
        <v>327.65691162938418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4.0628205128205126</v>
      </c>
      <c r="AI6" s="13">
        <f>IF('Données projet'!$A$62&gt;35,AI5+AH6-AQ5,IF(A6&lt;'Données projet'!$A$62,$AF$205^A6,IF(A6='Données projet'!$A$62,'Données projet'!$B$62,AI5+AH6-AQ5)))</f>
        <v>1.6165713926559588</v>
      </c>
      <c r="AJ6" s="13">
        <f>AI6*VLOOKUP('Données projet'!$B$10,Paramètres!$A$1:$I$89,3,0)*VLOOKUP('Données projet'!$B$10,Paramètres!$A$1:$I$89,5,0)</f>
        <v>1.6139848784277093</v>
      </c>
      <c r="AK6" s="13">
        <f t="shared" si="35"/>
        <v>0.70348044399508924</v>
      </c>
      <c r="AL6" s="20">
        <f t="shared" si="4"/>
        <v>4.0362521032197076</v>
      </c>
      <c r="AM6" s="59">
        <f t="shared" si="5"/>
        <v>297.369585436553</v>
      </c>
      <c r="AN6" s="59">
        <f ca="1">AVERAGE(OFFSET($AM$3,0,0,'Données projet'!$E$10+1,1))-AVERAGE(OFFSET($H$3,0,0,'Données projet'!$E$10+1,1))</f>
        <v>306.38046634523579</v>
      </c>
      <c r="AO6" s="59">
        <f t="shared" si="36"/>
        <v>229.77251296097705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4.0628205128205126</v>
      </c>
      <c r="BD6" s="12">
        <f>IF('Données projet'!$A$88&gt;35,BD5+BC6-BL5,IF(A6&lt;'Données projet'!$A$88,$BA$205^A6,IF(A6='Données projet'!$A$88,'Données projet'!$B$88,BD5+BC6-BL5)))</f>
        <v>1.6165713926559588</v>
      </c>
      <c r="BE6" s="13">
        <f>BD6*VLOOKUP('Données projet'!$B$11,Paramètres!$A$1:$I$89,3,0)*VLOOKUP('Données projet'!$B$11,Paramètres!$A$1:$I$89,5,0)</f>
        <v>1.6392033921531424</v>
      </c>
      <c r="BF6" s="13">
        <f t="shared" si="37"/>
        <v>0.71318408957211055</v>
      </c>
      <c r="BG6" s="20">
        <f t="shared" si="7"/>
        <v>4.0970748640048145</v>
      </c>
      <c r="BH6" s="59">
        <f t="shared" si="8"/>
        <v>297.43040819733812</v>
      </c>
      <c r="BI6" s="59">
        <f ca="1">AVERAGE(OFFSET($BH$3,0,0,'Données projet'!$E$11+1,1))-AVERAGE(OFFSET($H$3,0,0,'Données projet'!$E$11+1,1))</f>
        <v>312.29056285877169</v>
      </c>
      <c r="BJ6" s="59">
        <f t="shared" si="38"/>
        <v>233.85454224241693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1.6380800429823084</v>
      </c>
      <c r="CA6" s="13">
        <f t="shared" si="39"/>
        <v>0.71275221602487127</v>
      </c>
      <c r="CB6" s="20">
        <f t="shared" si="10"/>
        <v>4.0943661844375043</v>
      </c>
      <c r="CC6" s="59">
        <f t="shared" si="11"/>
        <v>297.4276995177708</v>
      </c>
      <c r="CD6" s="59">
        <f ca="1">AVERAGE(OFFSET($CC$3,0,0,'Données projet'!$E$12+1,1))-AVERAGE(OFFSET($H$3,0,0,'Données projet'!$E$12+1,1))</f>
        <v>219.43439115440339</v>
      </c>
      <c r="CE6" s="59">
        <f t="shared" si="40"/>
        <v>217.8880462742099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298.86806534670143</v>
      </c>
      <c r="S7" s="59">
        <f ca="1">AVERAGE(OFFSET($R$3,0,0,'Données projet'!$E$9+1,1))-AVERAGE(OFFSET($H$3,0,0,'Données projet'!$E$9+1,1))</f>
        <v>261.10917418234862</v>
      </c>
      <c r="T7" s="59">
        <f t="shared" si="34"/>
        <v>327.65691162938418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4.0628205128205126</v>
      </c>
      <c r="AI7" s="13">
        <f>IF('Données projet'!$A$62&gt;35,AI6+AH7-AQ6,IF(A7&lt;'Données projet'!$A$62,$AF$205^A7,IF(A7='Données projet'!$A$62,'Données projet'!$B$62,AI6+AH7-AQ6)))</f>
        <v>1.8972585507745794</v>
      </c>
      <c r="AJ7" s="13">
        <f>AI7*VLOOKUP('Données projet'!$B$10,Paramètres!$A$1:$I$89,3,0)*VLOOKUP('Données projet'!$B$10,Paramètres!$A$1:$I$89,5,0)</f>
        <v>1.8942229370933401</v>
      </c>
      <c r="AK7" s="13">
        <f t="shared" si="35"/>
        <v>0.81038272960544655</v>
      </c>
      <c r="AL7" s="20">
        <f t="shared" si="4"/>
        <v>4.7105215361670529</v>
      </c>
      <c r="AM7" s="59">
        <f t="shared" si="5"/>
        <v>298.04385486950036</v>
      </c>
      <c r="AN7" s="59">
        <f ca="1">AVERAGE(OFFSET($AM$3,0,0,'Données projet'!$E$10+1,1))-AVERAGE(OFFSET($H$3,0,0,'Données projet'!$E$10+1,1))</f>
        <v>306.38046634523579</v>
      </c>
      <c r="AO7" s="59">
        <f t="shared" si="36"/>
        <v>229.77251296097705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4.0628205128205126</v>
      </c>
      <c r="BD7" s="12">
        <f>IF('Données projet'!$A$88&gt;35,BD6+BC7-BL6,IF(A7&lt;'Données projet'!$A$88,$BA$205^A7,IF(A7='Données projet'!$A$88,'Données projet'!$B$88,BD6+BC7-BL6)))</f>
        <v>1.8972585507745794</v>
      </c>
      <c r="BE7" s="13">
        <f>BD7*VLOOKUP('Données projet'!$B$11,Paramètres!$A$1:$I$89,3,0)*VLOOKUP('Données projet'!$B$11,Paramètres!$A$1:$I$89,5,0)</f>
        <v>1.9238201704854236</v>
      </c>
      <c r="BF7" s="13">
        <f t="shared" si="37"/>
        <v>0.82156096043894689</v>
      </c>
      <c r="BG7" s="20">
        <f t="shared" si="7"/>
        <v>4.7815388030266117</v>
      </c>
      <c r="BH7" s="59">
        <f t="shared" si="8"/>
        <v>298.11487213635991</v>
      </c>
      <c r="BI7" s="59">
        <f ca="1">AVERAGE(OFFSET($BH$3,0,0,'Données projet'!$E$11+1,1))-AVERAGE(OFFSET($H$3,0,0,'Données projet'!$E$11+1,1))</f>
        <v>312.29056285877169</v>
      </c>
      <c r="BJ7" s="59">
        <f t="shared" si="38"/>
        <v>233.85454224241693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2.0839241176864287</v>
      </c>
      <c r="CA7" s="13">
        <f t="shared" si="39"/>
        <v>0.88169040068036508</v>
      </c>
      <c r="CB7" s="20">
        <f t="shared" si="10"/>
        <v>5.1651119528221656</v>
      </c>
      <c r="CC7" s="59">
        <f t="shared" si="11"/>
        <v>298.49844528615546</v>
      </c>
      <c r="CD7" s="59">
        <f ca="1">AVERAGE(OFFSET($CC$3,0,0,'Données projet'!$E$12+1,1))-AVERAGE(OFFSET($H$3,0,0,'Données projet'!$E$12+1,1))</f>
        <v>219.43439115440339</v>
      </c>
      <c r="CE7" s="59">
        <f t="shared" si="40"/>
        <v>217.8880462742099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300.94622843123187</v>
      </c>
      <c r="S8" s="59">
        <f ca="1">AVERAGE(OFFSET($R$3,0,0,'Données projet'!$E$9+1,1))-AVERAGE(OFFSET($H$3,0,0,'Données projet'!$E$9+1,1))</f>
        <v>261.10917418234862</v>
      </c>
      <c r="T8" s="59">
        <f t="shared" si="34"/>
        <v>327.65691162938418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4.0628205128205126</v>
      </c>
      <c r="AI8" s="13">
        <f>IF('Données projet'!$A$62&gt;35,AI7+AH8-AQ7,IF(A8&lt;'Données projet'!$A$62,$AF$205^A8,IF(A8='Données projet'!$A$62,'Données projet'!$B$62,AI7+AH8-AQ7)))</f>
        <v>2.2266817443634719</v>
      </c>
      <c r="AJ8" s="13">
        <f>AI8*VLOOKUP('Données projet'!$B$10,Paramètres!$A$1:$I$89,3,0)*VLOOKUP('Données projet'!$B$10,Paramètres!$A$1:$I$89,5,0)</f>
        <v>2.2231190535724905</v>
      </c>
      <c r="AK8" s="13">
        <f t="shared" si="35"/>
        <v>0.93353009887984706</v>
      </c>
      <c r="AL8" s="20">
        <f t="shared" si="4"/>
        <v>5.4978306071878214</v>
      </c>
      <c r="AM8" s="59">
        <f t="shared" si="5"/>
        <v>298.83116394052115</v>
      </c>
      <c r="AN8" s="59">
        <f ca="1">AVERAGE(OFFSET($AM$3,0,0,'Données projet'!$E$10+1,1))-AVERAGE(OFFSET($H$3,0,0,'Données projet'!$E$10+1,1))</f>
        <v>306.38046634523579</v>
      </c>
      <c r="AO8" s="59">
        <f t="shared" si="36"/>
        <v>229.77251296097705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4.0628205128205126</v>
      </c>
      <c r="BD8" s="12">
        <f>IF('Données projet'!$A$88&gt;35,BD7+BC8-BL7,IF(A8&lt;'Données projet'!$A$88,$BA$205^A8,IF(A8='Données projet'!$A$88,'Données projet'!$B$88,BD7+BC8-BL7)))</f>
        <v>2.2266817443634719</v>
      </c>
      <c r="BE8" s="13">
        <f>BD8*VLOOKUP('Données projet'!$B$11,Paramètres!$A$1:$I$89,3,0)*VLOOKUP('Données projet'!$B$11,Paramètres!$A$1:$I$89,5,0)</f>
        <v>2.2578552887845609</v>
      </c>
      <c r="BF8" s="13">
        <f t="shared" si="37"/>
        <v>0.94640699587440658</v>
      </c>
      <c r="BG8" s="20">
        <f t="shared" si="7"/>
        <v>5.5807568124477021</v>
      </c>
      <c r="BH8" s="59">
        <f t="shared" si="8"/>
        <v>298.91409014578102</v>
      </c>
      <c r="BI8" s="59">
        <f ca="1">AVERAGE(OFFSET($BH$3,0,0,'Données projet'!$E$11+1,1))-AVERAGE(OFFSET($H$3,0,0,'Données projet'!$E$11+1,1))</f>
        <v>312.29056285877169</v>
      </c>
      <c r="BJ8" s="59">
        <f t="shared" si="38"/>
        <v>233.85454224241693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2.6511157051695204</v>
      </c>
      <c r="CA8" s="13">
        <f t="shared" si="39"/>
        <v>1.0906707059957799</v>
      </c>
      <c r="CB8" s="20">
        <f t="shared" si="10"/>
        <v>6.5169446661128978</v>
      </c>
      <c r="CC8" s="59">
        <f t="shared" si="11"/>
        <v>299.85027799944623</v>
      </c>
      <c r="CD8" s="59">
        <f ca="1">AVERAGE(OFFSET($CC$3,0,0,'Données projet'!$E$12+1,1))-AVERAGE(OFFSET($H$3,0,0,'Données projet'!$E$12+1,1))</f>
        <v>219.43439115440339</v>
      </c>
      <c r="CE8" s="59">
        <f t="shared" si="40"/>
        <v>217.8880462742099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303.80785956999739</v>
      </c>
      <c r="S9" s="59">
        <f ca="1">AVERAGE(OFFSET($R$3,0,0,'Données projet'!$E$9+1,1))-AVERAGE(OFFSET($H$3,0,0,'Données projet'!$E$9+1,1))</f>
        <v>261.10917418234862</v>
      </c>
      <c r="T9" s="59">
        <f t="shared" si="34"/>
        <v>327.65691162938418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4.0628205128205126</v>
      </c>
      <c r="AI9" s="13">
        <f>IF('Données projet'!$A$62&gt;35,AI8+AH9-AQ8,IF(A9&lt;'Données projet'!$A$62,$AF$205^A9,IF(A9='Données projet'!$A$62,'Données projet'!$B$62,AI8+AH9-AQ8)))</f>
        <v>2.6133030675536255</v>
      </c>
      <c r="AJ9" s="13">
        <f>AI9*VLOOKUP('Données projet'!$B$10,Paramètres!$A$1:$I$89,3,0)*VLOOKUP('Données projet'!$B$10,Paramètres!$A$1:$I$89,5,0)</f>
        <v>2.60912178264554</v>
      </c>
      <c r="AK9" s="13">
        <f t="shared" si="35"/>
        <v>1.075391186999896</v>
      </c>
      <c r="AL9" s="20">
        <f t="shared" si="4"/>
        <v>6.4171934221324669</v>
      </c>
      <c r="AM9" s="59">
        <f t="shared" si="5"/>
        <v>299.75052675546578</v>
      </c>
      <c r="AN9" s="59">
        <f ca="1">AVERAGE(OFFSET($AM$3,0,0,'Données projet'!$E$10+1,1))-AVERAGE(OFFSET($H$3,0,0,'Données projet'!$E$10+1,1))</f>
        <v>306.38046634523579</v>
      </c>
      <c r="AO9" s="59">
        <f t="shared" si="36"/>
        <v>229.77251296097705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4.0628205128205126</v>
      </c>
      <c r="BD9" s="12">
        <f>IF('Données projet'!$A$88&gt;35,BD8+BC9-BL8,IF(A9&lt;'Données projet'!$A$88,$BA$205^A9,IF(A9='Données projet'!$A$88,'Données projet'!$B$88,BD8+BC9-BL8)))</f>
        <v>2.6133030675536255</v>
      </c>
      <c r="BE9" s="13">
        <f>BD9*VLOOKUP('Données projet'!$B$11,Paramètres!$A$1:$I$89,3,0)*VLOOKUP('Données projet'!$B$11,Paramètres!$A$1:$I$89,5,0)</f>
        <v>2.6498893104993768</v>
      </c>
      <c r="BF9" s="13">
        <f t="shared" si="37"/>
        <v>1.0902248828394525</v>
      </c>
      <c r="BG9" s="20">
        <f t="shared" si="7"/>
        <v>6.5140322200651282</v>
      </c>
      <c r="BH9" s="59">
        <f t="shared" si="8"/>
        <v>299.84736555339845</v>
      </c>
      <c r="BI9" s="59">
        <f ca="1">AVERAGE(OFFSET($BH$3,0,0,'Données projet'!$E$11+1,1))-AVERAGE(OFFSET($H$3,0,0,'Données projet'!$E$11+1,1))</f>
        <v>312.29056285877169</v>
      </c>
      <c r="BJ9" s="59">
        <f t="shared" si="38"/>
        <v>233.85454224241693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3.3726825379800407</v>
      </c>
      <c r="CA9" s="13">
        <f t="shared" si="39"/>
        <v>1.3491840083541735</v>
      </c>
      <c r="CB9" s="20">
        <f t="shared" si="10"/>
        <v>8.2239175681987557</v>
      </c>
      <c r="CC9" s="59">
        <f t="shared" si="11"/>
        <v>301.55725090153209</v>
      </c>
      <c r="CD9" s="59">
        <f ca="1">AVERAGE(OFFSET($CC$3,0,0,'Données projet'!$E$12+1,1))-AVERAGE(OFFSET($H$3,0,0,'Données projet'!$E$12+1,1))</f>
        <v>219.43439115440339</v>
      </c>
      <c r="CE9" s="59">
        <f t="shared" si="40"/>
        <v>217.8880462742099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307.74944257915922</v>
      </c>
      <c r="S10" s="59">
        <f ca="1">AVERAGE(OFFSET($R$3,0,0,'Données projet'!$E$9+1,1))-AVERAGE(OFFSET($H$3,0,0,'Données projet'!$E$9+1,1))</f>
        <v>261.10917418234862</v>
      </c>
      <c r="T10" s="59">
        <f t="shared" si="34"/>
        <v>327.65691162938418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4.0628205128205126</v>
      </c>
      <c r="AI10" s="13">
        <f>IF('Données projet'!$A$62&gt;35,AI9+AH10-AQ9,IF(A10&lt;'Données projet'!$A$62,$AF$205^A10,IF(A10='Données projet'!$A$62,'Données projet'!$B$62,AI9+AH10-AQ9)))</f>
        <v>3.067053897654088</v>
      </c>
      <c r="AJ10" s="13">
        <f>AI10*VLOOKUP('Données projet'!$B$10,Paramètres!$A$1:$I$89,3,0)*VLOOKUP('Données projet'!$B$10,Paramètres!$A$1:$I$89,5,0)</f>
        <v>3.0621466114178415</v>
      </c>
      <c r="AK10" s="13">
        <f t="shared" si="35"/>
        <v>1.2388097678529078</v>
      </c>
      <c r="AL10" s="20">
        <f t="shared" si="4"/>
        <v>7.4908323605632203</v>
      </c>
      <c r="AM10" s="59">
        <f t="shared" si="5"/>
        <v>300.82416569389653</v>
      </c>
      <c r="AN10" s="59">
        <f ca="1">AVERAGE(OFFSET($AM$3,0,0,'Données projet'!$E$10+1,1))-AVERAGE(OFFSET($H$3,0,0,'Données projet'!$E$10+1,1))</f>
        <v>306.38046634523579</v>
      </c>
      <c r="AO10" s="59">
        <f t="shared" si="36"/>
        <v>229.77251296097705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4.0628205128205126</v>
      </c>
      <c r="BD10" s="12">
        <f>IF('Données projet'!$A$88&gt;35,BD9+BC10-BL9,IF(A10&lt;'Données projet'!$A$88,$BA$205^A10,IF(A10='Données projet'!$A$88,'Données projet'!$B$88,BD9+BC10-BL9)))</f>
        <v>3.067053897654088</v>
      </c>
      <c r="BE10" s="13">
        <f>BD10*VLOOKUP('Données projet'!$B$11,Paramètres!$A$1:$I$89,3,0)*VLOOKUP('Données projet'!$B$11,Paramètres!$A$1:$I$89,5,0)</f>
        <v>3.1099926522212455</v>
      </c>
      <c r="BF10" s="13">
        <f t="shared" si="37"/>
        <v>1.2558976215767859</v>
      </c>
      <c r="BG10" s="20">
        <f t="shared" si="7"/>
        <v>7.6039255601982383</v>
      </c>
      <c r="BH10" s="59">
        <f t="shared" si="8"/>
        <v>300.93725889353158</v>
      </c>
      <c r="BI10" s="59">
        <f ca="1">AVERAGE(OFFSET($BH$3,0,0,'Données projet'!$E$11+1,1))-AVERAGE(OFFSET($H$3,0,0,'Données projet'!$E$11+1,1))</f>
        <v>312.29056285877169</v>
      </c>
      <c r="BJ10" s="59">
        <f t="shared" si="38"/>
        <v>233.85454224241693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4.2906416644942853</v>
      </c>
      <c r="CA10" s="13">
        <f t="shared" si="39"/>
        <v>1.6689707336887791</v>
      </c>
      <c r="CB10" s="20">
        <f t="shared" si="10"/>
        <v>10.379658260168837</v>
      </c>
      <c r="CC10" s="59">
        <f t="shared" si="11"/>
        <v>303.71299159350212</v>
      </c>
      <c r="CD10" s="59">
        <f ca="1">AVERAGE(OFFSET($CC$3,0,0,'Données projet'!$E$12+1,1))-AVERAGE(OFFSET($H$3,0,0,'Données projet'!$E$12+1,1))</f>
        <v>219.43439115440339</v>
      </c>
      <c r="CE10" s="59">
        <f t="shared" si="40"/>
        <v>217.8880462742099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313.18005000683712</v>
      </c>
      <c r="S11" s="59">
        <f ca="1">AVERAGE(OFFSET($R$3,0,0,'Données projet'!$E$9+1,1))-AVERAGE(OFFSET($H$3,0,0,'Données projet'!$E$9+1,1))</f>
        <v>261.10917418234862</v>
      </c>
      <c r="T11" s="59">
        <f t="shared" si="34"/>
        <v>327.65691162938418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4.0628205128205126</v>
      </c>
      <c r="AI11" s="13">
        <f>IF('Données projet'!$A$62&gt;35,AI10+AH11-AQ10,IF(A11&lt;'Données projet'!$A$62,$AF$205^A11,IF(A11='Données projet'!$A$62,'Données projet'!$B$62,AI10+AH11-AQ10)))</f>
        <v>3.5995900084872572</v>
      </c>
      <c r="AJ11" s="13">
        <f>AI11*VLOOKUP('Données projet'!$B$10,Paramètres!$A$1:$I$89,3,0)*VLOOKUP('Données projet'!$B$10,Paramètres!$A$1:$I$89,5,0)</f>
        <v>3.5938306644736775</v>
      </c>
      <c r="AK11" s="13">
        <f t="shared" si="35"/>
        <v>1.4270617608547722</v>
      </c>
      <c r="AL11" s="20">
        <f t="shared" si="4"/>
        <v>8.7447209741137168</v>
      </c>
      <c r="AM11" s="59">
        <f t="shared" si="5"/>
        <v>302.07805430744702</v>
      </c>
      <c r="AN11" s="59">
        <f ca="1">AVERAGE(OFFSET($AM$3,0,0,'Données projet'!$E$10+1,1))-AVERAGE(OFFSET($H$3,0,0,'Données projet'!$E$10+1,1))</f>
        <v>306.38046634523579</v>
      </c>
      <c r="AO11" s="59">
        <f t="shared" si="36"/>
        <v>229.77251296097705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4.0628205128205126</v>
      </c>
      <c r="BD11" s="12">
        <f>IF('Données projet'!$A$88&gt;35,BD10+BC11-BL10,IF(A11&lt;'Données projet'!$A$88,$BA$205^A11,IF(A11='Données projet'!$A$88,'Données projet'!$B$88,BD10+BC11-BL10)))</f>
        <v>3.5995900084872572</v>
      </c>
      <c r="BE11" s="13">
        <f>BD11*VLOOKUP('Données projet'!$B$11,Paramètres!$A$1:$I$89,3,0)*VLOOKUP('Données projet'!$B$11,Paramètres!$A$1:$I$89,5,0)</f>
        <v>3.6499842686060791</v>
      </c>
      <c r="BF11" s="13">
        <f t="shared" si="37"/>
        <v>1.4467463187725633</v>
      </c>
      <c r="BG11" s="20">
        <f t="shared" si="7"/>
        <v>8.8768057730178018</v>
      </c>
      <c r="BH11" s="59">
        <f t="shared" si="8"/>
        <v>302.21013910635111</v>
      </c>
      <c r="BI11" s="59">
        <f ca="1">AVERAGE(OFFSET($BH$3,0,0,'Données projet'!$E$11+1,1))-AVERAGE(OFFSET($H$3,0,0,'Données projet'!$E$11+1,1))</f>
        <v>312.29056285877169</v>
      </c>
      <c r="BJ11" s="59">
        <f t="shared" si="38"/>
        <v>233.85454224241693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5.4584461139707896</v>
      </c>
      <c r="CA11" s="13">
        <f t="shared" si="39"/>
        <v>2.0645540509389519</v>
      </c>
      <c r="CB11" s="20">
        <f t="shared" si="10"/>
        <v>13.102558620551131</v>
      </c>
      <c r="CC11" s="59">
        <f t="shared" si="11"/>
        <v>306.43589195388444</v>
      </c>
      <c r="CD11" s="59">
        <f ca="1">AVERAGE(OFFSET($CC$3,0,0,'Données projet'!$E$12+1,1))-AVERAGE(OFFSET($H$3,0,0,'Données projet'!$E$12+1,1))</f>
        <v>219.43439115440339</v>
      </c>
      <c r="CE11" s="59">
        <f t="shared" si="40"/>
        <v>217.8880462742099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320.66423539355503</v>
      </c>
      <c r="S12" s="59">
        <f ca="1">AVERAGE(OFFSET($R$3,0,0,'Données projet'!$E$9+1,1))-AVERAGE(OFFSET($H$3,0,0,'Données projet'!$E$9+1,1))</f>
        <v>261.10917418234862</v>
      </c>
      <c r="T12" s="59">
        <f t="shared" si="34"/>
        <v>327.65691162938418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4.0628205128205126</v>
      </c>
      <c r="AI12" s="13">
        <f>IF('Données projet'!$A$62&gt;35,AI11+AH12-AQ11,IF(A12&lt;'Données projet'!$A$62,$AF$205^A12,IF(A12='Données projet'!$A$62,'Données projet'!$B$62,AI11+AH12-AQ11)))</f>
        <v>4.2245909793472531</v>
      </c>
      <c r="AJ12" s="13">
        <f>AI12*VLOOKUP('Données projet'!$B$10,Paramètres!$A$1:$I$89,3,0)*VLOOKUP('Données projet'!$B$10,Paramètres!$A$1:$I$89,5,0)</f>
        <v>4.217831633780297</v>
      </c>
      <c r="AK12" s="13">
        <f t="shared" si="35"/>
        <v>1.6439209006428586</v>
      </c>
      <c r="AL12" s="20">
        <f t="shared" si="4"/>
        <v>10.209218997453661</v>
      </c>
      <c r="AM12" s="59">
        <f t="shared" si="5"/>
        <v>303.54255233078698</v>
      </c>
      <c r="AN12" s="59">
        <f ca="1">AVERAGE(OFFSET($AM$3,0,0,'Données projet'!$E$10+1,1))-AVERAGE(OFFSET($H$3,0,0,'Données projet'!$E$10+1,1))</f>
        <v>306.38046634523579</v>
      </c>
      <c r="AO12" s="59">
        <f t="shared" si="36"/>
        <v>229.77251296097705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4.0628205128205126</v>
      </c>
      <c r="BD12" s="12">
        <f>IF('Données projet'!$A$88&gt;35,BD11+BC12-BL11,IF(A12&lt;'Données projet'!$A$88,$BA$205^A12,IF(A12='Données projet'!$A$88,'Données projet'!$B$88,BD11+BC12-BL11)))</f>
        <v>4.2245909793472531</v>
      </c>
      <c r="BE12" s="13">
        <f>BD12*VLOOKUP('Données projet'!$B$11,Paramètres!$A$1:$I$89,3,0)*VLOOKUP('Données projet'!$B$11,Paramètres!$A$1:$I$89,5,0)</f>
        <v>4.283735253058115</v>
      </c>
      <c r="BF12" s="13">
        <f t="shared" si="37"/>
        <v>1.6665967630817691</v>
      </c>
      <c r="BG12" s="20">
        <f t="shared" si="7"/>
        <v>10.363494928110297</v>
      </c>
      <c r="BH12" s="59">
        <f t="shared" si="8"/>
        <v>303.69682826144361</v>
      </c>
      <c r="BI12" s="59">
        <f ca="1">AVERAGE(OFFSET($BH$3,0,0,'Données projet'!$E$11+1,1))-AVERAGE(OFFSET($H$3,0,0,'Données projet'!$E$11+1,1))</f>
        <v>312.29056285877169</v>
      </c>
      <c r="BJ12" s="59">
        <f t="shared" si="38"/>
        <v>233.85454224241693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6.9440974821267289</v>
      </c>
      <c r="CA12" s="13">
        <f t="shared" si="39"/>
        <v>2.5538994442566798</v>
      </c>
      <c r="CB12" s="20">
        <f t="shared" si="10"/>
        <v>16.542344646784436</v>
      </c>
      <c r="CC12" s="59">
        <f t="shared" si="11"/>
        <v>309.87567798011776</v>
      </c>
      <c r="CD12" s="59">
        <f ca="1">AVERAGE(OFFSET($CC$3,0,0,'Données projet'!$E$12+1,1))-AVERAGE(OFFSET($H$3,0,0,'Données projet'!$E$12+1,1))</f>
        <v>219.43439115440339</v>
      </c>
      <c r="CE12" s="59">
        <f t="shared" si="40"/>
        <v>217.8880462742099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330.98131371856442</v>
      </c>
      <c r="S13" s="59">
        <f ca="1">AVERAGE(OFFSET($R$3,0,0,'Données projet'!$E$9+1,1))-AVERAGE(OFFSET($H$3,0,0,'Données projet'!$E$9+1,1))</f>
        <v>261.10917418234862</v>
      </c>
      <c r="T13" s="59">
        <f t="shared" si="34"/>
        <v>327.65691162938418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4.0628205128205126</v>
      </c>
      <c r="AI13" s="13">
        <f>IF('Données projet'!$A$62&gt;35,AI12+AH13-AQ12,IF(A13&lt;'Données projet'!$A$62,$AF$205^A13,IF(A13='Données projet'!$A$62,'Données projet'!$B$62,AI12+AH13-AQ12)))</f>
        <v>4.9581115906815549</v>
      </c>
      <c r="AJ13" s="13">
        <f>AI13*VLOOKUP('Données projet'!$B$10,Paramètres!$A$1:$I$89,3,0)*VLOOKUP('Données projet'!$B$10,Paramètres!$A$1:$I$89,5,0)</f>
        <v>4.9501786121364644</v>
      </c>
      <c r="AK13" s="13">
        <f t="shared" si="35"/>
        <v>1.8937343860658959</v>
      </c>
      <c r="AL13" s="20">
        <f t="shared" si="4"/>
        <v>11.919815138535776</v>
      </c>
      <c r="AM13" s="59">
        <f t="shared" si="5"/>
        <v>305.25314847186911</v>
      </c>
      <c r="AN13" s="59">
        <f ca="1">AVERAGE(OFFSET($AM$3,0,0,'Données projet'!$E$10+1,1))-AVERAGE(OFFSET($H$3,0,0,'Données projet'!$E$10+1,1))</f>
        <v>306.38046634523579</v>
      </c>
      <c r="AO13" s="59">
        <f t="shared" si="36"/>
        <v>229.77251296097705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4.0628205128205126</v>
      </c>
      <c r="BD13" s="12">
        <f>IF('Données projet'!$A$88&gt;35,BD12+BC13-BL12,IF(A13&lt;'Données projet'!$A$88,$BA$205^A13,IF(A13='Données projet'!$A$88,'Données projet'!$B$88,BD12+BC13-BL12)))</f>
        <v>4.9581115906815549</v>
      </c>
      <c r="BE13" s="13">
        <f>BD13*VLOOKUP('Données projet'!$B$11,Paramètres!$A$1:$I$89,3,0)*VLOOKUP('Données projet'!$B$11,Paramètres!$A$1:$I$89,5,0)</f>
        <v>5.0275251529510969</v>
      </c>
      <c r="BF13" s="13">
        <f t="shared" si="37"/>
        <v>1.9198561176026576</v>
      </c>
      <c r="BG13" s="20">
        <f t="shared" si="7"/>
        <v>12.10002237954779</v>
      </c>
      <c r="BH13" s="59">
        <f t="shared" si="8"/>
        <v>305.43335571288111</v>
      </c>
      <c r="BI13" s="59">
        <f ca="1">AVERAGE(OFFSET($BH$3,0,0,'Données projet'!$E$11+1,1))-AVERAGE(OFFSET($H$3,0,0,'Données projet'!$E$11+1,1))</f>
        <v>312.29056285877169</v>
      </c>
      <c r="BJ13" s="59">
        <f t="shared" si="38"/>
        <v>233.85454224241693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8.8341056840076444</v>
      </c>
      <c r="CA13" s="13">
        <f t="shared" si="39"/>
        <v>3.1592306185484516</v>
      </c>
      <c r="CB13" s="20">
        <f t="shared" si="10"/>
        <v>20.888394060285197</v>
      </c>
      <c r="CC13" s="59">
        <f t="shared" si="11"/>
        <v>314.22172739361849</v>
      </c>
      <c r="CD13" s="59">
        <f ca="1">AVERAGE(OFFSET($CC$3,0,0,'Données projet'!$E$12+1,1))-AVERAGE(OFFSET($H$3,0,0,'Données projet'!$E$12+1,1))</f>
        <v>219.43439115440339</v>
      </c>
      <c r="CE13" s="59">
        <f t="shared" si="40"/>
        <v>217.8880462742099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345.20730819565421</v>
      </c>
      <c r="S14" s="59">
        <f ca="1">AVERAGE(OFFSET($R$3,0,0,'Données projet'!$E$9+1,1))-AVERAGE(OFFSET($H$3,0,0,'Données projet'!$E$9+1,1))</f>
        <v>261.10917418234862</v>
      </c>
      <c r="T14" s="59">
        <f t="shared" si="34"/>
        <v>327.65691162938418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4.0628205128205126</v>
      </c>
      <c r="AI14" s="13">
        <f>IF('Données projet'!$A$62&gt;35,AI13+AH14-AQ13,IF(A14&lt;'Données projet'!$A$62,$AF$205^A14,IF(A14='Données projet'!$A$62,'Données projet'!$B$62,AI13+AH14-AQ13)))</f>
        <v>5.8189942330107201</v>
      </c>
      <c r="AJ14" s="13">
        <f>AI14*VLOOKUP('Données projet'!$B$10,Paramètres!$A$1:$I$89,3,0)*VLOOKUP('Données projet'!$B$10,Paramètres!$A$1:$I$89,5,0)</f>
        <v>5.8096838422379031</v>
      </c>
      <c r="AK14" s="13">
        <f t="shared" si="35"/>
        <v>2.1815100249446147</v>
      </c>
      <c r="AL14" s="20">
        <f t="shared" si="4"/>
        <v>13.917995985342884</v>
      </c>
      <c r="AM14" s="59">
        <f t="shared" si="5"/>
        <v>307.2513293186762</v>
      </c>
      <c r="AN14" s="59">
        <f ca="1">AVERAGE(OFFSET($AM$3,0,0,'Données projet'!$E$10+1,1))-AVERAGE(OFFSET($H$3,0,0,'Données projet'!$E$10+1,1))</f>
        <v>306.38046634523579</v>
      </c>
      <c r="AO14" s="59">
        <f t="shared" si="36"/>
        <v>229.77251296097705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4.0628205128205126</v>
      </c>
      <c r="BD14" s="12">
        <f>IF('Données projet'!$A$88&gt;35,BD13+BC14-BL13,IF(A14&lt;'Données projet'!$A$88,$BA$205^A14,IF(A14='Données projet'!$A$88,'Données projet'!$B$88,BD13+BC14-BL13)))</f>
        <v>5.8189942330107201</v>
      </c>
      <c r="BE14" s="13">
        <f>BD14*VLOOKUP('Données projet'!$B$11,Paramètres!$A$1:$I$89,3,0)*VLOOKUP('Données projet'!$B$11,Paramètres!$A$1:$I$89,5,0)</f>
        <v>5.9004601522728706</v>
      </c>
      <c r="BF14" s="13">
        <f t="shared" si="37"/>
        <v>2.2116012666919538</v>
      </c>
      <c r="BG14" s="20">
        <f t="shared" si="7"/>
        <v>14.128506971363736</v>
      </c>
      <c r="BH14" s="59">
        <f t="shared" si="8"/>
        <v>307.46184030469703</v>
      </c>
      <c r="BI14" s="59">
        <f ca="1">AVERAGE(OFFSET($BH$3,0,0,'Données projet'!$E$11+1,1))-AVERAGE(OFFSET($H$3,0,0,'Données projet'!$E$11+1,1))</f>
        <v>312.29056285877169</v>
      </c>
      <c r="BJ14" s="59">
        <f t="shared" si="38"/>
        <v>233.85454224241693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11.238526451721825</v>
      </c>
      <c r="CA14" s="13">
        <f t="shared" si="39"/>
        <v>3.9080387928425129</v>
      </c>
      <c r="CB14" s="20">
        <f t="shared" si="10"/>
        <v>26.380267800949554</v>
      </c>
      <c r="CC14" s="59">
        <f t="shared" si="11"/>
        <v>319.71360113428284</v>
      </c>
      <c r="CD14" s="59">
        <f ca="1">AVERAGE(OFFSET($CC$3,0,0,'Données projet'!$E$12+1,1))-AVERAGE(OFFSET($H$3,0,0,'Données projet'!$E$12+1,1))</f>
        <v>219.43439115440339</v>
      </c>
      <c r="CE14" s="59">
        <f t="shared" si="40"/>
        <v>217.8880462742099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364.82825243951993</v>
      </c>
      <c r="S15" s="59">
        <f ca="1">AVERAGE(OFFSET($R$3,0,0,'Données projet'!$E$9+1,1))-AVERAGE(OFFSET($H$3,0,0,'Données projet'!$E$9+1,1))</f>
        <v>261.10917418234862</v>
      </c>
      <c r="T15" s="59">
        <f t="shared" si="34"/>
        <v>327.65691162938418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4.0628205128205126</v>
      </c>
      <c r="AI15" s="13">
        <f>IF('Données projet'!$A$62&gt;35,AI14+AH15-AQ14,IF(A15&lt;'Données projet'!$A$62,$AF$205^A15,IF(A15='Données projet'!$A$62,'Données projet'!$B$62,AI14+AH15-AQ14)))</f>
        <v>6.8293529228851897</v>
      </c>
      <c r="AJ15" s="13">
        <f>AI15*VLOOKUP('Données projet'!$B$10,Paramètres!$A$1:$I$89,3,0)*VLOOKUP('Données projet'!$B$10,Paramètres!$A$1:$I$89,5,0)</f>
        <v>6.8184259582085742</v>
      </c>
      <c r="AK15" s="13">
        <f t="shared" si="35"/>
        <v>2.5130166215233181</v>
      </c>
      <c r="AL15" s="20">
        <f t="shared" si="4"/>
        <v>16.252262493033044</v>
      </c>
      <c r="AM15" s="59">
        <f t="shared" si="5"/>
        <v>309.58559582636633</v>
      </c>
      <c r="AN15" s="59">
        <f ca="1">AVERAGE(OFFSET($AM$3,0,0,'Données projet'!$E$10+1,1))-AVERAGE(OFFSET($H$3,0,0,'Données projet'!$E$10+1,1))</f>
        <v>306.38046634523579</v>
      </c>
      <c r="AO15" s="59">
        <f t="shared" si="36"/>
        <v>229.77251296097705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4.0628205128205126</v>
      </c>
      <c r="BD15" s="12">
        <f>IF('Données projet'!$A$88&gt;35,BD14+BC15-BL14,IF(A15&lt;'Données projet'!$A$88,$BA$205^A15,IF(A15='Données projet'!$A$88,'Données projet'!$B$88,BD14+BC15-BL14)))</f>
        <v>6.8293529228851897</v>
      </c>
      <c r="BE15" s="13">
        <f>BD15*VLOOKUP('Données projet'!$B$11,Paramètres!$A$1:$I$89,3,0)*VLOOKUP('Données projet'!$B$11,Paramètres!$A$1:$I$89,5,0)</f>
        <v>6.9249638638055826</v>
      </c>
      <c r="BF15" s="13">
        <f t="shared" si="37"/>
        <v>2.5476805881375704</v>
      </c>
      <c r="BG15" s="20">
        <f t="shared" si="7"/>
        <v>16.498189087134325</v>
      </c>
      <c r="BH15" s="59">
        <f t="shared" si="8"/>
        <v>309.83152242046765</v>
      </c>
      <c r="BI15" s="59">
        <f ca="1">AVERAGE(OFFSET($BH$3,0,0,'Données projet'!$E$11+1,1))-AVERAGE(OFFSET($H$3,0,0,'Données projet'!$E$11+1,1))</f>
        <v>312.29056285877169</v>
      </c>
      <c r="BJ15" s="59">
        <f t="shared" si="38"/>
        <v>233.85454224241693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14.297369912010421</v>
      </c>
      <c r="CA15" s="13">
        <f t="shared" si="39"/>
        <v>4.8343312187127445</v>
      </c>
      <c r="CB15" s="20">
        <f t="shared" si="10"/>
        <v>33.321046136009507</v>
      </c>
      <c r="CC15" s="59">
        <f t="shared" si="11"/>
        <v>326.65437946934281</v>
      </c>
      <c r="CD15" s="59">
        <f ca="1">AVERAGE(OFFSET($CC$3,0,0,'Données projet'!$E$12+1,1))-AVERAGE(OFFSET($H$3,0,0,'Données projet'!$E$12+1,1))</f>
        <v>219.43439115440339</v>
      </c>
      <c r="CE15" s="59">
        <f t="shared" si="40"/>
        <v>217.8880462742099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391.89687565378512</v>
      </c>
      <c r="S16" s="59">
        <f ca="1">AVERAGE(OFFSET($R$3,0,0,'Données projet'!$E$9+1,1))-AVERAGE(OFFSET($H$3,0,0,'Données projet'!$E$9+1,1))</f>
        <v>261.10917418234862</v>
      </c>
      <c r="T16" s="59">
        <f t="shared" si="34"/>
        <v>327.65691162938418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4.0628205128205126</v>
      </c>
      <c r="AI16" s="13">
        <f>IF('Données projet'!$A$62&gt;35,AI15+AH16-AQ15,IF(A16&lt;'Données projet'!$A$62,$AF$205^A16,IF(A16='Données projet'!$A$62,'Données projet'!$B$62,AI15+AH16-AQ15)))</f>
        <v>8.0151413590917304</v>
      </c>
      <c r="AJ16" s="13">
        <f>AI16*VLOOKUP('Données projet'!$B$10,Paramètres!$A$1:$I$89,3,0)*VLOOKUP('Données projet'!$B$10,Paramètres!$A$1:$I$89,5,0)</f>
        <v>8.0023171329171845</v>
      </c>
      <c r="AK16" s="13">
        <f t="shared" si="35"/>
        <v>2.8948996189979943</v>
      </c>
      <c r="AL16" s="20">
        <f t="shared" si="4"/>
        <v>18.979319176252268</v>
      </c>
      <c r="AM16" s="59">
        <f t="shared" si="5"/>
        <v>312.31265250958558</v>
      </c>
      <c r="AN16" s="59">
        <f ca="1">AVERAGE(OFFSET($AM$3,0,0,'Données projet'!$E$10+1,1))-AVERAGE(OFFSET($H$3,0,0,'Données projet'!$E$10+1,1))</f>
        <v>306.38046634523579</v>
      </c>
      <c r="AO16" s="59">
        <f t="shared" si="36"/>
        <v>229.77251296097705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4.0628205128205126</v>
      </c>
      <c r="BD16" s="12">
        <f>IF('Données projet'!$A$88&gt;35,BD15+BC16-BL15,IF(A16&lt;'Données projet'!$A$88,$BA$205^A16,IF(A16='Données projet'!$A$88,'Données projet'!$B$88,BD15+BC16-BL15)))</f>
        <v>8.0151413590917304</v>
      </c>
      <c r="BE16" s="13">
        <f>BD16*VLOOKUP('Données projet'!$B$11,Paramètres!$A$1:$I$89,3,0)*VLOOKUP('Données projet'!$B$11,Paramètres!$A$1:$I$89,5,0)</f>
        <v>8.1273533381190166</v>
      </c>
      <c r="BF16" s="13">
        <f t="shared" si="37"/>
        <v>2.9348311908328566</v>
      </c>
      <c r="BG16" s="20">
        <f t="shared" si="7"/>
        <v>19.26663805459118</v>
      </c>
      <c r="BH16" s="59">
        <f t="shared" si="8"/>
        <v>312.59997138792448</v>
      </c>
      <c r="BI16" s="59">
        <f ca="1">AVERAGE(OFFSET($BH$3,0,0,'Données projet'!$E$11+1,1))-AVERAGE(OFFSET($H$3,0,0,'Données projet'!$E$11+1,1))</f>
        <v>312.29056285877169</v>
      </c>
      <c r="BJ16" s="59">
        <f t="shared" si="38"/>
        <v>233.85454224241693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18.188753417005401</v>
      </c>
      <c r="CA16" s="13">
        <f t="shared" si="39"/>
        <v>5.9801756254374139</v>
      </c>
      <c r="CB16" s="20">
        <f t="shared" si="10"/>
        <v>42.094218082254564</v>
      </c>
      <c r="CC16" s="59">
        <f t="shared" si="11"/>
        <v>335.42755141558786</v>
      </c>
      <c r="CD16" s="59">
        <f ca="1">AVERAGE(OFFSET($CC$3,0,0,'Données projet'!$E$12+1,1))-AVERAGE(OFFSET($H$3,0,0,'Données projet'!$E$12+1,1))</f>
        <v>219.43439115440339</v>
      </c>
      <c r="CE16" s="59">
        <f t="shared" si="40"/>
        <v>217.8880462742099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429.24932261481183</v>
      </c>
      <c r="S17" s="59">
        <f ca="1">AVERAGE(OFFSET($R$3,0,0,'Données projet'!$E$9+1,1))-AVERAGE(OFFSET($H$3,0,0,'Données projet'!$E$9+1,1))</f>
        <v>261.10917418234862</v>
      </c>
      <c r="T17" s="59">
        <f t="shared" si="34"/>
        <v>327.65691162938418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4.0628205128205126</v>
      </c>
      <c r="AI17" s="13">
        <f>IF('Données projet'!$A$62&gt;35,AI16+AH17-AQ16,IF(A17&lt;'Données projet'!$A$62,$AF$205^A17,IF(A17='Données projet'!$A$62,'Données projet'!$B$62,AI16+AH17-AQ16)))</f>
        <v>9.4068196111151305</v>
      </c>
      <c r="AJ17" s="13">
        <f>AI17*VLOOKUP('Données projet'!$B$10,Paramètres!$A$1:$I$89,3,0)*VLOOKUP('Données projet'!$B$10,Paramètres!$A$1:$I$89,5,0)</f>
        <v>9.3917686997373462</v>
      </c>
      <c r="AK17" s="13">
        <f t="shared" si="35"/>
        <v>3.3348143153127054</v>
      </c>
      <c r="AL17" s="20">
        <f t="shared" si="4"/>
        <v>22.165465417878838</v>
      </c>
      <c r="AM17" s="59">
        <f t="shared" si="5"/>
        <v>315.49879875121218</v>
      </c>
      <c r="AN17" s="59">
        <f ca="1">AVERAGE(OFFSET($AM$3,0,0,'Données projet'!$E$10+1,1))-AVERAGE(OFFSET($H$3,0,0,'Données projet'!$E$10+1,1))</f>
        <v>306.38046634523579</v>
      </c>
      <c r="AO17" s="59">
        <f t="shared" si="36"/>
        <v>229.77251296097705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4.0628205128205126</v>
      </c>
      <c r="BD17" s="12">
        <f>IF('Données projet'!$A$88&gt;35,BD16+BC17-BL16,IF(A17&lt;'Données projet'!$A$88,$BA$205^A17,IF(A17='Données projet'!$A$88,'Données projet'!$B$88,BD16+BC17-BL16)))</f>
        <v>9.4068196111151305</v>
      </c>
      <c r="BE17" s="13">
        <f>BD17*VLOOKUP('Données projet'!$B$11,Paramètres!$A$1:$I$89,3,0)*VLOOKUP('Données projet'!$B$11,Paramètres!$A$1:$I$89,5,0)</f>
        <v>9.5385150856707419</v>
      </c>
      <c r="BF17" s="13">
        <f t="shared" si="37"/>
        <v>3.3808139681206768</v>
      </c>
      <c r="BG17" s="20">
        <f t="shared" si="7"/>
        <v>22.501164768686721</v>
      </c>
      <c r="BH17" s="59">
        <f t="shared" si="8"/>
        <v>315.83449810202001</v>
      </c>
      <c r="BI17" s="59">
        <f ca="1">AVERAGE(OFFSET($BH$3,0,0,'Données projet'!$E$11+1,1))-AVERAGE(OFFSET($H$3,0,0,'Données projet'!$E$11+1,1))</f>
        <v>312.29056285877169</v>
      </c>
      <c r="BJ17" s="59">
        <f t="shared" si="38"/>
        <v>233.85454224241693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23.13927336990233</v>
      </c>
      <c r="CA17" s="13">
        <f t="shared" si="39"/>
        <v>7.3976107331343286</v>
      </c>
      <c r="CB17" s="20">
        <f t="shared" si="10"/>
        <v>53.185073146122171</v>
      </c>
      <c r="CC17" s="59">
        <f t="shared" si="11"/>
        <v>346.51840647945551</v>
      </c>
      <c r="CD17" s="59">
        <f ca="1">AVERAGE(OFFSET($CC$3,0,0,'Données projet'!$E$12+1,1))-AVERAGE(OFFSET($H$3,0,0,'Données projet'!$E$12+1,1))</f>
        <v>219.43439115440339</v>
      </c>
      <c r="CE17" s="59">
        <f t="shared" si="40"/>
        <v>217.8880462742099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480.80496572350387</v>
      </c>
      <c r="S18" s="59">
        <f ca="1">AVERAGE(OFFSET($R$3,0,0,'Données projet'!$E$9+1,1))-AVERAGE(OFFSET($H$3,0,0,'Données projet'!$E$9+1,1))</f>
        <v>261.10917418234862</v>
      </c>
      <c r="T18" s="59">
        <f t="shared" si="34"/>
        <v>327.65691162938418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4.0628205128205126</v>
      </c>
      <c r="AI18" s="13">
        <f>IF('Données projet'!$A$62&gt;35,AI17+AH18-AQ17,IF(A18&lt;'Données projet'!$A$62,$AF$205^A18,IF(A18='Données projet'!$A$62,'Données projet'!$B$62,AI17+AH18-AQ17)))</f>
        <v>11.040136565487554</v>
      </c>
      <c r="AJ18" s="13">
        <f>AI18*VLOOKUP('Données projet'!$B$10,Paramètres!$A$1:$I$89,3,0)*VLOOKUP('Données projet'!$B$10,Paramètres!$A$1:$I$89,5,0)</f>
        <v>11.022472346982775</v>
      </c>
      <c r="AK18" s="13">
        <f t="shared" si="35"/>
        <v>3.8415793226930059</v>
      </c>
      <c r="AL18" s="20">
        <f t="shared" si="4"/>
        <v>25.888223324685317</v>
      </c>
      <c r="AM18" s="59">
        <f t="shared" si="5"/>
        <v>319.22155665801864</v>
      </c>
      <c r="AN18" s="59">
        <f ca="1">AVERAGE(OFFSET($AM$3,0,0,'Données projet'!$E$10+1,1))-AVERAGE(OFFSET($H$3,0,0,'Données projet'!$E$10+1,1))</f>
        <v>306.38046634523579</v>
      </c>
      <c r="AO18" s="59">
        <f t="shared" si="36"/>
        <v>229.77251296097705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4.0628205128205126</v>
      </c>
      <c r="BD18" s="12">
        <f>IF('Données projet'!$A$88&gt;35,BD17+BC18-BL17,IF(A18&lt;'Données projet'!$A$88,$BA$205^A18,IF(A18='Données projet'!$A$88,'Données projet'!$B$88,BD17+BC18-BL17)))</f>
        <v>11.040136565487554</v>
      </c>
      <c r="BE18" s="13">
        <f>BD18*VLOOKUP('Données projet'!$B$11,Paramètres!$A$1:$I$89,3,0)*VLOOKUP('Données projet'!$B$11,Paramètres!$A$1:$I$89,5,0)</f>
        <v>11.194698477404382</v>
      </c>
      <c r="BF18" s="13">
        <f t="shared" si="37"/>
        <v>3.8945691741119406</v>
      </c>
      <c r="BG18" s="20">
        <f t="shared" si="7"/>
        <v>26.280474493057593</v>
      </c>
      <c r="BH18" s="59">
        <f t="shared" si="8"/>
        <v>319.61380782639088</v>
      </c>
      <c r="BI18" s="59">
        <f ca="1">AVERAGE(OFFSET($BH$3,0,0,'Données projet'!$E$11+1,1))-AVERAGE(OFFSET($H$3,0,0,'Données projet'!$E$11+1,1))</f>
        <v>312.29056285877169</v>
      </c>
      <c r="BJ18" s="59">
        <f t="shared" si="38"/>
        <v>233.85454224241693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29.437200000000004</v>
      </c>
      <c r="CA18" s="13">
        <f t="shared" si="39"/>
        <v>9.1510096001539196</v>
      </c>
      <c r="CB18" s="20">
        <f t="shared" si="10"/>
        <v>67.207798386934755</v>
      </c>
      <c r="CC18" s="59">
        <f t="shared" si="11"/>
        <v>360.54113172026808</v>
      </c>
      <c r="CD18" s="59">
        <f ca="1">AVERAGE(OFFSET($CC$3,0,0,'Données projet'!$E$12+1,1))-AVERAGE(OFFSET($H$3,0,0,'Données projet'!$E$12+1,1))</f>
        <v>219.43439115440339</v>
      </c>
      <c r="CE18" s="59">
        <f t="shared" si="40"/>
        <v>217.8880462742099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15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440.14469881132084</v>
      </c>
      <c r="S19" s="59">
        <f ca="1">AVERAGE(OFFSET($R$3,0,0,'Données projet'!$E$9+1,1))-AVERAGE(OFFSET($H$3,0,0,'Données projet'!$E$9+1,1))</f>
        <v>261.10917418234862</v>
      </c>
      <c r="T19" s="59">
        <f t="shared" si="34"/>
        <v>327.65691162938418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4.0628205128205126</v>
      </c>
      <c r="AI19" s="13">
        <f>IF('Données projet'!$A$62&gt;35,AI18+AH19-AQ18,IF(A19&lt;'Données projet'!$A$62,$AF$205^A19,IF(A19='Données projet'!$A$62,'Données projet'!$B$62,AI18+AH19-AQ18)))</f>
        <v>12.957048229201293</v>
      </c>
      <c r="AJ19" s="13">
        <f>AI19*VLOOKUP('Données projet'!$B$10,Paramètres!$A$1:$I$89,3,0)*VLOOKUP('Données projet'!$B$10,Paramètres!$A$1:$I$89,5,0)</f>
        <v>12.936316952034572</v>
      </c>
      <c r="AK19" s="13">
        <f t="shared" si="35"/>
        <v>4.4253533471948696</v>
      </c>
      <c r="AL19" s="20">
        <f t="shared" si="4"/>
        <v>30.23824243782461</v>
      </c>
      <c r="AM19" s="59">
        <f t="shared" si="5"/>
        <v>323.57157577115794</v>
      </c>
      <c r="AN19" s="59">
        <f ca="1">AVERAGE(OFFSET($AM$3,0,0,'Données projet'!$E$10+1,1))-AVERAGE(OFFSET($H$3,0,0,'Données projet'!$E$10+1,1))</f>
        <v>306.38046634523579</v>
      </c>
      <c r="AO19" s="59">
        <f t="shared" si="36"/>
        <v>229.77251296097705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4.0628205128205126</v>
      </c>
      <c r="BD19" s="12">
        <f>IF('Données projet'!$A$88&gt;35,BD18+BC19-BL18,IF(A19&lt;'Données projet'!$A$88,$BA$205^A19,IF(A19='Données projet'!$A$88,'Données projet'!$B$88,BD18+BC19-BL18)))</f>
        <v>12.957048229201293</v>
      </c>
      <c r="BE19" s="13">
        <f>BD19*VLOOKUP('Données projet'!$B$11,Paramètres!$A$1:$I$89,3,0)*VLOOKUP('Données projet'!$B$11,Paramètres!$A$1:$I$89,5,0)</f>
        <v>13.138446904410113</v>
      </c>
      <c r="BF19" s="13">
        <f t="shared" si="37"/>
        <v>4.486395641690498</v>
      </c>
      <c r="BG19" s="20">
        <f t="shared" si="7"/>
        <v>30.696600767791892</v>
      </c>
      <c r="BH19" s="59">
        <f t="shared" si="8"/>
        <v>324.02993410112521</v>
      </c>
      <c r="BI19" s="59">
        <f ca="1">AVERAGE(OFFSET($BH$3,0,0,'Données projet'!$E$11+1,1))-AVERAGE(OFFSET($H$3,0,0,'Données projet'!$E$11+1,1))</f>
        <v>312.29056285877169</v>
      </c>
      <c r="BJ19" s="59">
        <f t="shared" si="38"/>
        <v>233.85454224241693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33.6</v>
      </c>
      <c r="BZ19" s="13">
        <f>BY19*VLOOKUP('Données projet'!$B$12,Paramètres!$A$1:$I$89,3,0)*VLOOKUP('Données projet'!$B$12,Paramètres!$A$1:$I$89,5,0)</f>
        <v>26.732160000000004</v>
      </c>
      <c r="CA19" s="13">
        <f t="shared" si="39"/>
        <v>8.4038705306032053</v>
      </c>
      <c r="CB19" s="20">
        <f t="shared" si="10"/>
        <v>61.195253174133917</v>
      </c>
      <c r="CC19" s="59">
        <f t="shared" si="11"/>
        <v>354.52858650746725</v>
      </c>
      <c r="CD19" s="59">
        <f ca="1">AVERAGE(OFFSET($CC$3,0,0,'Données projet'!$E$12+1,1))-AVERAGE(OFFSET($H$3,0,0,'Données projet'!$E$12+1,1))</f>
        <v>219.43439115440339</v>
      </c>
      <c r="CE19" s="59">
        <f t="shared" si="40"/>
        <v>217.8880462742099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464.14076288010489</v>
      </c>
      <c r="S20" s="59">
        <f ca="1">AVERAGE(OFFSET($R$3,0,0,'Données projet'!$E$9+1,1))-AVERAGE(OFFSET($H$3,0,0,'Données projet'!$E$9+1,1))</f>
        <v>261.10917418234862</v>
      </c>
      <c r="T20" s="59">
        <f t="shared" si="34"/>
        <v>327.65691162938418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4.0628205128205126</v>
      </c>
      <c r="AI20" s="13">
        <f>IF('Données projet'!$A$62&gt;35,AI19+AH20-AQ19,IF(A20&lt;'Données projet'!$A$62,$AF$205^A20,IF(A20='Données projet'!$A$62,'Données projet'!$B$62,AI19+AH20-AQ19)))</f>
        <v>15.206795479203771</v>
      </c>
      <c r="AJ20" s="13">
        <f>AI20*VLOOKUP('Données projet'!$B$10,Paramètres!$A$1:$I$89,3,0)*VLOOKUP('Données projet'!$B$10,Paramètres!$A$1:$I$89,5,0)</f>
        <v>15.182464606437046</v>
      </c>
      <c r="AK20" s="13">
        <f t="shared" si="35"/>
        <v>5.0978388320250332</v>
      </c>
      <c r="AL20" s="20">
        <f t="shared" si="4"/>
        <v>35.321528488654785</v>
      </c>
      <c r="AM20" s="59">
        <f t="shared" si="5"/>
        <v>328.65486182198811</v>
      </c>
      <c r="AN20" s="59">
        <f ca="1">AVERAGE(OFFSET($AM$3,0,0,'Données projet'!$E$10+1,1))-AVERAGE(OFFSET($H$3,0,0,'Données projet'!$E$10+1,1))</f>
        <v>306.38046634523579</v>
      </c>
      <c r="AO20" s="59">
        <f t="shared" si="36"/>
        <v>229.77251296097705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4.0628205128205126</v>
      </c>
      <c r="BD20" s="12">
        <f>IF('Données projet'!$A$88&gt;35,BD19+BC20-BL19,IF(A20&lt;'Données projet'!$A$88,$BA$205^A20,IF(A20='Données projet'!$A$88,'Données projet'!$B$88,BD19+BC20-BL19)))</f>
        <v>15.206795479203771</v>
      </c>
      <c r="BE20" s="13">
        <f>BD20*VLOOKUP('Données projet'!$B$11,Paramètres!$A$1:$I$89,3,0)*VLOOKUP('Données projet'!$B$11,Paramètres!$A$1:$I$89,5,0)</f>
        <v>15.419690615912625</v>
      </c>
      <c r="BF20" s="13">
        <f t="shared" si="37"/>
        <v>5.1681572348420586</v>
      </c>
      <c r="BG20" s="20">
        <f t="shared" si="7"/>
        <v>35.857168340064412</v>
      </c>
      <c r="BH20" s="59">
        <f t="shared" si="8"/>
        <v>329.1905016733977</v>
      </c>
      <c r="BI20" s="59">
        <f ca="1">AVERAGE(OFFSET($BH$3,0,0,'Données projet'!$E$11+1,1))-AVERAGE(OFFSET($H$3,0,0,'Données projet'!$E$11+1,1))</f>
        <v>312.29056285877169</v>
      </c>
      <c r="BJ20" s="59">
        <f t="shared" si="38"/>
        <v>233.85454224241693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45.2</v>
      </c>
      <c r="BZ20" s="13">
        <f>BY20*VLOOKUP('Données projet'!$B$12,Paramètres!$A$1:$I$89,3,0)*VLOOKUP('Données projet'!$B$12,Paramètres!$A$1:$I$89,5,0)</f>
        <v>35.961120000000008</v>
      </c>
      <c r="CA20" s="13">
        <f t="shared" si="39"/>
        <v>10.921600552662685</v>
      </c>
      <c r="CB20" s="20">
        <f t="shared" si="10"/>
        <v>81.654071629220851</v>
      </c>
      <c r="CC20" s="59">
        <f t="shared" si="11"/>
        <v>374.98740496255414</v>
      </c>
      <c r="CD20" s="59">
        <f ca="1">AVERAGE(OFFSET($CC$3,0,0,'Données projet'!$E$12+1,1))-AVERAGE(OFFSET($H$3,0,0,'Données projet'!$E$12+1,1))</f>
        <v>219.43439115440339</v>
      </c>
      <c r="CE20" s="59">
        <f t="shared" si="40"/>
        <v>217.8880462742099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488.05737297484035</v>
      </c>
      <c r="S21" s="59">
        <f ca="1">AVERAGE(OFFSET($R$3,0,0,'Données projet'!$E$9+1,1))-AVERAGE(OFFSET($H$3,0,0,'Données projet'!$E$9+1,1))</f>
        <v>261.10917418234862</v>
      </c>
      <c r="T21" s="59">
        <f t="shared" si="34"/>
        <v>327.65691162938418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4.0628205128205126</v>
      </c>
      <c r="AI21" s="13">
        <f>IF('Données projet'!$A$62&gt;35,AI20+AH21-AQ20,IF(A21&lt;'Données projet'!$A$62,$AF$205^A21,IF(A21='Données projet'!$A$62,'Données projet'!$B$62,AI20+AH21-AQ20)))</f>
        <v>17.847168942782186</v>
      </c>
      <c r="AJ21" s="13">
        <f>AI21*VLOOKUP('Données projet'!$B$10,Paramètres!$A$1:$I$89,3,0)*VLOOKUP('Données projet'!$B$10,Paramètres!$A$1:$I$89,5,0)</f>
        <v>17.818613472473736</v>
      </c>
      <c r="AK21" s="13">
        <f t="shared" si="35"/>
        <v>5.8725165469047891</v>
      </c>
      <c r="AL21" s="20">
        <f t="shared" si="4"/>
        <v>41.262051450417594</v>
      </c>
      <c r="AM21" s="59">
        <f t="shared" si="5"/>
        <v>334.59538478375089</v>
      </c>
      <c r="AN21" s="59">
        <f ca="1">AVERAGE(OFFSET($AM$3,0,0,'Données projet'!$E$10+1,1))-AVERAGE(OFFSET($H$3,0,0,'Données projet'!$E$10+1,1))</f>
        <v>306.38046634523579</v>
      </c>
      <c r="AO21" s="59">
        <f t="shared" si="36"/>
        <v>229.77251296097705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4.0628205128205126</v>
      </c>
      <c r="BD21" s="12">
        <f>IF('Données projet'!$A$88&gt;35,BD20+BC21-BL20,IF(A21&lt;'Données projet'!$A$88,$BA$205^A21,IF(A21='Données projet'!$A$88,'Données projet'!$B$88,BD20+BC21-BL20)))</f>
        <v>17.847168942782186</v>
      </c>
      <c r="BE21" s="13">
        <f>BD21*VLOOKUP('Données projet'!$B$11,Paramètres!$A$1:$I$89,3,0)*VLOOKUP('Données projet'!$B$11,Paramètres!$A$1:$I$89,5,0)</f>
        <v>18.097029307981138</v>
      </c>
      <c r="BF21" s="13">
        <f t="shared" si="37"/>
        <v>5.9535206738890976</v>
      </c>
      <c r="BG21" s="20">
        <f t="shared" si="7"/>
        <v>41.888041218423993</v>
      </c>
      <c r="BH21" s="59">
        <f t="shared" si="8"/>
        <v>335.22137455175732</v>
      </c>
      <c r="BI21" s="59">
        <f ca="1">AVERAGE(OFFSET($BH$3,0,0,'Données projet'!$E$11+1,1))-AVERAGE(OFFSET($H$3,0,0,'Données projet'!$E$11+1,1))</f>
        <v>312.29056285877169</v>
      </c>
      <c r="BJ21" s="59">
        <f t="shared" si="38"/>
        <v>233.85454224241693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56.800000000000004</v>
      </c>
      <c r="BZ21" s="13">
        <f>BY21*VLOOKUP('Données projet'!$B$12,Paramètres!$A$1:$I$89,3,0)*VLOOKUP('Données projet'!$B$12,Paramètres!$A$1:$I$89,5,0)</f>
        <v>45.190080000000009</v>
      </c>
      <c r="CA21" s="13">
        <f t="shared" si="39"/>
        <v>13.364359727915414</v>
      </c>
      <c r="CB21" s="20">
        <f t="shared" si="10"/>
        <v>101.98231585945268</v>
      </c>
      <c r="CC21" s="59">
        <f t="shared" si="11"/>
        <v>395.315649192786</v>
      </c>
      <c r="CD21" s="59">
        <f ca="1">AVERAGE(OFFSET($CC$3,0,0,'Données projet'!$E$12+1,1))-AVERAGE(OFFSET($H$3,0,0,'Données projet'!$E$12+1,1))</f>
        <v>219.43439115440339</v>
      </c>
      <c r="CE21" s="59">
        <f t="shared" si="40"/>
        <v>217.8880462742099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511.90566820792992</v>
      </c>
      <c r="S22" s="59">
        <f ca="1">AVERAGE(OFFSET($R$3,0,0,'Données projet'!$E$9+1,1))-AVERAGE(OFFSET($H$3,0,0,'Données projet'!$E$9+1,1))</f>
        <v>261.10917418234862</v>
      </c>
      <c r="T22" s="59">
        <f t="shared" si="34"/>
        <v>327.65691162938418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4.0628205128205126</v>
      </c>
      <c r="AI22" s="13">
        <f>IF('Données projet'!$A$62&gt;35,AI21+AH22-AQ21,IF(A22&lt;'Données projet'!$A$62,$AF$205^A22,IF(A22='Données projet'!$A$62,'Données projet'!$B$62,AI21+AH22-AQ21)))</f>
        <v>20.945993500590358</v>
      </c>
      <c r="AJ22" s="13">
        <f>AI22*VLOOKUP('Données projet'!$B$10,Paramètres!$A$1:$I$89,3,0)*VLOOKUP('Données projet'!$B$10,Paramètres!$A$1:$I$89,5,0)</f>
        <v>20.912479910989415</v>
      </c>
      <c r="AK22" s="13">
        <f t="shared" si="35"/>
        <v>6.7649158260994593</v>
      </c>
      <c r="AL22" s="20">
        <f t="shared" si="4"/>
        <v>48.204797575429787</v>
      </c>
      <c r="AM22" s="59">
        <f t="shared" si="5"/>
        <v>341.53813090876309</v>
      </c>
      <c r="AN22" s="59">
        <f ca="1">AVERAGE(OFFSET($AM$3,0,0,'Données projet'!$E$10+1,1))-AVERAGE(OFFSET($H$3,0,0,'Données projet'!$E$10+1,1))</f>
        <v>306.38046634523579</v>
      </c>
      <c r="AO22" s="59">
        <f t="shared" si="36"/>
        <v>229.77251296097705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4.0628205128205126</v>
      </c>
      <c r="BD22" s="12">
        <f>IF('Données projet'!$A$88&gt;35,BD21+BC22-BL21,IF(A22&lt;'Données projet'!$A$88,$BA$205^A22,IF(A22='Données projet'!$A$88,'Données projet'!$B$88,BD21+BC22-BL21)))</f>
        <v>20.945993500590358</v>
      </c>
      <c r="BE22" s="13">
        <f>BD22*VLOOKUP('Données projet'!$B$11,Paramètres!$A$1:$I$89,3,0)*VLOOKUP('Données projet'!$B$11,Paramètres!$A$1:$I$89,5,0)</f>
        <v>21.239237409598623</v>
      </c>
      <c r="BF22" s="13">
        <f t="shared" si="37"/>
        <v>6.8582295011208343</v>
      </c>
      <c r="BG22" s="20">
        <f t="shared" si="7"/>
        <v>48.936421536169718</v>
      </c>
      <c r="BH22" s="59">
        <f t="shared" si="8"/>
        <v>342.269754869503</v>
      </c>
      <c r="BI22" s="59">
        <f ca="1">AVERAGE(OFFSET($BH$3,0,0,'Données projet'!$E$11+1,1))-AVERAGE(OFFSET($H$3,0,0,'Données projet'!$E$11+1,1))</f>
        <v>312.29056285877169</v>
      </c>
      <c r="BJ22" s="59">
        <f t="shared" si="38"/>
        <v>233.85454224241693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68.400000000000006</v>
      </c>
      <c r="BZ22" s="13">
        <f>BY22*VLOOKUP('Données projet'!$B$12,Paramètres!$A$1:$I$89,3,0)*VLOOKUP('Données projet'!$B$12,Paramètres!$A$1:$I$89,5,0)</f>
        <v>54.419040000000003</v>
      </c>
      <c r="CA22" s="13">
        <f t="shared" si="39"/>
        <v>15.749310274925152</v>
      </c>
      <c r="CB22" s="20">
        <f t="shared" si="10"/>
        <v>122.20987672882796</v>
      </c>
      <c r="CC22" s="59">
        <f t="shared" si="11"/>
        <v>415.54321006216128</v>
      </c>
      <c r="CD22" s="59">
        <f ca="1">AVERAGE(OFFSET($CC$3,0,0,'Données projet'!$E$12+1,1))-AVERAGE(OFFSET($H$3,0,0,'Données projet'!$E$12+1,1))</f>
        <v>219.43439115440339</v>
      </c>
      <c r="CE22" s="59">
        <f t="shared" si="40"/>
        <v>217.8880462742099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535.69415235187512</v>
      </c>
      <c r="S23" s="59">
        <f ca="1">AVERAGE(OFFSET($R$3,0,0,'Données projet'!$E$9+1,1))-AVERAGE(OFFSET($H$3,0,0,'Données projet'!$E$9+1,1))</f>
        <v>261.10917418234862</v>
      </c>
      <c r="T23" s="59">
        <f t="shared" si="34"/>
        <v>327.65691162938418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4.0628205128205126</v>
      </c>
      <c r="AI23" s="13">
        <f>IF('Données projet'!$A$62&gt;35,AI22+AH23-AQ22,IF(A23&lt;'Données projet'!$A$62,$AF$205^A23,IF(A23='Données projet'!$A$62,'Données projet'!$B$62,AI22+AH23-AQ22)))</f>
        <v>24.582870545650774</v>
      </c>
      <c r="AJ23" s="13">
        <f>AI23*VLOOKUP('Données projet'!$B$10,Paramètres!$A$1:$I$89,3,0)*VLOOKUP('Données projet'!$B$10,Paramètres!$A$1:$I$89,5,0)</f>
        <v>24.543537952777736</v>
      </c>
      <c r="AK23" s="13">
        <f t="shared" si="35"/>
        <v>7.7929258723556405</v>
      </c>
      <c r="AL23" s="20">
        <f t="shared" si="4"/>
        <v>56.3193411621073</v>
      </c>
      <c r="AM23" s="59">
        <f t="shared" si="5"/>
        <v>349.65267449544064</v>
      </c>
      <c r="AN23" s="59">
        <f ca="1">AVERAGE(OFFSET($AM$3,0,0,'Données projet'!$E$10+1,1))-AVERAGE(OFFSET($H$3,0,0,'Données projet'!$E$10+1,1))</f>
        <v>306.38046634523579</v>
      </c>
      <c r="AO23" s="59">
        <f t="shared" si="36"/>
        <v>229.77251296097705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4.0628205128205126</v>
      </c>
      <c r="BD23" s="12">
        <f>IF('Données projet'!$A$88&gt;35,BD22+BC23-BL22,IF(A23&lt;'Données projet'!$A$88,$BA$205^A23,IF(A23='Données projet'!$A$88,'Données projet'!$B$88,BD22+BC23-BL22)))</f>
        <v>24.582870545650774</v>
      </c>
      <c r="BE23" s="13">
        <f>BD23*VLOOKUP('Données projet'!$B$11,Paramètres!$A$1:$I$89,3,0)*VLOOKUP('Données projet'!$B$11,Paramètres!$A$1:$I$89,5,0)</f>
        <v>24.927030733289886</v>
      </c>
      <c r="BF23" s="13">
        <f t="shared" si="37"/>
        <v>7.900419678784556</v>
      </c>
      <c r="BG23" s="20">
        <f t="shared" si="7"/>
        <v>57.174476134362976</v>
      </c>
      <c r="BH23" s="59">
        <f t="shared" si="8"/>
        <v>350.50780946769629</v>
      </c>
      <c r="BI23" s="59">
        <f ca="1">AVERAGE(OFFSET($BH$3,0,0,'Données projet'!$E$11+1,1))-AVERAGE(OFFSET($H$3,0,0,'Données projet'!$E$11+1,1))</f>
        <v>312.29056285877169</v>
      </c>
      <c r="BJ23" s="59">
        <f t="shared" si="38"/>
        <v>233.85454224241693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80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80</v>
      </c>
      <c r="BZ23" s="13">
        <f>BY23*VLOOKUP('Données projet'!$B$12,Paramètres!$A$1:$I$89,3,0)*VLOOKUP('Données projet'!$B$12,Paramètres!$A$1:$I$89,5,0)</f>
        <v>63.647999999999996</v>
      </c>
      <c r="CA23" s="13">
        <f t="shared" si="39"/>
        <v>18.087405707268363</v>
      </c>
      <c r="CB23" s="20">
        <f t="shared" si="10"/>
        <v>142.35583160682572</v>
      </c>
      <c r="CC23" s="59">
        <f t="shared" si="11"/>
        <v>435.689164940159</v>
      </c>
      <c r="CD23" s="59">
        <f ca="1">AVERAGE(OFFSET($CC$3,0,0,'Données projet'!$E$12+1,1))-AVERAGE(OFFSET($H$3,0,0,'Données projet'!$E$12+1,1))</f>
        <v>219.43439115440339</v>
      </c>
      <c r="CE23" s="59">
        <f t="shared" si="40"/>
        <v>217.8880462742099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497.46177914245987</v>
      </c>
      <c r="S24" s="59">
        <f ca="1">AVERAGE(OFFSET($R$3,0,0,'Données projet'!$E$9+1,1))-AVERAGE(OFFSET($H$3,0,0,'Données projet'!$E$9+1,1))</f>
        <v>261.10917418234862</v>
      </c>
      <c r="T24" s="59">
        <f t="shared" si="34"/>
        <v>327.65691162938418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4.0628205128205126</v>
      </c>
      <c r="AI24" s="13">
        <f>IF('Données projet'!$A$62&gt;35,AI23+AH24-AQ23,IF(A24&lt;'Données projet'!$A$62,$AF$205^A24,IF(A24='Données projet'!$A$62,'Données projet'!$B$62,AI23+AH24-AQ23)))</f>
        <v>28.851222752799568</v>
      </c>
      <c r="AJ24" s="13">
        <f>AI24*VLOOKUP('Données projet'!$B$10,Paramètres!$A$1:$I$89,3,0)*VLOOKUP('Données projet'!$B$10,Paramètres!$A$1:$I$89,5,0)</f>
        <v>28.805060796395093</v>
      </c>
      <c r="AK24" s="13">
        <f t="shared" si="35"/>
        <v>8.9771543672030685</v>
      </c>
      <c r="AL24" s="20">
        <f t="shared" si="4"/>
        <v>65.804024743266794</v>
      </c>
      <c r="AM24" s="59">
        <f t="shared" si="5"/>
        <v>359.13735807660009</v>
      </c>
      <c r="AN24" s="59">
        <f ca="1">AVERAGE(OFFSET($AM$3,0,0,'Données projet'!$E$10+1,1))-AVERAGE(OFFSET($H$3,0,0,'Données projet'!$E$10+1,1))</f>
        <v>306.38046634523579</v>
      </c>
      <c r="AO24" s="59">
        <f t="shared" si="36"/>
        <v>229.77251296097705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4.0628205128205126</v>
      </c>
      <c r="BD24" s="12">
        <f>IF('Données projet'!$A$88&gt;35,BD23+BC24-BL23,IF(A24&lt;'Données projet'!$A$88,$BA$205^A24,IF(A24='Données projet'!$A$88,'Données projet'!$B$88,BD23+BC24-BL23)))</f>
        <v>28.851222752799568</v>
      </c>
      <c r="BE24" s="13">
        <f>BD24*VLOOKUP('Données projet'!$B$11,Paramètres!$A$1:$I$89,3,0)*VLOOKUP('Données projet'!$B$11,Paramètres!$A$1:$I$89,5,0)</f>
        <v>29.255139871338766</v>
      </c>
      <c r="BF24" s="13">
        <f t="shared" si="37"/>
        <v>9.1009831459745705</v>
      </c>
      <c r="BG24" s="20">
        <f t="shared" si="7"/>
        <v>66.803580921820739</v>
      </c>
      <c r="BH24" s="59">
        <f t="shared" si="8"/>
        <v>360.13691425515407</v>
      </c>
      <c r="BI24" s="59">
        <f ca="1">AVERAGE(OFFSET($BH$3,0,0,'Données projet'!$E$11+1,1))-AVERAGE(OFFSET($H$3,0,0,'Données projet'!$E$11+1,1))</f>
        <v>312.29056285877169</v>
      </c>
      <c r="BJ24" s="59">
        <f t="shared" si="38"/>
        <v>233.85454224241693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64.599999999999994</v>
      </c>
      <c r="BZ24" s="13">
        <f>BY24*VLOOKUP('Données projet'!$B$12,Paramètres!$A$1:$I$89,3,0)*VLOOKUP('Données projet'!$B$12,Paramètres!$A$1:$I$89,5,0)</f>
        <v>51.395759999999996</v>
      </c>
      <c r="CA24" s="13">
        <f t="shared" si="39"/>
        <v>14.973641136922506</v>
      </c>
      <c r="CB24" s="20">
        <f t="shared" si="10"/>
        <v>115.59337364680668</v>
      </c>
      <c r="CC24" s="59">
        <f t="shared" si="11"/>
        <v>408.92670698014001</v>
      </c>
      <c r="CD24" s="59">
        <f ca="1">AVERAGE(OFFSET($CC$3,0,0,'Données projet'!$E$12+1,1))-AVERAGE(OFFSET($H$3,0,0,'Données projet'!$E$12+1,1))</f>
        <v>219.43439115440339</v>
      </c>
      <c r="CE24" s="59">
        <f t="shared" si="40"/>
        <v>217.8880462742099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522.07005806649238</v>
      </c>
      <c r="S25" s="59">
        <f ca="1">AVERAGE(OFFSET($R$3,0,0,'Données projet'!$E$9+1,1))-AVERAGE(OFFSET($H$3,0,0,'Données projet'!$E$9+1,1))</f>
        <v>261.10917418234862</v>
      </c>
      <c r="T25" s="59">
        <f t="shared" si="34"/>
        <v>327.65691162938418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4.0628205128205126</v>
      </c>
      <c r="AI25" s="13">
        <f>IF('Données projet'!$A$62&gt;35,AI24+AH25-AQ24,IF(A25&lt;'Données projet'!$A$62,$AF$205^A25,IF(A25='Données projet'!$A$62,'Données projet'!$B$62,AI24+AH25-AQ24)))</f>
        <v>33.860693883812012</v>
      </c>
      <c r="AJ25" s="13">
        <f>AI25*VLOOKUP('Données projet'!$B$10,Paramètres!$A$1:$I$89,3,0)*VLOOKUP('Données projet'!$B$10,Paramètres!$A$1:$I$89,5,0)</f>
        <v>33.806516773597913</v>
      </c>
      <c r="AK25" s="13">
        <f t="shared" si="35"/>
        <v>10.3413405763903</v>
      </c>
      <c r="AL25" s="20">
        <f t="shared" si="4"/>
        <v>76.89085155122946</v>
      </c>
      <c r="AM25" s="59">
        <f t="shared" si="5"/>
        <v>370.22418488456276</v>
      </c>
      <c r="AN25" s="59">
        <f ca="1">AVERAGE(OFFSET($AM$3,0,0,'Données projet'!$E$10+1,1))-AVERAGE(OFFSET($H$3,0,0,'Données projet'!$E$10+1,1))</f>
        <v>306.38046634523579</v>
      </c>
      <c r="AO25" s="59">
        <f t="shared" si="36"/>
        <v>229.77251296097705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4.0628205128205126</v>
      </c>
      <c r="BD25" s="12">
        <f>IF('Données projet'!$A$88&gt;35,BD24+BC25-BL24,IF(A25&lt;'Données projet'!$A$88,$BA$205^A25,IF(A25='Données projet'!$A$88,'Données projet'!$B$88,BD24+BC25-BL24)))</f>
        <v>33.860693883812012</v>
      </c>
      <c r="BE25" s="13">
        <f>BD25*VLOOKUP('Données projet'!$B$11,Paramètres!$A$1:$I$89,3,0)*VLOOKUP('Données projet'!$B$11,Paramètres!$A$1:$I$89,5,0)</f>
        <v>34.334743598185383</v>
      </c>
      <c r="BF25" s="13">
        <f t="shared" si="37"/>
        <v>10.48398662234813</v>
      </c>
      <c r="BG25" s="20">
        <f t="shared" si="7"/>
        <v>78.059288467429198</v>
      </c>
      <c r="BH25" s="59">
        <f t="shared" si="8"/>
        <v>371.39262180076253</v>
      </c>
      <c r="BI25" s="59">
        <f ca="1">AVERAGE(OFFSET($BH$3,0,0,'Données projet'!$E$11+1,1))-AVERAGE(OFFSET($H$3,0,0,'Données projet'!$E$11+1,1))</f>
        <v>312.29056285877169</v>
      </c>
      <c r="BJ25" s="59">
        <f t="shared" si="38"/>
        <v>233.85454224241693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77.199999999999989</v>
      </c>
      <c r="BZ25" s="13">
        <f>BY25*VLOOKUP('Données projet'!$B$12,Paramètres!$A$1:$I$89,3,0)*VLOOKUP('Données projet'!$B$12,Paramètres!$A$1:$I$89,5,0)</f>
        <v>61.42031999999999</v>
      </c>
      <c r="CA25" s="13">
        <f t="shared" si="39"/>
        <v>17.526880037631354</v>
      </c>
      <c r="CB25" s="20">
        <f t="shared" si="10"/>
        <v>137.4997067322079</v>
      </c>
      <c r="CC25" s="59">
        <f t="shared" si="11"/>
        <v>430.83304006554124</v>
      </c>
      <c r="CD25" s="59">
        <f ca="1">AVERAGE(OFFSET($CC$3,0,0,'Données projet'!$E$12+1,1))-AVERAGE(OFFSET($H$3,0,0,'Données projet'!$E$12+1,1))</f>
        <v>219.43439115440339</v>
      </c>
      <c r="CE25" s="59">
        <f t="shared" si="40"/>
        <v>217.8880462742099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546.6177568727893</v>
      </c>
      <c r="S26" s="59">
        <f ca="1">AVERAGE(OFFSET($R$3,0,0,'Données projet'!$E$9+1,1))-AVERAGE(OFFSET($H$3,0,0,'Données projet'!$E$9+1,1))</f>
        <v>261.10917418234862</v>
      </c>
      <c r="T26" s="59">
        <f t="shared" si="34"/>
        <v>327.65691162938418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4.0628205128205126</v>
      </c>
      <c r="AI26" s="13">
        <f>IF('Données projet'!$A$62&gt;35,AI25+AH26-AQ25,IF(A26&lt;'Données projet'!$A$62,$AF$205^A26,IF(A26='Données projet'!$A$62,'Données projet'!$B$62,AI25+AH26-AQ25)))</f>
        <v>39.739965273463824</v>
      </c>
      <c r="AJ26" s="13">
        <f>AI26*VLOOKUP('Données projet'!$B$10,Paramètres!$A$1:$I$89,3,0)*VLOOKUP('Données projet'!$B$10,Paramètres!$A$1:$I$89,5,0)</f>
        <v>39.676381329026285</v>
      </c>
      <c r="AK26" s="13">
        <f t="shared" si="35"/>
        <v>11.912831231642931</v>
      </c>
      <c r="AL26" s="20">
        <f t="shared" si="4"/>
        <v>89.85121187649888</v>
      </c>
      <c r="AM26" s="59">
        <f t="shared" si="5"/>
        <v>383.18454520983221</v>
      </c>
      <c r="AN26" s="59">
        <f ca="1">AVERAGE(OFFSET($AM$3,0,0,'Données projet'!$E$10+1,1))-AVERAGE(OFFSET($H$3,0,0,'Données projet'!$E$10+1,1))</f>
        <v>306.38046634523579</v>
      </c>
      <c r="AO26" s="59">
        <f t="shared" si="36"/>
        <v>229.77251296097705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4.0628205128205126</v>
      </c>
      <c r="BD26" s="12">
        <f>IF('Données projet'!$A$88&gt;35,BD25+BC26-BL25,IF(A26&lt;'Données projet'!$A$88,$BA$205^A26,IF(A26='Données projet'!$A$88,'Données projet'!$B$88,BD25+BC26-BL25)))</f>
        <v>39.739965273463824</v>
      </c>
      <c r="BE26" s="13">
        <f>BD26*VLOOKUP('Données projet'!$B$11,Paramètres!$A$1:$I$89,3,0)*VLOOKUP('Données projet'!$B$11,Paramètres!$A$1:$I$89,5,0)</f>
        <v>40.29632478729232</v>
      </c>
      <c r="BF26" s="13">
        <f t="shared" si="37"/>
        <v>12.077154054085931</v>
      </c>
      <c r="BG26" s="20">
        <f t="shared" si="7"/>
        <v>91.217142315400451</v>
      </c>
      <c r="BH26" s="59">
        <f t="shared" si="8"/>
        <v>384.55047564873377</v>
      </c>
      <c r="BI26" s="59">
        <f ca="1">AVERAGE(OFFSET($BH$3,0,0,'Données projet'!$E$11+1,1))-AVERAGE(OFFSET($H$3,0,0,'Données projet'!$E$11+1,1))</f>
        <v>312.29056285877169</v>
      </c>
      <c r="BJ26" s="59">
        <f t="shared" si="38"/>
        <v>233.85454224241693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89.799999999999983</v>
      </c>
      <c r="BZ26" s="13">
        <f>BY26*VLOOKUP('Données projet'!$B$12,Paramètres!$A$1:$I$89,3,0)*VLOOKUP('Données projet'!$B$12,Paramètres!$A$1:$I$89,5,0)</f>
        <v>71.444879999999998</v>
      </c>
      <c r="CA26" s="13">
        <f t="shared" si="39"/>
        <v>20.03184442542841</v>
      </c>
      <c r="CB26" s="20">
        <f t="shared" si="10"/>
        <v>159.32196170762117</v>
      </c>
      <c r="CC26" s="59">
        <f t="shared" si="11"/>
        <v>452.65529504095446</v>
      </c>
      <c r="CD26" s="59">
        <f ca="1">AVERAGE(OFFSET($CC$3,0,0,'Données projet'!$E$12+1,1))-AVERAGE(OFFSET($H$3,0,0,'Données projet'!$E$12+1,1))</f>
        <v>219.43439115440339</v>
      </c>
      <c r="CE26" s="59">
        <f t="shared" si="40"/>
        <v>217.8880462742099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571.11157109576641</v>
      </c>
      <c r="S27" s="59">
        <f ca="1">AVERAGE(OFFSET($R$3,0,0,'Données projet'!$E$9+1,1))-AVERAGE(OFFSET($H$3,0,0,'Données projet'!$E$9+1,1))</f>
        <v>261.10917418234862</v>
      </c>
      <c r="T27" s="59">
        <f t="shared" si="34"/>
        <v>327.65691162938418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4.0628205128205126</v>
      </c>
      <c r="AI27" s="13">
        <f>IF('Données projet'!$A$62&gt;35,AI26+AH27-AQ26,IF(A27&lt;'Données projet'!$A$62,$AF$205^A27,IF(A27='Données projet'!$A$62,'Données projet'!$B$62,AI26+AH27-AQ26)))</f>
        <v>46.640061345320483</v>
      </c>
      <c r="AJ27" s="13">
        <f>AI27*VLOOKUP('Données projet'!$B$10,Paramètres!$A$1:$I$89,3,0)*VLOOKUP('Données projet'!$B$10,Paramètres!$A$1:$I$89,5,0)</f>
        <v>46.565437247167971</v>
      </c>
      <c r="AK27" s="13">
        <f t="shared" si="35"/>
        <v>13.723128728359081</v>
      </c>
      <c r="AL27" s="20">
        <f t="shared" si="4"/>
        <v>105.00258574070961</v>
      </c>
      <c r="AM27" s="59">
        <f t="shared" si="5"/>
        <v>398.33591907404292</v>
      </c>
      <c r="AN27" s="59">
        <f ca="1">AVERAGE(OFFSET($AM$3,0,0,'Données projet'!$E$10+1,1))-AVERAGE(OFFSET($H$3,0,0,'Données projet'!$E$10+1,1))</f>
        <v>306.38046634523579</v>
      </c>
      <c r="AO27" s="59">
        <f t="shared" si="36"/>
        <v>229.77251296097705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4.0628205128205126</v>
      </c>
      <c r="BD27" s="12">
        <f>IF('Données projet'!$A$88&gt;35,BD26+BC27-BL26,IF(A27&lt;'Données projet'!$A$88,$BA$205^A27,IF(A27='Données projet'!$A$88,'Données projet'!$B$88,BD26+BC27-BL26)))</f>
        <v>46.640061345320483</v>
      </c>
      <c r="BE27" s="13">
        <f>BD27*VLOOKUP('Données projet'!$B$11,Paramètres!$A$1:$I$89,3,0)*VLOOKUP('Données projet'!$B$11,Paramètres!$A$1:$I$89,5,0)</f>
        <v>47.293022204154973</v>
      </c>
      <c r="BF27" s="13">
        <f t="shared" si="37"/>
        <v>13.912422373299071</v>
      </c>
      <c r="BG27" s="20">
        <f t="shared" si="7"/>
        <v>106.5994826390658</v>
      </c>
      <c r="BH27" s="59">
        <f t="shared" si="8"/>
        <v>399.93281597239911</v>
      </c>
      <c r="BI27" s="59">
        <f ca="1">AVERAGE(OFFSET($BH$3,0,0,'Données projet'!$E$11+1,1))-AVERAGE(OFFSET($H$3,0,0,'Données projet'!$E$11+1,1))</f>
        <v>312.29056285877169</v>
      </c>
      <c r="BJ27" s="59">
        <f t="shared" si="38"/>
        <v>233.85454224241693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102.39999999999998</v>
      </c>
      <c r="BZ27" s="13">
        <f>BY27*VLOOKUP('Données projet'!$B$12,Paramètres!$A$1:$I$89,3,0)*VLOOKUP('Données projet'!$B$12,Paramètres!$A$1:$I$89,5,0)</f>
        <v>81.469439999999992</v>
      </c>
      <c r="CA27" s="13">
        <f t="shared" si="39"/>
        <v>22.496088365195678</v>
      </c>
      <c r="CB27" s="20">
        <f t="shared" si="10"/>
        <v>181.07329523604912</v>
      </c>
      <c r="CC27" s="59">
        <f t="shared" si="11"/>
        <v>474.40662856938241</v>
      </c>
      <c r="CD27" s="59">
        <f ca="1">AVERAGE(OFFSET($CC$3,0,0,'Données projet'!$E$12+1,1))-AVERAGE(OFFSET($H$3,0,0,'Données projet'!$E$12+1,1))</f>
        <v>219.43439115440339</v>
      </c>
      <c r="CE27" s="59">
        <f t="shared" si="40"/>
        <v>217.8880462742099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595.5569181428649</v>
      </c>
      <c r="S28" s="59">
        <f ca="1">AVERAGE(OFFSET($R$3,0,0,'Données projet'!$E$9+1,1))-AVERAGE(OFFSET($H$3,0,0,'Données projet'!$E$9+1,1))</f>
        <v>261.10917418234862</v>
      </c>
      <c r="T28" s="59">
        <f t="shared" si="34"/>
        <v>327.65691162938418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4.0628205128205126</v>
      </c>
      <c r="AI28" s="13">
        <f>IF('Données projet'!$A$62&gt;35,AI27+AH28-AQ27,IF(A28&lt;'Données projet'!$A$62,$AF$205^A28,IF(A28='Données projet'!$A$62,'Données projet'!$B$62,AI27+AH28-AQ27)))</f>
        <v>54.738229068051083</v>
      </c>
      <c r="AJ28" s="13">
        <f>AI28*VLOOKUP('Données projet'!$B$10,Paramètres!$A$1:$I$89,3,0)*VLOOKUP('Données projet'!$B$10,Paramètres!$A$1:$I$89,5,0)</f>
        <v>54.6506479015422</v>
      </c>
      <c r="AK28" s="13">
        <f t="shared" si="35"/>
        <v>15.808522628515579</v>
      </c>
      <c r="AL28" s="20">
        <f t="shared" si="4"/>
        <v>122.71638867318397</v>
      </c>
      <c r="AM28" s="59">
        <f t="shared" si="5"/>
        <v>416.0497220065173</v>
      </c>
      <c r="AN28" s="59">
        <f ca="1">AVERAGE(OFFSET($AM$3,0,0,'Données projet'!$E$10+1,1))-AVERAGE(OFFSET($H$3,0,0,'Données projet'!$E$10+1,1))</f>
        <v>306.38046634523579</v>
      </c>
      <c r="AO28" s="59">
        <f t="shared" si="36"/>
        <v>229.77251296097705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4.0628205128205126</v>
      </c>
      <c r="BD28" s="12">
        <f>IF('Données projet'!$A$88&gt;35,BD27+BC28-BL27,IF(A28&lt;'Données projet'!$A$88,$BA$205^A28,IF(A28='Données projet'!$A$88,'Données projet'!$B$88,BD27+BC28-BL27)))</f>
        <v>54.738229068051083</v>
      </c>
      <c r="BE28" s="13">
        <f>BD28*VLOOKUP('Données projet'!$B$11,Paramètres!$A$1:$I$89,3,0)*VLOOKUP('Données projet'!$B$11,Paramètres!$A$1:$I$89,5,0)</f>
        <v>55.504564275003808</v>
      </c>
      <c r="BF28" s="13">
        <f t="shared" si="37"/>
        <v>16.026581711739372</v>
      </c>
      <c r="BG28" s="20">
        <f t="shared" si="7"/>
        <v>124.58341259357769</v>
      </c>
      <c r="BH28" s="59">
        <f t="shared" si="8"/>
        <v>417.91674592691101</v>
      </c>
      <c r="BI28" s="59">
        <f ca="1">AVERAGE(OFFSET($BH$3,0,0,'Données projet'!$E$11+1,1))-AVERAGE(OFFSET($H$3,0,0,'Données projet'!$E$11+1,1))</f>
        <v>312.29056285877169</v>
      </c>
      <c r="BJ28" s="59">
        <f t="shared" si="38"/>
        <v>233.85454224241693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115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114.99999999999997</v>
      </c>
      <c r="BZ28" s="13">
        <f>BY28*VLOOKUP('Données projet'!$B$12,Paramètres!$A$1:$I$89,3,0)*VLOOKUP('Données projet'!$B$12,Paramètres!$A$1:$I$89,5,0)</f>
        <v>91.493999999999986</v>
      </c>
      <c r="CA28" s="13">
        <f t="shared" si="39"/>
        <v>24.925195840896517</v>
      </c>
      <c r="CB28" s="20">
        <f t="shared" si="10"/>
        <v>202.76343275622807</v>
      </c>
      <c r="CC28" s="59">
        <f t="shared" si="11"/>
        <v>496.09676608956136</v>
      </c>
      <c r="CD28" s="59">
        <f ca="1">AVERAGE(OFFSET($CC$3,0,0,'Données projet'!$E$12+1,1))-AVERAGE(OFFSET($H$3,0,0,'Données projet'!$E$12+1,1))</f>
        <v>219.43439115440339</v>
      </c>
      <c r="CE28" s="59">
        <f t="shared" si="40"/>
        <v>217.8880462742099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3.7100000000000008E-2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0.91003997042672546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0.91003997042672546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619.95826719198703</v>
      </c>
      <c r="S29" s="59">
        <f ca="1">AVERAGE(OFFSET($R$3,0,0,'Données projet'!$E$9+1,1))-AVERAGE(OFFSET($H$3,0,0,'Données projet'!$E$9+1,1))</f>
        <v>261.10917418234862</v>
      </c>
      <c r="T29" s="59">
        <f t="shared" si="34"/>
        <v>327.65691162938418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4.0628205128205126</v>
      </c>
      <c r="AI29" s="13">
        <f>IF('Données projet'!$A$62&gt;35,AI28+AH29-AQ28,IF(A29&lt;'Données projet'!$A$62,$AF$205^A29,IF(A29='Données projet'!$A$62,'Données projet'!$B$62,AI28+AH29-AQ28)))</f>
        <v>64.242491006222849</v>
      </c>
      <c r="AJ29" s="13">
        <f>AI29*VLOOKUP('Données projet'!$B$10,Paramètres!$A$1:$I$89,3,0)*VLOOKUP('Données projet'!$B$10,Paramètres!$A$1:$I$89,5,0)</f>
        <v>64.139703020612885</v>
      </c>
      <c r="AK29" s="13">
        <f t="shared" si="35"/>
        <v>18.210817128010092</v>
      </c>
      <c r="AL29" s="20">
        <f t="shared" si="4"/>
        <v>143.42715592551835</v>
      </c>
      <c r="AM29" s="59">
        <f t="shared" si="5"/>
        <v>436.76048925885163</v>
      </c>
      <c r="AN29" s="59">
        <f ca="1">AVERAGE(OFFSET($AM$3,0,0,'Données projet'!$E$10+1,1))-AVERAGE(OFFSET($H$3,0,0,'Données projet'!$E$10+1,1))</f>
        <v>306.38046634523579</v>
      </c>
      <c r="AO29" s="59">
        <f t="shared" si="36"/>
        <v>229.77251296097705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4.0628205128205126</v>
      </c>
      <c r="BD29" s="12">
        <f>IF('Données projet'!$A$88&gt;35,BD28+BC29-BL28,IF(A29&lt;'Données projet'!$A$88,$BA$205^A29,IF(A29='Données projet'!$A$88,'Données projet'!$B$88,BD28+BC29-BL28)))</f>
        <v>64.242491006222849</v>
      </c>
      <c r="BE29" s="13">
        <f>BD29*VLOOKUP('Données projet'!$B$11,Paramètres!$A$1:$I$89,3,0)*VLOOKUP('Données projet'!$B$11,Paramètres!$A$1:$I$89,5,0)</f>
        <v>65.141885880309971</v>
      </c>
      <c r="BF29" s="13">
        <f t="shared" si="37"/>
        <v>18.462012902656809</v>
      </c>
      <c r="BG29" s="20">
        <f t="shared" si="7"/>
        <v>145.61012371366715</v>
      </c>
      <c r="BH29" s="59">
        <f t="shared" si="8"/>
        <v>438.94345704700049</v>
      </c>
      <c r="BI29" s="59">
        <f ca="1">AVERAGE(OFFSET($BH$3,0,0,'Données projet'!$E$11+1,1))-AVERAGE(OFFSET($H$3,0,0,'Données projet'!$E$11+1,1))</f>
        <v>312.29056285877169</v>
      </c>
      <c r="BJ29" s="59">
        <f t="shared" si="38"/>
        <v>233.85454224241693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98.799999999999969</v>
      </c>
      <c r="BZ29" s="13">
        <f>BY29*VLOOKUP('Données projet'!$B$12,Paramètres!$A$1:$I$89,3,0)*VLOOKUP('Données projet'!$B$12,Paramètres!$A$1:$I$89,5,0)</f>
        <v>78.605279999999979</v>
      </c>
      <c r="CA29" s="13">
        <f t="shared" si="39"/>
        <v>21.795819556945734</v>
      </c>
      <c r="CB29" s="20">
        <f t="shared" si="10"/>
        <v>174.86524839501377</v>
      </c>
      <c r="CC29" s="59">
        <f t="shared" si="11"/>
        <v>468.19858172834711</v>
      </c>
      <c r="CD29" s="59">
        <f ca="1">AVERAGE(OFFSET($CC$3,0,0,'Données projet'!$E$12+1,1))-AVERAGE(OFFSET($H$3,0,0,'Données projet'!$E$12+1,1))</f>
        <v>219.43439115440339</v>
      </c>
      <c r="CE29" s="59">
        <f t="shared" si="40"/>
        <v>217.8880462742099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0.88515487957848449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0.88515487957848449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19.393589743589743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2"/>
        <v>291.30971241322919</v>
      </c>
      <c r="R30" s="59">
        <f t="shared" si="0"/>
        <v>584.64304574656251</v>
      </c>
      <c r="S30" s="59">
        <f ca="1">AVERAGE(OFFSET($R$3,0,0,'Données projet'!$E$9+1,1))-AVERAGE(OFFSET($H$3,0,0,'Données projet'!$E$9+1,1))</f>
        <v>261.10917418234862</v>
      </c>
      <c r="T30" s="59">
        <f t="shared" si="34"/>
        <v>327.65691162938418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4.0628205128205126</v>
      </c>
      <c r="AI30" s="13">
        <f>IF('Données projet'!$A$62&gt;35,AI29+AH30-AQ29,IF(A30&lt;'Données projet'!$A$62,$AF$205^A30,IF(A30='Données projet'!$A$62,'Données projet'!$B$62,AI29+AH30-AQ29)))</f>
        <v>75.396988922564091</v>
      </c>
      <c r="AJ30" s="13">
        <f>AI30*VLOOKUP('Données projet'!$B$10,Paramètres!$A$1:$I$89,3,0)*VLOOKUP('Données projet'!$B$10,Paramètres!$A$1:$I$89,5,0)</f>
        <v>75.276353740287988</v>
      </c>
      <c r="AK30" s="13">
        <f t="shared" si="35"/>
        <v>20.978169071385672</v>
      </c>
      <c r="AL30" s="20">
        <f t="shared" si="4"/>
        <v>167.6432938969983</v>
      </c>
      <c r="AM30" s="59">
        <f t="shared" si="5"/>
        <v>460.97662723033159</v>
      </c>
      <c r="AN30" s="59">
        <f ca="1">AVERAGE(OFFSET($AM$3,0,0,'Données projet'!$E$10+1,1))-AVERAGE(OFFSET($H$3,0,0,'Données projet'!$E$10+1,1))</f>
        <v>306.38046634523579</v>
      </c>
      <c r="AO30" s="59">
        <f t="shared" si="36"/>
        <v>229.77251296097705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4.0628205128205126</v>
      </c>
      <c r="BD30" s="12">
        <f>IF('Données projet'!$A$88&gt;35,BD29+BC30-BL29,IF(A30&lt;'Données projet'!$A$88,$BA$205^A30,IF(A30='Données projet'!$A$88,'Données projet'!$B$88,BD29+BC30-BL29)))</f>
        <v>75.396988922564091</v>
      </c>
      <c r="BE30" s="13">
        <f>BD30*VLOOKUP('Données projet'!$B$11,Paramètres!$A$1:$I$89,3,0)*VLOOKUP('Données projet'!$B$11,Paramètres!$A$1:$I$89,5,0)</f>
        <v>76.452546767480001</v>
      </c>
      <c r="BF30" s="13">
        <f t="shared" si="37"/>
        <v>21.267537054904178</v>
      </c>
      <c r="BG30" s="20">
        <f t="shared" si="7"/>
        <v>170.19581265731912</v>
      </c>
      <c r="BH30" s="59">
        <f t="shared" si="8"/>
        <v>463.52914599065241</v>
      </c>
      <c r="BI30" s="59">
        <f ca="1">AVERAGE(OFFSET($BH$3,0,0,'Données projet'!$E$11+1,1))-AVERAGE(OFFSET($H$3,0,0,'Données projet'!$E$11+1,1))</f>
        <v>312.29056285877169</v>
      </c>
      <c r="BJ30" s="59">
        <f t="shared" si="38"/>
        <v>233.85454224241693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110.59999999999997</v>
      </c>
      <c r="BZ30" s="13">
        <f>BY30*VLOOKUP('Données projet'!$B$12,Paramètres!$A$1:$I$89,3,0)*VLOOKUP('Données projet'!$B$12,Paramètres!$A$1:$I$89,5,0)</f>
        <v>87.993359999999981</v>
      </c>
      <c r="CA30" s="13">
        <f t="shared" si="39"/>
        <v>24.080638481970816</v>
      </c>
      <c r="CB30" s="20">
        <f t="shared" si="10"/>
        <v>195.19554735609913</v>
      </c>
      <c r="CC30" s="59">
        <f t="shared" si="11"/>
        <v>488.52888068943241</v>
      </c>
      <c r="CD30" s="59">
        <f ca="1">AVERAGE(OFFSET($CC$3,0,0,'Données projet'!$E$12+1,1))-AVERAGE(OFFSET($H$3,0,0,'Données projet'!$E$12+1,1))</f>
        <v>219.43439115440339</v>
      </c>
      <c r="CE30" s="59">
        <f t="shared" si="40"/>
        <v>217.8880462742099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0.86095027284813874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0.86095027284813874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19.393589743589743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2"/>
        <v>316.14188648171188</v>
      </c>
      <c r="R31" s="59">
        <f t="shared" si="0"/>
        <v>609.47521981504519</v>
      </c>
      <c r="S31" s="59">
        <f ca="1">AVERAGE(OFFSET($R$3,0,0,'Données projet'!$E$9+1,1))-AVERAGE(OFFSET($H$3,0,0,'Données projet'!$E$9+1,1))</f>
        <v>261.10917418234862</v>
      </c>
      <c r="T31" s="59">
        <f t="shared" si="34"/>
        <v>327.65691162938418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4.0628205128205126</v>
      </c>
      <c r="AI31" s="13">
        <f>IF('Données projet'!$A$62&gt;35,AI30+AH31-AQ30,IF(A31&lt;'Données projet'!$A$62,$AF$205^A31,IF(A31='Données projet'!$A$62,'Données projet'!$B$62,AI30+AH31-AQ30)))</f>
        <v>88.488255196060223</v>
      </c>
      <c r="AJ31" s="13">
        <f>AI31*VLOOKUP('Données projet'!$B$10,Paramètres!$A$1:$I$89,3,0)*VLOOKUP('Données projet'!$B$10,Paramètres!$A$1:$I$89,5,0)</f>
        <v>88.346673987746541</v>
      </c>
      <c r="AK31" s="13">
        <f t="shared" si="35"/>
        <v>24.166053312937233</v>
      </c>
      <c r="AL31" s="20">
        <f t="shared" si="4"/>
        <v>195.95966671535757</v>
      </c>
      <c r="AM31" s="59">
        <f t="shared" si="5"/>
        <v>489.29300004869089</v>
      </c>
      <c r="AN31" s="59">
        <f ca="1">AVERAGE(OFFSET($AM$3,0,0,'Données projet'!$E$10+1,1))-AVERAGE(OFFSET($H$3,0,0,'Données projet'!$E$10+1,1))</f>
        <v>306.38046634523579</v>
      </c>
      <c r="AO31" s="59">
        <f t="shared" si="36"/>
        <v>229.77251296097705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4.0628205128205126</v>
      </c>
      <c r="BD31" s="12">
        <f>IF('Données projet'!$A$88&gt;35,BD30+BC31-BL30,IF(A31&lt;'Données projet'!$A$88,$BA$205^A31,IF(A31='Données projet'!$A$88,'Données projet'!$B$88,BD30+BC31-BL30)))</f>
        <v>88.488255196060223</v>
      </c>
      <c r="BE31" s="13">
        <f>BD31*VLOOKUP('Données projet'!$B$11,Paramètres!$A$1:$I$89,3,0)*VLOOKUP('Données projet'!$B$11,Paramètres!$A$1:$I$89,5,0)</f>
        <v>89.72709076880507</v>
      </c>
      <c r="BF31" s="13">
        <f t="shared" si="37"/>
        <v>24.499394230010086</v>
      </c>
      <c r="BG31" s="20">
        <f t="shared" si="7"/>
        <v>198.94446137293639</v>
      </c>
      <c r="BH31" s="59">
        <f t="shared" si="8"/>
        <v>492.27779470626967</v>
      </c>
      <c r="BI31" s="59">
        <f ca="1">AVERAGE(OFFSET($BH$3,0,0,'Données projet'!$E$11+1,1))-AVERAGE(OFFSET($H$3,0,0,'Données projet'!$E$11+1,1))</f>
        <v>312.29056285877169</v>
      </c>
      <c r="BJ31" s="59">
        <f t="shared" si="38"/>
        <v>233.85454224241693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122.39999999999996</v>
      </c>
      <c r="BZ31" s="13">
        <f>BY31*VLOOKUP('Données projet'!$B$12,Paramètres!$A$1:$I$89,3,0)*VLOOKUP('Données projet'!$B$12,Paramètres!$A$1:$I$89,5,0)</f>
        <v>97.381439999999984</v>
      </c>
      <c r="CA31" s="13">
        <f t="shared" si="39"/>
        <v>26.337201615555198</v>
      </c>
      <c r="CB31" s="20">
        <f t="shared" si="10"/>
        <v>215.47663414709197</v>
      </c>
      <c r="CC31" s="59">
        <f t="shared" si="11"/>
        <v>508.80996748042526</v>
      </c>
      <c r="CD31" s="59">
        <f ca="1">AVERAGE(OFFSET($CC$3,0,0,'Données projet'!$E$12+1,1))-AVERAGE(OFFSET($H$3,0,0,'Données projet'!$E$12+1,1))</f>
        <v>219.43439115440339</v>
      </c>
      <c r="CE31" s="59">
        <f t="shared" si="40"/>
        <v>217.8880462742099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0.83740754236169923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0.83740754236169923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19.393589743589743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2"/>
        <v>340.93085224982775</v>
      </c>
      <c r="R32" s="59">
        <f t="shared" si="0"/>
        <v>634.26418558316107</v>
      </c>
      <c r="S32" s="59">
        <f ca="1">AVERAGE(OFFSET($R$3,0,0,'Données projet'!$E$9+1,1))-AVERAGE(OFFSET($H$3,0,0,'Données projet'!$E$9+1,1))</f>
        <v>261.10917418234862</v>
      </c>
      <c r="T32" s="59">
        <f t="shared" si="34"/>
        <v>327.65691162938418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4.0628205128205126</v>
      </c>
      <c r="AI32" s="13">
        <f>IF('Données projet'!$A$62&gt;35,AI31+AH32-AQ31,IF(A32&lt;'Données projet'!$A$62,$AF$205^A32,IF(A32='Données projet'!$A$62,'Données projet'!$B$62,AI31+AH32-AQ31)))</f>
        <v>103.85257315361756</v>
      </c>
      <c r="AJ32" s="13">
        <f>AI32*VLOOKUP('Données projet'!$B$10,Paramètres!$A$1:$I$89,3,0)*VLOOKUP('Données projet'!$B$10,Paramètres!$A$1:$I$89,5,0)</f>
        <v>103.68640903657177</v>
      </c>
      <c r="AK32" s="13">
        <f t="shared" si="35"/>
        <v>27.838374776009456</v>
      </c>
      <c r="AL32" s="20">
        <f t="shared" si="4"/>
        <v>229.0723318069123</v>
      </c>
      <c r="AM32" s="59">
        <f t="shared" si="5"/>
        <v>522.40566514024567</v>
      </c>
      <c r="AN32" s="59">
        <f ca="1">AVERAGE(OFFSET($AM$3,0,0,'Données projet'!$E$10+1,1))-AVERAGE(OFFSET($H$3,0,0,'Données projet'!$E$10+1,1))</f>
        <v>306.38046634523579</v>
      </c>
      <c r="AO32" s="59">
        <f t="shared" si="36"/>
        <v>229.77251296097705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4.0628205128205126</v>
      </c>
      <c r="BD32" s="12">
        <f>IF('Données projet'!$A$88&gt;35,BD31+BC32-BL31,IF(A32&lt;'Données projet'!$A$88,$BA$205^A32,IF(A32='Données projet'!$A$88,'Données projet'!$B$88,BD31+BC32-BL31)))</f>
        <v>103.85257315361756</v>
      </c>
      <c r="BE32" s="13">
        <f>BD32*VLOOKUP('Données projet'!$B$11,Paramètres!$A$1:$I$89,3,0)*VLOOKUP('Données projet'!$B$11,Paramètres!$A$1:$I$89,5,0)</f>
        <v>105.30650917776822</v>
      </c>
      <c r="BF32" s="13">
        <f t="shared" si="37"/>
        <v>28.222370840964146</v>
      </c>
      <c r="BG32" s="20">
        <f t="shared" si="7"/>
        <v>232.56279936595885</v>
      </c>
      <c r="BH32" s="59">
        <f t="shared" si="8"/>
        <v>525.89613269929214</v>
      </c>
      <c r="BI32" s="59">
        <f ca="1">AVERAGE(OFFSET($BH$3,0,0,'Données projet'!$E$11+1,1))-AVERAGE(OFFSET($H$3,0,0,'Données projet'!$E$11+1,1))</f>
        <v>312.29056285877169</v>
      </c>
      <c r="BJ32" s="59">
        <f t="shared" si="38"/>
        <v>233.85454224241693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134.19999999999996</v>
      </c>
      <c r="BZ32" s="13">
        <f>BY32*VLOOKUP('Données projet'!$B$12,Paramètres!$A$1:$I$89,3,0)*VLOOKUP('Données projet'!$B$12,Paramètres!$A$1:$I$89,5,0)</f>
        <v>106.76951999999997</v>
      </c>
      <c r="CA32" s="13">
        <f t="shared" si="39"/>
        <v>28.568542914630683</v>
      </c>
      <c r="CB32" s="20">
        <f t="shared" si="10"/>
        <v>235.71379290964839</v>
      </c>
      <c r="CC32" s="59">
        <f t="shared" si="11"/>
        <v>529.04712624298168</v>
      </c>
      <c r="CD32" s="59">
        <f ca="1">AVERAGE(OFFSET($CC$3,0,0,'Données projet'!$E$12+1,1))-AVERAGE(OFFSET($H$3,0,0,'Données projet'!$E$12+1,1))</f>
        <v>219.43439115440339</v>
      </c>
      <c r="CE32" s="59">
        <f t="shared" si="40"/>
        <v>217.8880462742099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0.81450858907846979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0.81450858907846979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19.393589743589743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2"/>
        <v>365.68019071952534</v>
      </c>
      <c r="R33" s="59">
        <f t="shared" si="0"/>
        <v>659.01352405285866</v>
      </c>
      <c r="S33" s="59">
        <f ca="1">AVERAGE(OFFSET($R$3,0,0,'Données projet'!$E$9+1,1))-AVERAGE(OFFSET($H$3,0,0,'Données projet'!$E$9+1,1))</f>
        <v>261.10917418234862</v>
      </c>
      <c r="T33" s="59">
        <f t="shared" si="34"/>
        <v>327.65691162938418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121.88461538461537</v>
      </c>
      <c r="AG33" s="12">
        <f>VLOOKUP(A33,'Données projet'!$A$61:$I$81,9,0)</f>
        <v>4.0628205128205126</v>
      </c>
      <c r="AH33" s="12">
        <f t="array" ref="AH33">INDEX(AG:AG,MIN(IF(ISNUMBER(AG33:AG229),ROW(AG33:AG229),"")))</f>
        <v>4.0628205128205126</v>
      </c>
      <c r="AI33" s="13">
        <f>IF('Données projet'!$A$62&gt;35,AI32+AH33-AQ32,IF(A33&lt;'Données projet'!$A$62,$AF$205^A33,IF(A33='Données projet'!$A$62,'Données projet'!$B$62,AI32+AH33-AQ32)))</f>
        <v>121.88461538461537</v>
      </c>
      <c r="AJ33" s="13">
        <f>AI33*VLOOKUP('Données projet'!$B$10,Paramètres!$A$1:$I$89,3,0)*VLOOKUP('Données projet'!$B$10,Paramètres!$A$1:$I$89,5,0)</f>
        <v>121.68959999999998</v>
      </c>
      <c r="AK33" s="13">
        <f t="shared" si="35"/>
        <v>32.068749503034432</v>
      </c>
      <c r="AL33" s="20">
        <f t="shared" si="4"/>
        <v>267.79579205111827</v>
      </c>
      <c r="AM33" s="59">
        <f t="shared" si="5"/>
        <v>561.12912538445153</v>
      </c>
      <c r="AN33" s="59">
        <f ca="1">AVERAGE(OFFSET($AM$3,0,0,'Données projet'!$E$10+1,1))-AVERAGE(OFFSET($H$3,0,0,'Données projet'!$E$10+1,1))</f>
        <v>306.38046634523579</v>
      </c>
      <c r="AO33" s="59">
        <f t="shared" si="36"/>
        <v>229.77251296097705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121.88461538461537</v>
      </c>
      <c r="BB33" s="12">
        <f>VLOOKUP(A33,'Données projet'!$A$87:$I$107,9,0)</f>
        <v>4.0628205128205126</v>
      </c>
      <c r="BC33" s="12">
        <f t="array" ref="BC33">INDEX(BB:BB,MIN(IF(ISNUMBER(BB33:BB229),ROW(BB33:BB229),"")))</f>
        <v>4.0628205128205126</v>
      </c>
      <c r="BD33" s="12">
        <f>IF('Données projet'!$A$88&gt;35,BD32+BC33-BL32,IF(A33&lt;'Données projet'!$A$88,$BA$205^A33,IF(A33='Données projet'!$A$88,'Données projet'!$B$88,BD32+BC33-BL32)))</f>
        <v>121.88461538461537</v>
      </c>
      <c r="BE33" s="13">
        <f>BD33*VLOOKUP('Données projet'!$B$11,Paramètres!$A$1:$I$89,3,0)*VLOOKUP('Données projet'!$B$11,Paramètres!$A$1:$I$89,5,0)</f>
        <v>123.59099999999999</v>
      </c>
      <c r="BF33" s="13">
        <f t="shared" si="37"/>
        <v>32.511098372760657</v>
      </c>
      <c r="BG33" s="20">
        <f t="shared" si="7"/>
        <v>271.87782133255809</v>
      </c>
      <c r="BH33" s="59">
        <f t="shared" si="8"/>
        <v>565.2111546658914</v>
      </c>
      <c r="BI33" s="59">
        <f ca="1">AVERAGE(OFFSET($BH$3,0,0,'Données projet'!$E$11+1,1))-AVERAGE(OFFSET($H$3,0,0,'Données projet'!$E$11+1,1))</f>
        <v>312.29056285877169</v>
      </c>
      <c r="BJ33" s="59">
        <f t="shared" si="38"/>
        <v>233.85454224241693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146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145.99999999999997</v>
      </c>
      <c r="BZ33" s="13">
        <f>BY33*VLOOKUP('Données projet'!$B$12,Paramètres!$A$1:$I$89,3,0)*VLOOKUP('Données projet'!$B$12,Paramètres!$A$1:$I$89,5,0)</f>
        <v>116.15759999999999</v>
      </c>
      <c r="CA33" s="13">
        <f t="shared" si="39"/>
        <v>30.777132266613055</v>
      </c>
      <c r="CB33" s="20">
        <f t="shared" si="10"/>
        <v>255.91132536435109</v>
      </c>
      <c r="CC33" s="59">
        <f t="shared" si="11"/>
        <v>549.24465869768437</v>
      </c>
      <c r="CD33" s="59">
        <f ca="1">AVERAGE(OFFSET($CC$3,0,0,'Données projet'!$E$12+1,1))-AVERAGE(OFFSET($H$3,0,0,'Données projet'!$E$12+1,1))</f>
        <v>219.43439115440339</v>
      </c>
      <c r="CE33" s="59">
        <f t="shared" si="40"/>
        <v>217.8880462742099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2.12E-2</v>
      </c>
      <c r="CI33" s="16">
        <f>IF(ISNA(VLOOKUP(A33,'Données projet'!$A$113:$I$133,6,0)),0%,VLOOKUP(A33,'Données projet'!$A$113:$I$133,6,0)*VLOOKUP('Données projet'!$B$12,Paramètres!$A$1:$I$89,7,0))</f>
        <v>0.1537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0.52207846207652797</v>
      </c>
      <c r="CL33" s="21">
        <f>EXP(-LN(2)/25)*CL32+(1-EXP(-LN(2)/25))/(LN(2)/25)*Calculateur!CG33*Calculateur!CI33*VLOOKUP('Données projet'!$B$12,Paramètres!$A$1:$I$89,3,0)*0.475*44/12</f>
        <v>4.5624014006448359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5.0844798627213637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19.393589743589743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2"/>
        <v>390.39295875481668</v>
      </c>
      <c r="R34" s="59">
        <f t="shared" si="0"/>
        <v>683.72629208814999</v>
      </c>
      <c r="S34" s="59">
        <f ca="1">AVERAGE(OFFSET($R$3,0,0,'Données projet'!$E$9+1,1))-AVERAGE(OFFSET($H$3,0,0,'Données projet'!$E$9+1,1))</f>
        <v>261.10917418234862</v>
      </c>
      <c r="T34" s="59">
        <f t="shared" si="34"/>
        <v>327.65691162938418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8.0564102564102633</v>
      </c>
      <c r="AI34" s="13">
        <f>IF('Données projet'!$A$62&gt;35,AI33+AH34-AQ33,IF(A34&lt;'Données projet'!$A$62,$AF$205^A34,IF(A34='Données projet'!$A$62,'Données projet'!$B$62,AI33+AH34-AQ33)))</f>
        <v>129.94102564102565</v>
      </c>
      <c r="AJ34" s="13">
        <f>AI34*VLOOKUP('Données projet'!$B$10,Paramètres!$A$1:$I$89,3,0)*VLOOKUP('Données projet'!$B$10,Paramètres!$A$1:$I$89,5,0)</f>
        <v>129.73312000000001</v>
      </c>
      <c r="AK34" s="13">
        <f t="shared" si="35"/>
        <v>33.934683826388301</v>
      </c>
      <c r="AL34" s="20">
        <f t="shared" si="4"/>
        <v>285.0547583309596</v>
      </c>
      <c r="AM34" s="59">
        <f t="shared" si="5"/>
        <v>578.38809166429292</v>
      </c>
      <c r="AN34" s="59">
        <f ca="1">AVERAGE(OFFSET($AM$3,0,0,'Données projet'!$E$10+1,1))-AVERAGE(OFFSET($H$3,0,0,'Données projet'!$E$10+1,1))</f>
        <v>306.38046634523579</v>
      </c>
      <c r="AO34" s="59">
        <f t="shared" si="36"/>
        <v>229.77251296097705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8.0564102564102633</v>
      </c>
      <c r="BD34" s="12">
        <f>IF('Données projet'!$A$88&gt;35,BD33+BC34-BL33,IF(A34&lt;'Données projet'!$A$88,$BA$205^A34,IF(A34='Données projet'!$A$88,'Données projet'!$B$88,BD33+BC34-BL33)))</f>
        <v>129.94102564102565</v>
      </c>
      <c r="BE34" s="13">
        <f>BD34*VLOOKUP('Données projet'!$B$11,Paramètres!$A$1:$I$89,3,0)*VLOOKUP('Données projet'!$B$11,Paramètres!$A$1:$I$89,5,0)</f>
        <v>131.76020000000003</v>
      </c>
      <c r="BF34" s="13">
        <f t="shared" si="37"/>
        <v>34.402770960054035</v>
      </c>
      <c r="BG34" s="20">
        <f t="shared" si="7"/>
        <v>289.40050775542744</v>
      </c>
      <c r="BH34" s="59">
        <f t="shared" si="8"/>
        <v>582.73384108876076</v>
      </c>
      <c r="BI34" s="59">
        <f ca="1">AVERAGE(OFFSET($BH$3,0,0,'Données projet'!$E$11+1,1))-AVERAGE(OFFSET($H$3,0,0,'Données projet'!$E$11+1,1))</f>
        <v>312.29056285877169</v>
      </c>
      <c r="BJ34" s="59">
        <f t="shared" si="38"/>
        <v>233.85454224241693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10.8</v>
      </c>
      <c r="BY34" s="12">
        <f>IF('Données projet'!$A$114&gt;35,BY33+BX34-CG33,IF(A34&lt;'Données projet'!$A$114,$BV$205^A34,IF(A34='Données projet'!$A$114,'Données projet'!$B$114,BY33+BX34-CG33)))</f>
        <v>128.79999999999998</v>
      </c>
      <c r="BZ34" s="13">
        <f>BY34*VLOOKUP('Données projet'!$B$12,Paramètres!$A$1:$I$89,3,0)*VLOOKUP('Données projet'!$B$12,Paramètres!$A$1:$I$89,5,0)</f>
        <v>102.47327999999999</v>
      </c>
      <c r="CA34" s="13">
        <f t="shared" si="39"/>
        <v>27.550381949314474</v>
      </c>
      <c r="CB34" s="20">
        <f t="shared" si="10"/>
        <v>226.45787789505599</v>
      </c>
      <c r="CC34" s="59">
        <f t="shared" si="11"/>
        <v>519.79121122838933</v>
      </c>
      <c r="CD34" s="59">
        <f ca="1">AVERAGE(OFFSET($CC$3,0,0,'Données projet'!$E$12+1,1))-AVERAGE(OFFSET($H$3,0,0,'Données projet'!$E$12+1,1))</f>
        <v>219.43439115440339</v>
      </c>
      <c r="CE34" s="59">
        <f t="shared" si="40"/>
        <v>217.8880462742099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0.51184082187162616</v>
      </c>
      <c r="CL34" s="21">
        <f>EXP(-LN(2)/25)*CL33+(1-EXP(-LN(2)/25))/(LN(2)/25)*Calculateur!CG34*Calculateur!CI34*VLOOKUP('Données projet'!$B$12,Paramètres!$A$1:$I$89,3,0)*0.475*44/12</f>
        <v>4.437642294417941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4.9494831162895672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19.393589743589743</v>
      </c>
      <c r="M35" s="12">
        <f t="array" ref="M35">INDEX(L:L,MIN(IF(ISNUMBER(L35:L231),ROW(L35:L231),"")))</f>
        <v>19.393589743589743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ref="Q35:Q66" si="53">(O35+P35)*0.475*44/12</f>
        <v>415.07179480856439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261.10917418234862</v>
      </c>
      <c r="T35" s="59">
        <f t="shared" si="34"/>
        <v>327.65691162938418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8.0564102564102633</v>
      </c>
      <c r="AI35" s="13">
        <f>IF('Données projet'!$A$62&gt;35,AI34+AH35-AQ34,IF(A35&lt;'Données projet'!$A$62,$AF$205^A35,IF(A35='Données projet'!$A$62,'Données projet'!$B$62,AI34+AH35-AQ34)))</f>
        <v>137.99743589743591</v>
      </c>
      <c r="AJ35" s="13">
        <f>AI35*VLOOKUP('Données projet'!$B$10,Paramètres!$A$1:$I$89,3,0)*VLOOKUP('Données projet'!$B$10,Paramètres!$A$1:$I$89,5,0)</f>
        <v>137.77664000000001</v>
      </c>
      <c r="AK35" s="13">
        <f t="shared" si="35"/>
        <v>35.787191360042712</v>
      </c>
      <c r="AL35" s="20">
        <f t="shared" si="4"/>
        <v>302.29033961874109</v>
      </c>
      <c r="AM35" s="59">
        <f t="shared" si="5"/>
        <v>595.62367295207446</v>
      </c>
      <c r="AN35" s="59">
        <f ca="1">AVERAGE(OFFSET($AM$3,0,0,'Données projet'!$E$10+1,1))-AVERAGE(OFFSET($H$3,0,0,'Données projet'!$E$10+1,1))</f>
        <v>306.38046634523579</v>
      </c>
      <c r="AO35" s="59">
        <f t="shared" si="36"/>
        <v>229.77251296097705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8.0564102564102633</v>
      </c>
      <c r="BD35" s="12">
        <f>IF('Données projet'!$A$88&gt;35,BD34+BC35-BL34,IF(A35&lt;'Données projet'!$A$88,$BA$205^A35,IF(A35='Données projet'!$A$88,'Données projet'!$B$88,BD34+BC35-BL34)))</f>
        <v>137.99743589743591</v>
      </c>
      <c r="BE35" s="13">
        <f>BD35*VLOOKUP('Données projet'!$B$11,Paramètres!$A$1:$I$89,3,0)*VLOOKUP('Données projet'!$B$11,Paramètres!$A$1:$I$89,5,0)</f>
        <v>139.92940000000002</v>
      </c>
      <c r="BF35" s="13">
        <f t="shared" si="37"/>
        <v>36.280831551634627</v>
      </c>
      <c r="BG35" s="20">
        <f t="shared" si="7"/>
        <v>306.89948661909699</v>
      </c>
      <c r="BH35" s="59">
        <f t="shared" si="8"/>
        <v>600.2328199524303</v>
      </c>
      <c r="BI35" s="59">
        <f ca="1">AVERAGE(OFFSET($BH$3,0,0,'Données projet'!$E$11+1,1))-AVERAGE(OFFSET($H$3,0,0,'Données projet'!$E$11+1,1))</f>
        <v>312.29056285877169</v>
      </c>
      <c r="BJ35" s="59">
        <f t="shared" si="38"/>
        <v>233.85454224241693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10.8</v>
      </c>
      <c r="BY35" s="12">
        <f>IF('Données projet'!$A$114&gt;35,BY34+BX35-CG34,IF(A35&lt;'Données projet'!$A$114,$BV$205^A35,IF(A35='Données projet'!$A$114,'Données projet'!$B$114,BY34+BX35-CG34)))</f>
        <v>139.6</v>
      </c>
      <c r="BZ35" s="13">
        <f>BY35*VLOOKUP('Données projet'!$B$12,Paramètres!$A$1:$I$89,3,0)*VLOOKUP('Données projet'!$B$12,Paramètres!$A$1:$I$89,5,0)</f>
        <v>111.06576</v>
      </c>
      <c r="CA35" s="13">
        <f t="shared" si="39"/>
        <v>29.581944857062648</v>
      </c>
      <c r="CB35" s="20">
        <f t="shared" si="10"/>
        <v>244.96141929271744</v>
      </c>
      <c r="CC35" s="59">
        <f t="shared" si="11"/>
        <v>538.29475262605069</v>
      </c>
      <c r="CD35" s="59">
        <f ca="1">AVERAGE(OFFSET($CC$3,0,0,'Données projet'!$E$12+1,1))-AVERAGE(OFFSET($H$3,0,0,'Données projet'!$E$12+1,1))</f>
        <v>219.43439115440339</v>
      </c>
      <c r="CE35" s="59">
        <f t="shared" si="40"/>
        <v>217.8880462742099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0.50180393554679847</v>
      </c>
      <c r="CL35" s="21">
        <f>EXP(-LN(2)/25)*CL34+(1-EXP(-LN(2)/25))/(LN(2)/25)*Calculateur!CG35*Calculateur!CI35*VLOOKUP('Données projet'!$B$12,Paramètres!$A$1:$I$89,3,0)*0.475*44/12</f>
        <v>4.3162947325116168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4.8180986680584148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si="33"/>
        <v>41.484757610477807</v>
      </c>
      <c r="Q36" s="20">
        <f t="shared" si="53"/>
        <v>355.88364575491568</v>
      </c>
      <c r="R36" s="59">
        <f t="shared" si="0"/>
        <v>649.21697908824899</v>
      </c>
      <c r="S36" s="59">
        <f ca="1">AVERAGE(OFFSET($R$3,0,0,'Données projet'!$E$9+1,1))-AVERAGE(OFFSET($H$3,0,0,'Données projet'!$E$9+1,1))</f>
        <v>261.10917418234862</v>
      </c>
      <c r="T36" s="59">
        <f t="shared" si="34"/>
        <v>327.65691162938418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8.0564102564102633</v>
      </c>
      <c r="AI36" s="13">
        <f>IF('Données projet'!$A$62&gt;35,AI35+AH36-AQ35,IF(A36&lt;'Données projet'!$A$62,$AF$205^A36,IF(A36='Données projet'!$A$62,'Données projet'!$B$62,AI35+AH36-AQ35)))</f>
        <v>146.05384615384617</v>
      </c>
      <c r="AJ36" s="13">
        <f>AI36*VLOOKUP('Données projet'!$B$10,Paramètres!$A$1:$I$89,3,0)*VLOOKUP('Données projet'!$B$10,Paramètres!$A$1:$I$89,5,0)</f>
        <v>145.82016000000002</v>
      </c>
      <c r="AK36" s="13">
        <f t="shared" si="35"/>
        <v>37.627145267505668</v>
      </c>
      <c r="AL36" s="20">
        <f t="shared" si="4"/>
        <v>319.50405667423905</v>
      </c>
      <c r="AM36" s="59">
        <f t="shared" si="5"/>
        <v>612.83739000757237</v>
      </c>
      <c r="AN36" s="59">
        <f ca="1">AVERAGE(OFFSET($AM$3,0,0,'Données projet'!$E$10+1,1))-AVERAGE(OFFSET($H$3,0,0,'Données projet'!$E$10+1,1))</f>
        <v>306.38046634523579</v>
      </c>
      <c r="AO36" s="59">
        <f t="shared" si="36"/>
        <v>229.77251296097705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8.0564102564102633</v>
      </c>
      <c r="BD36" s="12">
        <f>IF('Données projet'!$A$88&gt;35,BD35+BC36-BL35,IF(A36&lt;'Données projet'!$A$88,$BA$205^A36,IF(A36='Données projet'!$A$88,'Données projet'!$B$88,BD35+BC36-BL35)))</f>
        <v>146.05384615384617</v>
      </c>
      <c r="BE36" s="13">
        <f>BD36*VLOOKUP('Données projet'!$B$11,Paramètres!$A$1:$I$89,3,0)*VLOOKUP('Données projet'!$B$11,Paramètres!$A$1:$I$89,5,0)</f>
        <v>148.09860000000003</v>
      </c>
      <c r="BF36" s="13">
        <f t="shared" si="37"/>
        <v>38.146165355224731</v>
      </c>
      <c r="BG36" s="20">
        <f t="shared" si="7"/>
        <v>324.37629966034979</v>
      </c>
      <c r="BH36" s="59">
        <f t="shared" si="8"/>
        <v>617.70963299368304</v>
      </c>
      <c r="BI36" s="59">
        <f ca="1">AVERAGE(OFFSET($BH$3,0,0,'Données projet'!$E$11+1,1))-AVERAGE(OFFSET($H$3,0,0,'Données projet'!$E$11+1,1))</f>
        <v>312.29056285877169</v>
      </c>
      <c r="BJ36" s="59">
        <f t="shared" si="38"/>
        <v>233.85454224241693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10.8</v>
      </c>
      <c r="BY36" s="12">
        <f>IF('Données projet'!$A$114&gt;35,BY35+BX36-CG35,IF(A36&lt;'Données projet'!$A$114,$BV$205^A36,IF(A36='Données projet'!$A$114,'Données projet'!$B$114,BY35+BX36-CG35)))</f>
        <v>150.4</v>
      </c>
      <c r="BZ36" s="13">
        <f>BY36*VLOOKUP('Données projet'!$B$12,Paramètres!$A$1:$I$89,3,0)*VLOOKUP('Données projet'!$B$12,Paramètres!$A$1:$I$89,5,0)</f>
        <v>119.65824000000002</v>
      </c>
      <c r="CA36" s="13">
        <f t="shared" si="39"/>
        <v>31.595276160231336</v>
      </c>
      <c r="CB36" s="20">
        <f t="shared" si="10"/>
        <v>263.43320731240294</v>
      </c>
      <c r="CC36" s="59">
        <f t="shared" si="11"/>
        <v>556.76654064573631</v>
      </c>
      <c r="CD36" s="59">
        <f ca="1">AVERAGE(OFFSET($CC$3,0,0,'Données projet'!$E$12+1,1))-AVERAGE(OFFSET($H$3,0,0,'Données projet'!$E$12+1,1))</f>
        <v>219.43439115440339</v>
      </c>
      <c r="CE36" s="59">
        <f t="shared" si="40"/>
        <v>217.8880462742099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0.49196386644090451</v>
      </c>
      <c r="CL36" s="21">
        <f>EXP(-LN(2)/25)*CL35+(1-EXP(-LN(2)/25))/(LN(2)/25)*Calculateur!CG36*Calculateur!CI36*VLOOKUP('Données projet'!$B$12,Paramètres!$A$1:$I$89,3,0)*0.475*44/12</f>
        <v>4.198265426067012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4.690229292507917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33"/>
        <v>43.905974872685142</v>
      </c>
      <c r="Q37" s="20">
        <f t="shared" si="53"/>
        <v>378.90598373659333</v>
      </c>
      <c r="R37" s="59">
        <f t="shared" si="0"/>
        <v>672.23931706992664</v>
      </c>
      <c r="S37" s="59">
        <f ca="1">AVERAGE(OFFSET($R$3,0,0,'Données projet'!$E$9+1,1))-AVERAGE(OFFSET($H$3,0,0,'Données projet'!$E$9+1,1))</f>
        <v>261.10917418234862</v>
      </c>
      <c r="T37" s="59">
        <f t="shared" si="34"/>
        <v>327.65691162938418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8.0564102564102633</v>
      </c>
      <c r="AI37" s="13">
        <f>IF('Données projet'!$A$62&gt;35,AI36+AH37-AQ36,IF(A37&lt;'Données projet'!$A$62,$AF$205^A37,IF(A37='Données projet'!$A$62,'Données projet'!$B$62,AI36+AH37-AQ36)))</f>
        <v>154.11025641025643</v>
      </c>
      <c r="AJ37" s="13">
        <f>AI37*VLOOKUP('Données projet'!$B$10,Paramètres!$A$1:$I$89,3,0)*VLOOKUP('Données projet'!$B$10,Paramètres!$A$1:$I$89,5,0)</f>
        <v>153.86368000000002</v>
      </c>
      <c r="AK37" s="13">
        <f t="shared" si="35"/>
        <v>39.455316943454889</v>
      </c>
      <c r="AL37" s="20">
        <f t="shared" si="4"/>
        <v>336.69725300985061</v>
      </c>
      <c r="AM37" s="59">
        <f t="shared" si="5"/>
        <v>630.03058634318393</v>
      </c>
      <c r="AN37" s="59">
        <f ca="1">AVERAGE(OFFSET($AM$3,0,0,'Données projet'!$E$10+1,1))-AVERAGE(OFFSET($H$3,0,0,'Données projet'!$E$10+1,1))</f>
        <v>306.38046634523579</v>
      </c>
      <c r="AO37" s="59">
        <f t="shared" si="36"/>
        <v>229.77251296097705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8.0564102564102633</v>
      </c>
      <c r="BD37" s="12">
        <f>IF('Données projet'!$A$88&gt;35,BD36+BC37-BL36,IF(A37&lt;'Données projet'!$A$88,$BA$205^A37,IF(A37='Données projet'!$A$88,'Données projet'!$B$88,BD36+BC37-BL36)))</f>
        <v>154.11025641025643</v>
      </c>
      <c r="BE37" s="13">
        <f>BD37*VLOOKUP('Données projet'!$B$11,Paramètres!$A$1:$I$89,3,0)*VLOOKUP('Données projet'!$B$11,Paramètres!$A$1:$I$89,5,0)</f>
        <v>156.26780000000002</v>
      </c>
      <c r="BF37" s="13">
        <f t="shared" si="37"/>
        <v>39.999554405940785</v>
      </c>
      <c r="BG37" s="20">
        <f t="shared" si="7"/>
        <v>341.83230892368027</v>
      </c>
      <c r="BH37" s="59">
        <f t="shared" si="8"/>
        <v>635.16564225701359</v>
      </c>
      <c r="BI37" s="59">
        <f ca="1">AVERAGE(OFFSET($BH$3,0,0,'Données projet'!$E$11+1,1))-AVERAGE(OFFSET($H$3,0,0,'Données projet'!$E$11+1,1))</f>
        <v>312.29056285877169</v>
      </c>
      <c r="BJ37" s="59">
        <f t="shared" si="38"/>
        <v>233.85454224241693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10.8</v>
      </c>
      <c r="BY37" s="12">
        <f>IF('Données projet'!$A$114&gt;35,BY36+BX37-CG36,IF(A37&lt;'Données projet'!$A$114,$BV$205^A37,IF(A37='Données projet'!$A$114,'Données projet'!$B$114,BY36+BX37-CG36)))</f>
        <v>161.20000000000002</v>
      </c>
      <c r="BZ37" s="13">
        <f>BY37*VLOOKUP('Données projet'!$B$12,Paramètres!$A$1:$I$89,3,0)*VLOOKUP('Données projet'!$B$12,Paramètres!$A$1:$I$89,5,0)</f>
        <v>128.25072</v>
      </c>
      <c r="CA37" s="13">
        <f t="shared" si="39"/>
        <v>33.591833937449593</v>
      </c>
      <c r="CB37" s="20">
        <f t="shared" si="10"/>
        <v>281.875781441058</v>
      </c>
      <c r="CC37" s="59">
        <f t="shared" si="11"/>
        <v>575.20911477439131</v>
      </c>
      <c r="CD37" s="59">
        <f ca="1">AVERAGE(OFFSET($CC$3,0,0,'Données projet'!$E$12+1,1))-AVERAGE(OFFSET($H$3,0,0,'Données projet'!$E$12+1,1))</f>
        <v>219.43439115440339</v>
      </c>
      <c r="CE37" s="59">
        <f t="shared" si="40"/>
        <v>217.8880462742099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0.48231675508832761</v>
      </c>
      <c r="CL37" s="21">
        <f>EXP(-LN(2)/25)*CL36+(1-EXP(-LN(2)/25))/(LN(2)/25)*Calculateur!CG37*Calculateur!CI37*VLOOKUP('Données projet'!$B$12,Paramètres!$A$1:$I$89,3,0)*0.475*44/12</f>
        <v>4.0834636372140265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4.5657803923023543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261.10917418234862</v>
      </c>
      <c r="T38" s="59">
        <f t="shared" si="34"/>
        <v>327.65691162938418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162.16666666666669</v>
      </c>
      <c r="AG38" s="12">
        <f>VLOOKUP(A38,'Données projet'!$A$61:$I$81,9,0)</f>
        <v>8.0564102564102633</v>
      </c>
      <c r="AH38" s="12">
        <f t="array" ref="AH38">INDEX(AG:AG,MIN(IF(ISNUMBER(AG38:AG234),ROW(AG38:AG234),"")))</f>
        <v>8.0564102564102633</v>
      </c>
      <c r="AI38" s="13">
        <f>IF('Données projet'!$A$62&gt;35,AI37+AH38-AQ37,IF(A38&lt;'Données projet'!$A$62,$AF$205^A38,IF(A38='Données projet'!$A$62,'Données projet'!$B$62,AI37+AH38-AQ37)))</f>
        <v>162.16666666666669</v>
      </c>
      <c r="AJ38" s="13">
        <f>AI38*VLOOKUP('Données projet'!$B$10,Paramètres!$A$1:$I$89,3,0)*VLOOKUP('Données projet'!$B$10,Paramètres!$A$1:$I$89,5,0)</f>
        <v>161.90720000000002</v>
      </c>
      <c r="AK38" s="13">
        <f t="shared" si="35"/>
        <v>41.272392574999586</v>
      </c>
      <c r="AL38" s="20">
        <f t="shared" si="4"/>
        <v>353.87112373479096</v>
      </c>
      <c r="AM38" s="59">
        <f t="shared" si="5"/>
        <v>647.20445706812427</v>
      </c>
      <c r="AN38" s="59">
        <f ca="1">AVERAGE(OFFSET($AM$3,0,0,'Données projet'!$E$10+1,1))-AVERAGE(OFFSET($H$3,0,0,'Données projet'!$E$10+1,1))</f>
        <v>306.38046634523579</v>
      </c>
      <c r="AO38" s="59">
        <f t="shared" si="36"/>
        <v>229.77251296097705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60.602564102564102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162.16666666666669</v>
      </c>
      <c r="BB38" s="12">
        <f>VLOOKUP(A38,'Données projet'!$A$87:$I$107,9,0)</f>
        <v>8.0564102564102633</v>
      </c>
      <c r="BC38" s="12">
        <f t="array" ref="BC38">INDEX(BB:BB,MIN(IF(ISNUMBER(BB38:BB234),ROW(BB38:BB234),"")))</f>
        <v>8.0564102564102633</v>
      </c>
      <c r="BD38" s="12">
        <f>IF('Données projet'!$A$88&gt;35,BD37+BC38-BL37,IF(A38&lt;'Données projet'!$A$88,$BA$205^A38,IF(A38='Données projet'!$A$88,'Données projet'!$B$88,BD37+BC38-BL37)))</f>
        <v>162.16666666666669</v>
      </c>
      <c r="BE38" s="13">
        <f>BD38*VLOOKUP('Données projet'!$B$11,Paramètres!$A$1:$I$89,3,0)*VLOOKUP('Données projet'!$B$11,Paramètres!$A$1:$I$89,5,0)</f>
        <v>164.43700000000001</v>
      </c>
      <c r="BF38" s="13">
        <f t="shared" si="37"/>
        <v>41.841694355997333</v>
      </c>
      <c r="BG38" s="20">
        <f t="shared" si="7"/>
        <v>359.26872600336202</v>
      </c>
      <c r="BH38" s="59">
        <f t="shared" si="8"/>
        <v>652.60205933669533</v>
      </c>
      <c r="BI38" s="59">
        <f ca="1">AVERAGE(OFFSET($BH$3,0,0,'Données projet'!$E$11+1,1))-AVERAGE(OFFSET($H$3,0,0,'Données projet'!$E$11+1,1))</f>
        <v>312.29056285877169</v>
      </c>
      <c r="BJ38" s="59">
        <f t="shared" si="38"/>
        <v>233.85454224241693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60.602564102564102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172</v>
      </c>
      <c r="BW38" s="12">
        <f>VLOOKUP(A38,'Données projet'!$A$113:$I$133,9,0)</f>
        <v>10.8</v>
      </c>
      <c r="BX38" s="12">
        <f t="array" ref="BX38">INDEX(BW:BW,MIN(IF(ISNUMBER(BW38:BW234),ROW(BW38:BW234),"")))</f>
        <v>10.8</v>
      </c>
      <c r="BY38" s="12">
        <f>IF('Données projet'!$A$114&gt;35,BY37+BX38-CG37,IF(A38&lt;'Données projet'!$A$114,$BV$205^A38,IF(A38='Données projet'!$A$114,'Données projet'!$B$114,BY37+BX38-CG37)))</f>
        <v>172.00000000000003</v>
      </c>
      <c r="BZ38" s="13">
        <f>BY38*VLOOKUP('Données projet'!$B$12,Paramètres!$A$1:$I$89,3,0)*VLOOKUP('Données projet'!$B$12,Paramètres!$A$1:$I$89,5,0)</f>
        <v>136.84320000000002</v>
      </c>
      <c r="CA38" s="13">
        <f t="shared" si="39"/>
        <v>35.572869837729648</v>
      </c>
      <c r="CB38" s="20">
        <f t="shared" si="10"/>
        <v>300.2913216340458</v>
      </c>
      <c r="CC38" s="59">
        <f t="shared" si="11"/>
        <v>593.62465496737912</v>
      </c>
      <c r="CD38" s="59">
        <f ca="1">AVERAGE(OFFSET($CC$3,0,0,'Données projet'!$E$12+1,1))-AVERAGE(OFFSET($H$3,0,0,'Données projet'!$E$12+1,1))</f>
        <v>219.43439115440339</v>
      </c>
      <c r="CE38" s="59">
        <f t="shared" si="40"/>
        <v>217.8880462742099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28</v>
      </c>
      <c r="CH38" s="16">
        <f>IF(ISNA(VLOOKUP(A38,'Données projet'!$A$113:$I$133,5,0)),0%,VLOOKUP(A38,'Données projet'!$A$113:$I$133,5,0)*VLOOKUP('Données projet'!$B$12,Paramètres!$A$1:$I$89,7,0))</f>
        <v>9.5399999999999999E-2</v>
      </c>
      <c r="CI38" s="16">
        <f>IF(ISNA(VLOOKUP(A38,'Données projet'!$A$113:$I$133,6,0)),0%,VLOOKUP(A38,'Données projet'!$A$113:$I$133,6,0)*VLOOKUP('Données projet'!$B$12,Paramètres!$A$1:$I$89,7,0))</f>
        <v>0.22790000000000002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2.822211897049594</v>
      </c>
      <c r="CL38" s="21">
        <f>EXP(-LN(2)/25)*CL37+(1-EXP(-LN(2)/25))/(LN(2)/25)*Calculateur!CG38*Calculateur!CI38*VLOOKUP('Données projet'!$B$12,Paramètres!$A$1:$I$89,3,0)*0.475*44/12</f>
        <v>9.5620466419357015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12.384258538985296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33"/>
        <v>48.697130705157392</v>
      </c>
      <c r="Q39" s="20">
        <f t="shared" si="53"/>
        <v>424.86134931148257</v>
      </c>
      <c r="R39" s="59">
        <f t="shared" si="0"/>
        <v>718.19468264481588</v>
      </c>
      <c r="S39" s="59">
        <f ca="1">AVERAGE(OFFSET($R$3,0,0,'Données projet'!$E$9+1,1))-AVERAGE(OFFSET($H$3,0,0,'Données projet'!$E$9+1,1))</f>
        <v>261.10917418234862</v>
      </c>
      <c r="T39" s="59">
        <f t="shared" si="34"/>
        <v>327.65691162938418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9.3141025641025621</v>
      </c>
      <c r="AI39" s="13">
        <f>IF('Données projet'!$A$62&gt;35,AI38+AH39-AQ38,IF(A39&lt;'Données projet'!$A$62,$AF$205^A39,IF(A39='Données projet'!$A$62,'Données projet'!$B$62,AI38+AH39-AQ38)))</f>
        <v>110.87820512820515</v>
      </c>
      <c r="AJ39" s="13">
        <f>AI39*VLOOKUP('Données projet'!$B$10,Paramètres!$A$1:$I$89,3,0)*VLOOKUP('Données projet'!$B$10,Paramètres!$A$1:$I$89,5,0)</f>
        <v>110.70080000000004</v>
      </c>
      <c r="AK39" s="13">
        <f t="shared" si="35"/>
        <v>29.496037441167175</v>
      </c>
      <c r="AL39" s="20">
        <f t="shared" si="4"/>
        <v>244.17615854336623</v>
      </c>
      <c r="AM39" s="59">
        <f t="shared" si="5"/>
        <v>537.50949187669949</v>
      </c>
      <c r="AN39" s="59">
        <f ca="1">AVERAGE(OFFSET($AM$3,0,0,'Données projet'!$E$10+1,1))-AVERAGE(OFFSET($H$3,0,0,'Données projet'!$E$10+1,1))</f>
        <v>306.38046634523579</v>
      </c>
      <c r="AO39" s="59">
        <f t="shared" si="36"/>
        <v>229.77251296097705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9.3141025641025621</v>
      </c>
      <c r="BD39" s="12">
        <f>IF('Données projet'!$A$88&gt;35,BD38+BC39-BL38,IF(A39&lt;'Données projet'!$A$88,$BA$205^A39,IF(A39='Données projet'!$A$88,'Données projet'!$B$88,BD38+BC39-BL38)))</f>
        <v>110.87820512820515</v>
      </c>
      <c r="BE39" s="13">
        <f>BD39*VLOOKUP('Données projet'!$B$11,Paramètres!$A$1:$I$89,3,0)*VLOOKUP('Données projet'!$B$11,Paramètres!$A$1:$I$89,5,0)</f>
        <v>112.43050000000004</v>
      </c>
      <c r="BF39" s="13">
        <f t="shared" si="37"/>
        <v>29.902898919263393</v>
      </c>
      <c r="BG39" s="20">
        <f t="shared" si="7"/>
        <v>247.89733645105048</v>
      </c>
      <c r="BH39" s="59">
        <f t="shared" si="8"/>
        <v>541.23066978438374</v>
      </c>
      <c r="BI39" s="59">
        <f ca="1">AVERAGE(OFFSET($BH$3,0,0,'Données projet'!$E$11+1,1))-AVERAGE(OFFSET($H$3,0,0,'Données projet'!$E$11+1,1))</f>
        <v>312.29056285877169</v>
      </c>
      <c r="BJ39" s="59">
        <f t="shared" si="38"/>
        <v>233.85454224241693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153.60000000000002</v>
      </c>
      <c r="BZ39" s="13">
        <f>BY39*VLOOKUP('Données projet'!$B$12,Paramètres!$A$1:$I$89,3,0)*VLOOKUP('Données projet'!$B$12,Paramètres!$A$1:$I$89,5,0)</f>
        <v>122.20416000000003</v>
      </c>
      <c r="CA39" s="13">
        <f t="shared" si="39"/>
        <v>32.188537573102472</v>
      </c>
      <c r="CB39" s="20">
        <f t="shared" si="10"/>
        <v>268.90061493982017</v>
      </c>
      <c r="CC39" s="59">
        <f t="shared" si="11"/>
        <v>562.23394827315349</v>
      </c>
      <c r="CD39" s="59">
        <f ca="1">AVERAGE(OFFSET($CC$3,0,0,'Données projet'!$E$12+1,1))-AVERAGE(OFFSET($H$3,0,0,'Données projet'!$E$12+1,1))</f>
        <v>219.43439115440339</v>
      </c>
      <c r="CE39" s="59">
        <f t="shared" si="40"/>
        <v>217.8880462742099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2.7668700431277364</v>
      </c>
      <c r="CL39" s="21">
        <f>EXP(-LN(2)/25)*CL38+(1-EXP(-LN(2)/25))/(LN(2)/25)*Calculateur!CG39*Calculateur!CI39*VLOOKUP('Données projet'!$B$12,Paramètres!$A$1:$I$89,3,0)*0.475*44/12</f>
        <v>9.3005719736657912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12.067442016793528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261.10917418234862</v>
      </c>
      <c r="T40" s="59">
        <f t="shared" si="34"/>
        <v>327.65691162938418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9.3141025641025621</v>
      </c>
      <c r="AI40" s="13">
        <f>IF('Données projet'!$A$62&gt;35,AI39+AH40-AQ39,IF(A40&lt;'Données projet'!$A$62,$AF$205^A40,IF(A40='Données projet'!$A$62,'Données projet'!$B$62,AI39+AH40-AQ39)))</f>
        <v>120.19230769230771</v>
      </c>
      <c r="AJ40" s="13">
        <f>AI40*VLOOKUP('Données projet'!$B$10,Paramètres!$A$1:$I$89,3,0)*VLOOKUP('Données projet'!$B$10,Paramètres!$A$1:$I$89,5,0)</f>
        <v>120.00000000000001</v>
      </c>
      <c r="AK40" s="13">
        <f t="shared" si="35"/>
        <v>31.67499929412304</v>
      </c>
      <c r="AL40" s="20">
        <f t="shared" si="4"/>
        <v>264.16729043726428</v>
      </c>
      <c r="AM40" s="59">
        <f t="shared" si="5"/>
        <v>557.5006237705976</v>
      </c>
      <c r="AN40" s="59">
        <f ca="1">AVERAGE(OFFSET($AM$3,0,0,'Données projet'!$E$10+1,1))-AVERAGE(OFFSET($H$3,0,0,'Données projet'!$E$10+1,1))</f>
        <v>306.38046634523579</v>
      </c>
      <c r="AO40" s="59">
        <f t="shared" si="36"/>
        <v>229.77251296097705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9.3141025641025621</v>
      </c>
      <c r="BD40" s="12">
        <f>IF('Données projet'!$A$88&gt;35,BD39+BC40-BL39,IF(A40&lt;'Données projet'!$A$88,$BA$205^A40,IF(A40='Données projet'!$A$88,'Données projet'!$B$88,BD39+BC40-BL39)))</f>
        <v>120.19230769230771</v>
      </c>
      <c r="BE40" s="13">
        <f>BD40*VLOOKUP('Données projet'!$B$11,Paramètres!$A$1:$I$89,3,0)*VLOOKUP('Données projet'!$B$11,Paramètres!$A$1:$I$89,5,0)</f>
        <v>121.87500000000003</v>
      </c>
      <c r="BF40" s="13">
        <f t="shared" si="37"/>
        <v>32.111916865075052</v>
      </c>
      <c r="BG40" s="20">
        <f t="shared" si="7"/>
        <v>268.19388020667242</v>
      </c>
      <c r="BH40" s="59">
        <f t="shared" si="8"/>
        <v>561.52721354000573</v>
      </c>
      <c r="BI40" s="59">
        <f ca="1">AVERAGE(OFFSET($BH$3,0,0,'Données projet'!$E$11+1,1))-AVERAGE(OFFSET($H$3,0,0,'Données projet'!$E$11+1,1))</f>
        <v>312.29056285877169</v>
      </c>
      <c r="BJ40" s="59">
        <f t="shared" si="38"/>
        <v>233.85454224241693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163.20000000000002</v>
      </c>
      <c r="BZ40" s="13">
        <f>BY40*VLOOKUP('Données projet'!$B$12,Paramètres!$A$1:$I$89,3,0)*VLOOKUP('Données projet'!$B$12,Paramètres!$A$1:$I$89,5,0)</f>
        <v>129.84192000000002</v>
      </c>
      <c r="CA40" s="13">
        <f t="shared" si="39"/>
        <v>33.959829099416851</v>
      </c>
      <c r="CB40" s="20">
        <f t="shared" si="10"/>
        <v>285.288046348151</v>
      </c>
      <c r="CC40" s="59">
        <f t="shared" si="11"/>
        <v>578.62137968148431</v>
      </c>
      <c r="CD40" s="59">
        <f ca="1">AVERAGE(OFFSET($CC$3,0,0,'Données projet'!$E$12+1,1))-AVERAGE(OFFSET($H$3,0,0,'Données projet'!$E$12+1,1))</f>
        <v>219.43439115440339</v>
      </c>
      <c r="CE40" s="59">
        <f t="shared" si="40"/>
        <v>217.8880462742099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2.7126134092060887</v>
      </c>
      <c r="CL40" s="21">
        <f>EXP(-LN(2)/25)*CL39+(1-EXP(-LN(2)/25))/(LN(2)/25)*Calculateur!CG40*Calculateur!CI40*VLOOKUP('Données projet'!$B$12,Paramètres!$A$1:$I$89,3,0)*0.475*44/12</f>
        <v>9.0462473439500766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11.758860753156165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261.10917418234862</v>
      </c>
      <c r="T41" s="59">
        <f t="shared" si="34"/>
        <v>327.65691162938418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9.3141025641025621</v>
      </c>
      <c r="AI41" s="13">
        <f>IF('Données projet'!$A$62&gt;35,AI40+AH41-AQ40,IF(A41&lt;'Données projet'!$A$62,$AF$205^A41,IF(A41='Données projet'!$A$62,'Données projet'!$B$62,AI40+AH41-AQ40)))</f>
        <v>129.50641025641028</v>
      </c>
      <c r="AJ41" s="13">
        <f>AI41*VLOOKUP('Données projet'!$B$10,Paramètres!$A$1:$I$89,3,0)*VLOOKUP('Données projet'!$B$10,Paramètres!$A$1:$I$89,5,0)</f>
        <v>129.29920000000001</v>
      </c>
      <c r="AK41" s="13">
        <f t="shared" si="35"/>
        <v>33.8343741204149</v>
      </c>
      <c r="AL41" s="20">
        <f t="shared" si="4"/>
        <v>284.12430825972262</v>
      </c>
      <c r="AM41" s="59">
        <f t="shared" si="5"/>
        <v>577.457641593056</v>
      </c>
      <c r="AN41" s="59">
        <f ca="1">AVERAGE(OFFSET($AM$3,0,0,'Données projet'!$E$10+1,1))-AVERAGE(OFFSET($H$3,0,0,'Données projet'!$E$10+1,1))</f>
        <v>306.38046634523579</v>
      </c>
      <c r="AO41" s="59">
        <f t="shared" si="36"/>
        <v>229.77251296097705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9.3141025641025621</v>
      </c>
      <c r="BD41" s="12">
        <f>IF('Données projet'!$A$88&gt;35,BD40+BC41-BL40,IF(A41&lt;'Données projet'!$A$88,$BA$205^A41,IF(A41='Données projet'!$A$88,'Données projet'!$B$88,BD40+BC41-BL40)))</f>
        <v>129.50641025641028</v>
      </c>
      <c r="BE41" s="13">
        <f>BD41*VLOOKUP('Données projet'!$B$11,Paramètres!$A$1:$I$89,3,0)*VLOOKUP('Données projet'!$B$11,Paramètres!$A$1:$I$89,5,0)</f>
        <v>131.31950000000003</v>
      </c>
      <c r="BF41" s="13">
        <f t="shared" si="37"/>
        <v>34.301077605333901</v>
      </c>
      <c r="BG41" s="20">
        <f t="shared" si="7"/>
        <v>288.45583932928992</v>
      </c>
      <c r="BH41" s="59">
        <f t="shared" si="8"/>
        <v>581.78917266262329</v>
      </c>
      <c r="BI41" s="59">
        <f ca="1">AVERAGE(OFFSET($BH$3,0,0,'Données projet'!$E$11+1,1))-AVERAGE(OFFSET($H$3,0,0,'Données projet'!$E$11+1,1))</f>
        <v>312.29056285877169</v>
      </c>
      <c r="BJ41" s="59">
        <f t="shared" si="38"/>
        <v>233.85454224241693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172.8</v>
      </c>
      <c r="BZ41" s="13">
        <f>BY41*VLOOKUP('Données projet'!$B$12,Paramètres!$A$1:$I$89,3,0)*VLOOKUP('Données projet'!$B$12,Paramètres!$A$1:$I$89,5,0)</f>
        <v>137.47968000000003</v>
      </c>
      <c r="CA41" s="13">
        <f t="shared" si="39"/>
        <v>35.719026553355249</v>
      </c>
      <c r="CB41" s="20">
        <f t="shared" si="10"/>
        <v>301.65441391376049</v>
      </c>
      <c r="CC41" s="59">
        <f t="shared" si="11"/>
        <v>594.98774724709381</v>
      </c>
      <c r="CD41" s="59">
        <f ca="1">AVERAGE(OFFSET($CC$3,0,0,'Données projet'!$E$12+1,1))-AVERAGE(OFFSET($H$3,0,0,'Données projet'!$E$12+1,1))</f>
        <v>219.43439115440339</v>
      </c>
      <c r="CE41" s="59">
        <f t="shared" si="40"/>
        <v>217.8880462742099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2.6594207147823656</v>
      </c>
      <c r="CL41" s="21">
        <f>EXP(-LN(2)/25)*CL40+(1-EXP(-LN(2)/25))/(LN(2)/25)*Calculateur!CG41*Calculateur!CI41*VLOOKUP('Données projet'!$B$12,Paramètres!$A$1:$I$89,3,0)*0.475*44/12</f>
        <v>8.7988772346082893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11.458297949390655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261.10917418234862</v>
      </c>
      <c r="T42" s="59">
        <f t="shared" si="34"/>
        <v>327.65691162938418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9.3141025641025621</v>
      </c>
      <c r="AI42" s="13">
        <f>IF('Données projet'!$A$62&gt;35,AI41+AH42-AQ41,IF(A42&lt;'Données projet'!$A$62,$AF$205^A42,IF(A42='Données projet'!$A$62,'Données projet'!$B$62,AI41+AH42-AQ41)))</f>
        <v>138.82051282051285</v>
      </c>
      <c r="AJ42" s="13">
        <f>AI42*VLOOKUP('Données projet'!$B$10,Paramètres!$A$1:$I$89,3,0)*VLOOKUP('Données projet'!$B$10,Paramètres!$A$1:$I$89,5,0)</f>
        <v>138.59840000000003</v>
      </c>
      <c r="AK42" s="13">
        <f t="shared" si="35"/>
        <v>35.975730830069566</v>
      </c>
      <c r="AL42" s="20">
        <f t="shared" si="4"/>
        <v>304.04994452903782</v>
      </c>
      <c r="AM42" s="59">
        <f t="shared" si="5"/>
        <v>597.38327786237119</v>
      </c>
      <c r="AN42" s="59">
        <f ca="1">AVERAGE(OFFSET($AM$3,0,0,'Données projet'!$E$10+1,1))-AVERAGE(OFFSET($H$3,0,0,'Données projet'!$E$10+1,1))</f>
        <v>306.38046634523579</v>
      </c>
      <c r="AO42" s="59">
        <f t="shared" si="36"/>
        <v>229.77251296097705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9.3141025641025621</v>
      </c>
      <c r="BD42" s="12">
        <f>IF('Données projet'!$A$88&gt;35,BD41+BC42-BL41,IF(A42&lt;'Données projet'!$A$88,$BA$205^A42,IF(A42='Données projet'!$A$88,'Données projet'!$B$88,BD41+BC42-BL41)))</f>
        <v>138.82051282051285</v>
      </c>
      <c r="BE42" s="13">
        <f>BD42*VLOOKUP('Données projet'!$B$11,Paramètres!$A$1:$I$89,3,0)*VLOOKUP('Données projet'!$B$11,Paramètres!$A$1:$I$89,5,0)</f>
        <v>140.76400000000004</v>
      </c>
      <c r="BF42" s="13">
        <f t="shared" si="37"/>
        <v>36.471971691246594</v>
      </c>
      <c r="BG42" s="20">
        <f t="shared" si="7"/>
        <v>308.68598402892115</v>
      </c>
      <c r="BH42" s="59">
        <f t="shared" si="8"/>
        <v>602.01931736225447</v>
      </c>
      <c r="BI42" s="59">
        <f ca="1">AVERAGE(OFFSET($BH$3,0,0,'Données projet'!$E$11+1,1))-AVERAGE(OFFSET($H$3,0,0,'Données projet'!$E$11+1,1))</f>
        <v>312.29056285877169</v>
      </c>
      <c r="BJ42" s="59">
        <f t="shared" si="38"/>
        <v>233.85454224241693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182.4</v>
      </c>
      <c r="BZ42" s="13">
        <f>BY42*VLOOKUP('Données projet'!$B$12,Paramètres!$A$1:$I$89,3,0)*VLOOKUP('Données projet'!$B$12,Paramètres!$A$1:$I$89,5,0)</f>
        <v>145.11744000000002</v>
      </c>
      <c r="CA42" s="13">
        <f t="shared" si="39"/>
        <v>37.466878406916173</v>
      </c>
      <c r="CB42" s="20">
        <f t="shared" si="10"/>
        <v>318.00102122537902</v>
      </c>
      <c r="CC42" s="59">
        <f t="shared" si="11"/>
        <v>611.33435455871233</v>
      </c>
      <c r="CD42" s="59">
        <f ca="1">AVERAGE(OFFSET($CC$3,0,0,'Données projet'!$E$12+1,1))-AVERAGE(OFFSET($H$3,0,0,'Données projet'!$E$12+1,1))</f>
        <v>219.43439115440339</v>
      </c>
      <c r="CE42" s="59">
        <f t="shared" si="40"/>
        <v>217.8880462742099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2.6072710966519517</v>
      </c>
      <c r="CL42" s="21">
        <f>EXP(-LN(2)/25)*CL41+(1-EXP(-LN(2)/25))/(LN(2)/25)*Calculateur!CG42*Calculateur!CI42*VLOOKUP('Données projet'!$B$12,Paramètres!$A$1:$I$89,3,0)*0.475*44/12</f>
        <v>8.5582714739150827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11.165542570567034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33"/>
        <v>58.101995988242535</v>
      </c>
      <c r="Q43" s="20">
        <f t="shared" si="53"/>
        <v>516.46302801285583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261.10917418234862</v>
      </c>
      <c r="T43" s="59">
        <f t="shared" si="34"/>
        <v>327.65691162938418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9.3141025641025621</v>
      </c>
      <c r="AI43" s="13">
        <f>IF('Données projet'!$A$62&gt;35,AI42+AH43-AQ42,IF(A43&lt;'Données projet'!$A$62,$AF$205^A43,IF(A43='Données projet'!$A$62,'Données projet'!$B$62,AI42+AH43-AQ42)))</f>
        <v>148.13461538461542</v>
      </c>
      <c r="AJ43" s="13">
        <f>AI43*VLOOKUP('Données projet'!$B$10,Paramètres!$A$1:$I$89,3,0)*VLOOKUP('Données projet'!$B$10,Paramètres!$A$1:$I$89,5,0)</f>
        <v>147.89760000000004</v>
      </c>
      <c r="AK43" s="13">
        <f t="shared" si="35"/>
        <v>38.100415890288154</v>
      </c>
      <c r="AL43" s="20">
        <f t="shared" si="4"/>
        <v>323.94654434225191</v>
      </c>
      <c r="AM43" s="59">
        <f t="shared" si="5"/>
        <v>617.27987767558523</v>
      </c>
      <c r="AN43" s="59">
        <f ca="1">AVERAGE(OFFSET($AM$3,0,0,'Données projet'!$E$10+1,1))-AVERAGE(OFFSET($H$3,0,0,'Données projet'!$E$10+1,1))</f>
        <v>306.38046634523579</v>
      </c>
      <c r="AO43" s="59">
        <f t="shared" si="36"/>
        <v>229.77251296097705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9.3141025641025621</v>
      </c>
      <c r="BD43" s="12">
        <f>IF('Données projet'!$A$88&gt;35,BD42+BC43-BL42,IF(A43&lt;'Données projet'!$A$88,$BA$205^A43,IF(A43='Données projet'!$A$88,'Données projet'!$B$88,BD42+BC43-BL42)))</f>
        <v>148.13461538461542</v>
      </c>
      <c r="BE43" s="13">
        <f>BD43*VLOOKUP('Données projet'!$B$11,Paramètres!$A$1:$I$89,3,0)*VLOOKUP('Données projet'!$B$11,Paramètres!$A$1:$I$89,5,0)</f>
        <v>150.20850000000004</v>
      </c>
      <c r="BF43" s="13">
        <f t="shared" si="37"/>
        <v>38.625964162869636</v>
      </c>
      <c r="BG43" s="20">
        <f t="shared" si="7"/>
        <v>328.88669175033129</v>
      </c>
      <c r="BH43" s="59">
        <f t="shared" si="8"/>
        <v>622.22002508366461</v>
      </c>
      <c r="BI43" s="59">
        <f ca="1">AVERAGE(OFFSET($BH$3,0,0,'Données projet'!$E$11+1,1))-AVERAGE(OFFSET($H$3,0,0,'Données projet'!$E$11+1,1))</f>
        <v>312.29056285877169</v>
      </c>
      <c r="BJ43" s="59">
        <f t="shared" si="38"/>
        <v>233.85454224241693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192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192</v>
      </c>
      <c r="BZ43" s="13">
        <f>BY43*VLOOKUP('Données projet'!$B$12,Paramètres!$A$1:$I$89,3,0)*VLOOKUP('Données projet'!$B$12,Paramètres!$A$1:$I$89,5,0)</f>
        <v>152.7552</v>
      </c>
      <c r="CA43" s="13">
        <f t="shared" si="39"/>
        <v>39.204049895729561</v>
      </c>
      <c r="CB43" s="20">
        <f t="shared" si="10"/>
        <v>334.32902690172892</v>
      </c>
      <c r="CC43" s="59">
        <f t="shared" si="11"/>
        <v>627.66236023506224</v>
      </c>
      <c r="CD43" s="59">
        <f ca="1">AVERAGE(OFFSET($CC$3,0,0,'Données projet'!$E$12+1,1))-AVERAGE(OFFSET($H$3,0,0,'Données projet'!$E$12+1,1))</f>
        <v>219.43439115440339</v>
      </c>
      <c r="CE43" s="59">
        <f t="shared" si="40"/>
        <v>217.8880462742099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28</v>
      </c>
      <c r="CH43" s="16">
        <f>IF(ISNA(VLOOKUP(A43,'Données projet'!$A$113:$I$133,5,0)),0%,VLOOKUP(A43,'Données projet'!$A$113:$I$133,5,0)*VLOOKUP('Données projet'!$B$12,Paramètres!$A$1:$I$89,7,0))</f>
        <v>0.20670000000000002</v>
      </c>
      <c r="CI43" s="16">
        <f>IF(ISNA(VLOOKUP(A43,'Données projet'!$A$113:$I$133,6,0)),0%,VLOOKUP(A43,'Données projet'!$A$113:$I$133,6,0)*VLOOKUP('Données projet'!$B$12,Paramètres!$A$1:$I$89,7,0))</f>
        <v>0.20670000000000002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7.6464091059710979</v>
      </c>
      <c r="CL43" s="21">
        <f>EXP(-LN(2)/25)*CL42+(1-EXP(-LN(2)/25))/(LN(2)/25)*Calculateur!CG43*Calculateur!CI43*VLOOKUP('Données projet'!$B$12,Paramètres!$A$1:$I$89,3,0)*0.475*44/12</f>
        <v>13.39446778277841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21.040876888749509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261.10917418234862</v>
      </c>
      <c r="T44" s="59">
        <f t="shared" si="34"/>
        <v>327.65691162938418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157.44871794871796</v>
      </c>
      <c r="AG44" s="12">
        <f>VLOOKUP(A44,'Données projet'!$A$61:$I$81,9,0)</f>
        <v>9.3141025641025621</v>
      </c>
      <c r="AH44" s="12">
        <f t="array" ref="AH44">INDEX(AG:AG,MIN(IF(ISNUMBER(AG44:AG240),ROW(AG44:AG240),"")))</f>
        <v>9.3141025641025621</v>
      </c>
      <c r="AI44" s="13">
        <f>IF('Données projet'!$A$62&gt;35,AI43+AH44-AQ43,IF(A44&lt;'Données projet'!$A$62,$AF$205^A44,IF(A44='Données projet'!$A$62,'Données projet'!$B$62,AI43+AH44-AQ43)))</f>
        <v>157.44871794871798</v>
      </c>
      <c r="AJ44" s="13">
        <f>AI44*VLOOKUP('Données projet'!$B$10,Paramètres!$A$1:$I$89,3,0)*VLOOKUP('Données projet'!$B$10,Paramètres!$A$1:$I$89,5,0)</f>
        <v>157.19680000000005</v>
      </c>
      <c r="AK44" s="13">
        <f t="shared" si="35"/>
        <v>40.209596876785241</v>
      </c>
      <c r="AL44" s="20">
        <f t="shared" si="4"/>
        <v>343.8161412270677</v>
      </c>
      <c r="AM44" s="59">
        <f t="shared" si="5"/>
        <v>637.14947456040102</v>
      </c>
      <c r="AN44" s="59">
        <f ca="1">AVERAGE(OFFSET($AM$3,0,0,'Données projet'!$E$10+1,1))-AVERAGE(OFFSET($H$3,0,0,'Données projet'!$E$10+1,1))</f>
        <v>306.38046634523579</v>
      </c>
      <c r="AO44" s="59">
        <f t="shared" si="36"/>
        <v>229.77251296097705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38.512820512820511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157.44871794871796</v>
      </c>
      <c r="BB44" s="12">
        <f>VLOOKUP(A44,'Données projet'!$A$87:$I$107,9,0)</f>
        <v>9.3141025641025621</v>
      </c>
      <c r="BC44" s="12">
        <f t="array" ref="BC44">INDEX(BB:BB,MIN(IF(ISNUMBER(BB44:BB240),ROW(BB44:BB240),"")))</f>
        <v>9.3141025641025621</v>
      </c>
      <c r="BD44" s="12">
        <f>IF('Données projet'!$A$88&gt;35,BD43+BC44-BL43,IF(A44&lt;'Données projet'!$A$88,$BA$205^A44,IF(A44='Données projet'!$A$88,'Données projet'!$B$88,BD43+BC44-BL43)))</f>
        <v>157.44871794871798</v>
      </c>
      <c r="BE44" s="13">
        <f>BD44*VLOOKUP('Données projet'!$B$11,Paramètres!$A$1:$I$89,3,0)*VLOOKUP('Données projet'!$B$11,Paramètres!$A$1:$I$89,5,0)</f>
        <v>159.65300000000005</v>
      </c>
      <c r="BF44" s="13">
        <f t="shared" si="37"/>
        <v>40.764238701185349</v>
      </c>
      <c r="BG44" s="20">
        <f t="shared" si="7"/>
        <v>349.06002407123123</v>
      </c>
      <c r="BH44" s="59">
        <f t="shared" si="8"/>
        <v>642.39335740456454</v>
      </c>
      <c r="BI44" s="59">
        <f ca="1">AVERAGE(OFFSET($BH$3,0,0,'Données projet'!$E$11+1,1))-AVERAGE(OFFSET($H$3,0,0,'Données projet'!$E$11+1,1))</f>
        <v>312.29056285877169</v>
      </c>
      <c r="BJ44" s="59">
        <f t="shared" si="38"/>
        <v>233.85454224241693</v>
      </c>
      <c r="BK44" s="15">
        <f>IF(ISNA(VLOOKUP(A44,'Données projet'!$A$87:$I$107,3,0)),0,VLOOKUP(A44,'Données projet'!$A$87:$I$107,3,0))</f>
        <v>2</v>
      </c>
      <c r="BL44" s="15">
        <f>IF(ISNA(VLOOKUP(A44,'Données projet'!$A$87:$I$107,4,0)),0,VLOOKUP(A44,'Données projet'!$A$87:$I$107,4,0))</f>
        <v>38.512820512820511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172.2</v>
      </c>
      <c r="BZ44" s="13">
        <f>BY44*VLOOKUP('Données projet'!$B$12,Paramètres!$A$1:$I$89,3,0)*VLOOKUP('Données projet'!$B$12,Paramètres!$A$1:$I$89,5,0)</f>
        <v>137.00232</v>
      </c>
      <c r="CA44" s="13">
        <f t="shared" si="39"/>
        <v>35.609416420931346</v>
      </c>
      <c r="CB44" s="20">
        <f t="shared" si="10"/>
        <v>300.63210759978875</v>
      </c>
      <c r="CC44" s="59">
        <f t="shared" si="11"/>
        <v>593.96544093312207</v>
      </c>
      <c r="CD44" s="59">
        <f ca="1">AVERAGE(OFFSET($CC$3,0,0,'Données projet'!$E$12+1,1))-AVERAGE(OFFSET($H$3,0,0,'Données projet'!$E$12+1,1))</f>
        <v>219.43439115440339</v>
      </c>
      <c r="CE44" s="59">
        <f t="shared" si="40"/>
        <v>217.8880462742099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7.4964676872520428</v>
      </c>
      <c r="CL44" s="21">
        <f>EXP(-LN(2)/25)*CL43+(1-EXP(-LN(2)/25))/(LN(2)/25)*Calculateur!CG44*Calculateur!CI44*VLOOKUP('Données projet'!$B$12,Paramètres!$A$1:$I$89,3,0)*0.475*44/12</f>
        <v>13.028195356873887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20.52466304412593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33"/>
        <v>50.010698447793764</v>
      </c>
      <c r="Q45" s="20">
        <f t="shared" si="53"/>
        <v>437.54828979657418</v>
      </c>
      <c r="R45" s="59">
        <f t="shared" si="0"/>
        <v>730.88162312990744</v>
      </c>
      <c r="S45" s="59">
        <f ca="1">AVERAGE(OFFSET($R$3,0,0,'Données projet'!$E$9+1,1))-AVERAGE(OFFSET($H$3,0,0,'Données projet'!$E$9+1,1))</f>
        <v>261.10917418234862</v>
      </c>
      <c r="T45" s="59">
        <f t="shared" si="34"/>
        <v>327.65691162938418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9.3452380952380913</v>
      </c>
      <c r="AI45" s="13">
        <f>IF('Données projet'!$A$62&gt;35,AI44+AH45-AQ44,IF(A45&lt;'Données projet'!$A$62,$AF$205^A45,IF(A45='Données projet'!$A$62,'Données projet'!$B$62,AI44+AH45-AQ44)))</f>
        <v>128.28113553113559</v>
      </c>
      <c r="AJ45" s="13">
        <f>AI45*VLOOKUP('Données projet'!$B$10,Paramètres!$A$1:$I$89,3,0)*VLOOKUP('Données projet'!$B$10,Paramètres!$A$1:$I$89,5,0)</f>
        <v>128.07588571428576</v>
      </c>
      <c r="AK45" s="13">
        <f t="shared" si="35"/>
        <v>33.551367899322727</v>
      </c>
      <c r="AL45" s="20">
        <f t="shared" si="4"/>
        <v>281.50080004370147</v>
      </c>
      <c r="AM45" s="59">
        <f t="shared" si="5"/>
        <v>574.83413337703473</v>
      </c>
      <c r="AN45" s="59">
        <f ca="1">AVERAGE(OFFSET($AM$3,0,0,'Données projet'!$E$10+1,1))-AVERAGE(OFFSET($H$3,0,0,'Données projet'!$E$10+1,1))</f>
        <v>306.38046634523579</v>
      </c>
      <c r="AO45" s="59">
        <f t="shared" si="36"/>
        <v>229.77251296097705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9.3452380952380913</v>
      </c>
      <c r="BD45" s="12">
        <f>IF('Données projet'!$A$88&gt;35,BD44+BC45-BL44,IF(A45&lt;'Données projet'!$A$88,$BA$205^A45,IF(A45='Données projet'!$A$88,'Données projet'!$B$88,BD44+BC45-BL44)))</f>
        <v>128.28113553113559</v>
      </c>
      <c r="BE45" s="13">
        <f>BD45*VLOOKUP('Données projet'!$B$11,Paramètres!$A$1:$I$89,3,0)*VLOOKUP('Données projet'!$B$11,Paramètres!$A$1:$I$89,5,0)</f>
        <v>130.07707142857151</v>
      </c>
      <c r="BF45" s="13">
        <f t="shared" si="37"/>
        <v>34.014167662270417</v>
      </c>
      <c r="BG45" s="20">
        <f t="shared" si="7"/>
        <v>285.79224141654964</v>
      </c>
      <c r="BH45" s="59">
        <f t="shared" si="8"/>
        <v>579.12557474988296</v>
      </c>
      <c r="BI45" s="59">
        <f ca="1">AVERAGE(OFFSET($BH$3,0,0,'Données projet'!$E$11+1,1))-AVERAGE(OFFSET($H$3,0,0,'Données projet'!$E$11+1,1))</f>
        <v>312.29056285877169</v>
      </c>
      <c r="BJ45" s="59">
        <f t="shared" si="38"/>
        <v>233.85454224241693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180.39999999999998</v>
      </c>
      <c r="BZ45" s="13">
        <f>BY45*VLOOKUP('Données projet'!$B$12,Paramètres!$A$1:$I$89,3,0)*VLOOKUP('Données projet'!$B$12,Paramètres!$A$1:$I$89,5,0)</f>
        <v>143.52624</v>
      </c>
      <c r="CA45" s="13">
        <f t="shared" si="39"/>
        <v>37.103644337236275</v>
      </c>
      <c r="CB45" s="20">
        <f t="shared" si="10"/>
        <v>314.59704855401981</v>
      </c>
      <c r="CC45" s="59">
        <f t="shared" si="11"/>
        <v>607.93038188735318</v>
      </c>
      <c r="CD45" s="59">
        <f ca="1">AVERAGE(OFFSET($CC$3,0,0,'Données projet'!$E$12+1,1))-AVERAGE(OFFSET($H$3,0,0,'Données projet'!$E$12+1,1))</f>
        <v>219.43439115440339</v>
      </c>
      <c r="CE45" s="59">
        <f t="shared" si="40"/>
        <v>217.8880462742099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7.3494665282988327</v>
      </c>
      <c r="CL45" s="21">
        <f>EXP(-LN(2)/25)*CL44+(1-EXP(-LN(2)/25))/(LN(2)/25)*Calculateur!CG45*Calculateur!CI45*VLOOKUP('Données projet'!$B$12,Paramètres!$A$1:$I$89,3,0)*0.475*44/12</f>
        <v>12.671938669717154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20.021405198015987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33"/>
        <v>52.003257134609832</v>
      </c>
      <c r="Q46" s="20">
        <f t="shared" si="53"/>
        <v>456.86173367611218</v>
      </c>
      <c r="R46" s="59">
        <f t="shared" si="0"/>
        <v>750.19506700944544</v>
      </c>
      <c r="S46" s="59">
        <f ca="1">AVERAGE(OFFSET($R$3,0,0,'Données projet'!$E$9+1,1))-AVERAGE(OFFSET($H$3,0,0,'Données projet'!$E$9+1,1))</f>
        <v>261.10917418234862</v>
      </c>
      <c r="T46" s="59">
        <f t="shared" si="34"/>
        <v>327.65691162938418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9.3452380952380913</v>
      </c>
      <c r="AI46" s="13">
        <f>IF('Données projet'!$A$62&gt;35,AI45+AH46-AQ45,IF(A46&lt;'Données projet'!$A$62,$AF$205^A46,IF(A46='Données projet'!$A$62,'Données projet'!$B$62,AI45+AH46-AQ45)))</f>
        <v>137.62637362637369</v>
      </c>
      <c r="AJ46" s="13">
        <f>AI46*VLOOKUP('Données projet'!$B$10,Paramètres!$A$1:$I$89,3,0)*VLOOKUP('Données projet'!$B$10,Paramètres!$A$1:$I$89,5,0)</f>
        <v>137.4061714285715</v>
      </c>
      <c r="AK46" s="13">
        <f t="shared" si="35"/>
        <v>35.702150600280575</v>
      </c>
      <c r="AL46" s="20">
        <f t="shared" si="4"/>
        <v>301.49699420025064</v>
      </c>
      <c r="AM46" s="59">
        <f t="shared" si="5"/>
        <v>594.83032753358395</v>
      </c>
      <c r="AN46" s="59">
        <f ca="1">AVERAGE(OFFSET($AM$3,0,0,'Données projet'!$E$10+1,1))-AVERAGE(OFFSET($H$3,0,0,'Données projet'!$E$10+1,1))</f>
        <v>306.38046634523579</v>
      </c>
      <c r="AO46" s="59">
        <f t="shared" si="36"/>
        <v>229.77251296097705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9.3452380952380913</v>
      </c>
      <c r="BD46" s="12">
        <f>IF('Données projet'!$A$88&gt;35,BD45+BC46-BL45,IF(A46&lt;'Données projet'!$A$88,$BA$205^A46,IF(A46='Données projet'!$A$88,'Données projet'!$B$88,BD45+BC46-BL45)))</f>
        <v>137.62637362637369</v>
      </c>
      <c r="BE46" s="13">
        <f>BD46*VLOOKUP('Données projet'!$B$11,Paramètres!$A$1:$I$89,3,0)*VLOOKUP('Données projet'!$B$11,Paramètres!$A$1:$I$89,5,0)</f>
        <v>139.55314285714292</v>
      </c>
      <c r="BF46" s="13">
        <f t="shared" si="37"/>
        <v>36.19461775941739</v>
      </c>
      <c r="BG46" s="20">
        <f t="shared" si="7"/>
        <v>306.09401640717584</v>
      </c>
      <c r="BH46" s="59">
        <f t="shared" si="8"/>
        <v>599.42734974050916</v>
      </c>
      <c r="BI46" s="59">
        <f ca="1">AVERAGE(OFFSET($BH$3,0,0,'Données projet'!$E$11+1,1))-AVERAGE(OFFSET($H$3,0,0,'Données projet'!$E$11+1,1))</f>
        <v>312.29056285877169</v>
      </c>
      <c r="BJ46" s="59">
        <f t="shared" si="38"/>
        <v>233.85454224241693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188.59999999999997</v>
      </c>
      <c r="BZ46" s="13">
        <f>BY46*VLOOKUP('Données projet'!$B$12,Paramètres!$A$1:$I$89,3,0)*VLOOKUP('Données projet'!$B$12,Paramètres!$A$1:$I$89,5,0)</f>
        <v>150.05015999999998</v>
      </c>
      <c r="CA46" s="13">
        <f t="shared" si="39"/>
        <v>38.589984439024569</v>
      </c>
      <c r="CB46" s="20">
        <f t="shared" si="10"/>
        <v>328.54825156463437</v>
      </c>
      <c r="CC46" s="59">
        <f t="shared" si="11"/>
        <v>621.88158489796774</v>
      </c>
      <c r="CD46" s="59">
        <f ca="1">AVERAGE(OFFSET($CC$3,0,0,'Données projet'!$E$12+1,1))-AVERAGE(OFFSET($H$3,0,0,'Données projet'!$E$12+1,1))</f>
        <v>219.43439115440339</v>
      </c>
      <c r="CE46" s="59">
        <f t="shared" si="40"/>
        <v>217.8880462742099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7.2053479724108422</v>
      </c>
      <c r="CL46" s="21">
        <f>EXP(-LN(2)/25)*CL45+(1-EXP(-LN(2)/25))/(LN(2)/25)*Calculateur!CG46*Calculateur!CI46*VLOOKUP('Données projet'!$B$12,Paramètres!$A$1:$I$89,3,0)*0.475*44/12</f>
        <v>12.325423840405445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19.530771812816287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33"/>
        <v>53.985805930473333</v>
      </c>
      <c r="Q47" s="20">
        <f t="shared" si="53"/>
        <v>476.15774366224105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261.10917418234862</v>
      </c>
      <c r="T47" s="59">
        <f t="shared" si="34"/>
        <v>327.65691162938418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9.3452380952380913</v>
      </c>
      <c r="AI47" s="13">
        <f>IF('Données projet'!$A$62&gt;35,AI46+AH47-AQ46,IF(A47&lt;'Données projet'!$A$62,$AF$205^A47,IF(A47='Données projet'!$A$62,'Données projet'!$B$62,AI46+AH47-AQ46)))</f>
        <v>146.97161172161179</v>
      </c>
      <c r="AJ47" s="13">
        <f>AI47*VLOOKUP('Données projet'!$B$10,Paramètres!$A$1:$I$89,3,0)*VLOOKUP('Données projet'!$B$10,Paramètres!$A$1:$I$89,5,0)</f>
        <v>146.73645714285723</v>
      </c>
      <c r="AK47" s="13">
        <f t="shared" si="35"/>
        <v>37.835986983424483</v>
      </c>
      <c r="AL47" s="20">
        <f t="shared" si="4"/>
        <v>321.46367351994064</v>
      </c>
      <c r="AM47" s="59">
        <f t="shared" si="5"/>
        <v>614.79700685327396</v>
      </c>
      <c r="AN47" s="59">
        <f ca="1">AVERAGE(OFFSET($AM$3,0,0,'Données projet'!$E$10+1,1))-AVERAGE(OFFSET($H$3,0,0,'Données projet'!$E$10+1,1))</f>
        <v>306.38046634523579</v>
      </c>
      <c r="AO47" s="59">
        <f t="shared" si="36"/>
        <v>229.77251296097705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9.3452380952380913</v>
      </c>
      <c r="BD47" s="12">
        <f>IF('Données projet'!$A$88&gt;35,BD46+BC47-BL46,IF(A47&lt;'Données projet'!$A$88,$BA$205^A47,IF(A47='Données projet'!$A$88,'Données projet'!$B$88,BD46+BC47-BL46)))</f>
        <v>146.97161172161179</v>
      </c>
      <c r="BE47" s="13">
        <f>BD47*VLOOKUP('Données projet'!$B$11,Paramètres!$A$1:$I$89,3,0)*VLOOKUP('Données projet'!$B$11,Paramètres!$A$1:$I$89,5,0)</f>
        <v>149.02921428571437</v>
      </c>
      <c r="BF47" s="13">
        <f t="shared" si="37"/>
        <v>38.357887785185099</v>
      </c>
      <c r="BG47" s="20">
        <f t="shared" si="7"/>
        <v>326.36586944014988</v>
      </c>
      <c r="BH47" s="59">
        <f t="shared" si="8"/>
        <v>619.69920277348319</v>
      </c>
      <c r="BI47" s="59">
        <f ca="1">AVERAGE(OFFSET($BH$3,0,0,'Données projet'!$E$11+1,1))-AVERAGE(OFFSET($H$3,0,0,'Données projet'!$E$11+1,1))</f>
        <v>312.29056285877169</v>
      </c>
      <c r="BJ47" s="59">
        <f t="shared" si="38"/>
        <v>233.85454224241693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196.79999999999995</v>
      </c>
      <c r="BZ47" s="13">
        <f>BY47*VLOOKUP('Données projet'!$B$12,Paramètres!$A$1:$I$89,3,0)*VLOOKUP('Données projet'!$B$12,Paramètres!$A$1:$I$89,5,0)</f>
        <v>156.57407999999998</v>
      </c>
      <c r="CA47" s="13">
        <f t="shared" si="39"/>
        <v>40.068818872547467</v>
      </c>
      <c r="CB47" s="20">
        <f t="shared" si="10"/>
        <v>342.48638220302013</v>
      </c>
      <c r="CC47" s="59">
        <f t="shared" si="11"/>
        <v>635.81971553635344</v>
      </c>
      <c r="CD47" s="59">
        <f ca="1">AVERAGE(OFFSET($CC$3,0,0,'Données projet'!$E$12+1,1))-AVERAGE(OFFSET($H$3,0,0,'Données projet'!$E$12+1,1))</f>
        <v>219.43439115440339</v>
      </c>
      <c r="CE47" s="59">
        <f t="shared" si="40"/>
        <v>217.8880462742099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7.0640554935001756</v>
      </c>
      <c r="CL47" s="21">
        <f>EXP(-LN(2)/25)*CL46+(1-EXP(-LN(2)/25))/(LN(2)/25)*Calculateur!CG47*Calculateur!CI47*VLOOKUP('Données projet'!$B$12,Paramètres!$A$1:$I$89,3,0)*0.475*44/12</f>
        <v>11.988384477323688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19.052439970823862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33"/>
        <v>55.958807302542631</v>
      </c>
      <c r="Q48" s="20">
        <f t="shared" si="53"/>
        <v>495.4371252185951</v>
      </c>
      <c r="R48" s="59">
        <f t="shared" si="0"/>
        <v>788.77045855192841</v>
      </c>
      <c r="S48" s="59">
        <f ca="1">AVERAGE(OFFSET($R$3,0,0,'Données projet'!$E$9+1,1))-AVERAGE(OFFSET($H$3,0,0,'Données projet'!$E$9+1,1))</f>
        <v>261.10917418234862</v>
      </c>
      <c r="T48" s="59">
        <f t="shared" si="34"/>
        <v>327.65691162938418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9.3452380952380913</v>
      </c>
      <c r="AI48" s="13">
        <f>IF('Données projet'!$A$62&gt;35,AI47+AH48-AQ47,IF(A48&lt;'Données projet'!$A$62,$AF$205^A48,IF(A48='Données projet'!$A$62,'Données projet'!$B$62,AI47+AH48-AQ47)))</f>
        <v>156.3168498168499</v>
      </c>
      <c r="AJ48" s="13">
        <f>AI48*VLOOKUP('Données projet'!$B$10,Paramètres!$A$1:$I$89,3,0)*VLOOKUP('Données projet'!$B$10,Paramètres!$A$1:$I$89,5,0)</f>
        <v>156.06674285714294</v>
      </c>
      <c r="AK48" s="13">
        <f t="shared" si="35"/>
        <v>39.954077238777373</v>
      </c>
      <c r="AL48" s="20">
        <f t="shared" si="4"/>
        <v>341.40292833372791</v>
      </c>
      <c r="AM48" s="59">
        <f t="shared" si="5"/>
        <v>634.73626166706117</v>
      </c>
      <c r="AN48" s="59">
        <f ca="1">AVERAGE(OFFSET($AM$3,0,0,'Données projet'!$E$10+1,1))-AVERAGE(OFFSET($H$3,0,0,'Données projet'!$E$10+1,1))</f>
        <v>306.38046634523579</v>
      </c>
      <c r="AO48" s="59">
        <f t="shared" si="36"/>
        <v>229.77251296097705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9.3452380952380913</v>
      </c>
      <c r="BD48" s="12">
        <f>IF('Données projet'!$A$88&gt;35,BD47+BC48-BL47,IF(A48&lt;'Données projet'!$A$88,$BA$205^A48,IF(A48='Données projet'!$A$88,'Données projet'!$B$88,BD47+BC48-BL47)))</f>
        <v>156.3168498168499</v>
      </c>
      <c r="BE48" s="13">
        <f>BD48*VLOOKUP('Données projet'!$B$11,Paramètres!$A$1:$I$89,3,0)*VLOOKUP('Données projet'!$B$11,Paramètres!$A$1:$I$89,5,0)</f>
        <v>158.5052857142858</v>
      </c>
      <c r="BF48" s="13">
        <f t="shared" si="37"/>
        <v>40.505194484738432</v>
      </c>
      <c r="BG48" s="20">
        <f t="shared" si="7"/>
        <v>346.60991967996728</v>
      </c>
      <c r="BH48" s="59">
        <f t="shared" si="8"/>
        <v>639.94325301330059</v>
      </c>
      <c r="BI48" s="59">
        <f ca="1">AVERAGE(OFFSET($BH$3,0,0,'Données projet'!$E$11+1,1))-AVERAGE(OFFSET($H$3,0,0,'Données projet'!$E$11+1,1))</f>
        <v>312.29056285877169</v>
      </c>
      <c r="BJ48" s="59">
        <f t="shared" si="38"/>
        <v>233.85454224241693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205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204.99999999999994</v>
      </c>
      <c r="BZ48" s="13">
        <f>BY48*VLOOKUP('Données projet'!$B$12,Paramètres!$A$1:$I$89,3,0)*VLOOKUP('Données projet'!$B$12,Paramètres!$A$1:$I$89,5,0)</f>
        <v>163.09799999999996</v>
      </c>
      <c r="CA48" s="13">
        <f t="shared" si="39"/>
        <v>41.540496136845142</v>
      </c>
      <c r="CB48" s="20">
        <f t="shared" si="10"/>
        <v>356.4120474383385</v>
      </c>
      <c r="CC48" s="59">
        <f t="shared" si="11"/>
        <v>649.74538077167176</v>
      </c>
      <c r="CD48" s="59">
        <f ca="1">AVERAGE(OFFSET($CC$3,0,0,'Données projet'!$E$12+1,1))-AVERAGE(OFFSET($H$3,0,0,'Données projet'!$E$12+1,1))</f>
        <v>219.43439115440339</v>
      </c>
      <c r="CE48" s="59">
        <f t="shared" si="40"/>
        <v>217.8880462742099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22</v>
      </c>
      <c r="CH48" s="16">
        <f>IF(ISNA(VLOOKUP(A48,'Données projet'!$A$113:$I$133,5,0)),0%,VLOOKUP(A48,'Données projet'!$A$113:$I$133,5,0)*VLOOKUP('Données projet'!$B$12,Paramètres!$A$1:$I$89,7,0))</f>
        <v>0.31269999999999998</v>
      </c>
      <c r="CI48" s="16">
        <f>IF(ISNA(VLOOKUP(A48,'Données projet'!$A$113:$I$133,6,0)),0%,VLOOKUP(A48,'Données projet'!$A$113:$I$133,6,0)*VLOOKUP('Données projet'!$B$12,Paramètres!$A$1:$I$89,7,0))</f>
        <v>0.1431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12.976050136200808</v>
      </c>
      <c r="CL48" s="21">
        <f>EXP(-LN(2)/25)*CL47+(1-EXP(-LN(2)/25))/(LN(2)/25)*Calculateur!CG48*Calculateur!CI48*VLOOKUP('Données projet'!$B$12,Paramètres!$A$1:$I$89,3,0)*0.475*44/12</f>
        <v>14.418539751071341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27.394589887272147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261.10917418234862</v>
      </c>
      <c r="T49" s="59">
        <f t="shared" si="34"/>
        <v>327.65691162938418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9.3452380952380913</v>
      </c>
      <c r="AI49" s="13">
        <f>IF('Données projet'!$A$62&gt;35,AI48+AH49-AQ48,IF(A49&lt;'Données projet'!$A$62,$AF$205^A49,IF(A49='Données projet'!$A$62,'Données projet'!$B$62,AI48+AH49-AQ48)))</f>
        <v>165.662087912088</v>
      </c>
      <c r="AJ49" s="13">
        <f>AI49*VLOOKUP('Données projet'!$B$10,Paramètres!$A$1:$I$89,3,0)*VLOOKUP('Données projet'!$B$10,Paramètres!$A$1:$I$89,5,0)</f>
        <v>165.39702857142868</v>
      </c>
      <c r="AK49" s="13">
        <f t="shared" si="35"/>
        <v>42.057469944649775</v>
      </c>
      <c r="AL49" s="20">
        <f t="shared" si="4"/>
        <v>361.31658491550326</v>
      </c>
      <c r="AM49" s="59">
        <f t="shared" si="5"/>
        <v>654.64991824883657</v>
      </c>
      <c r="AN49" s="59">
        <f ca="1">AVERAGE(OFFSET($AM$3,0,0,'Données projet'!$E$10+1,1))-AVERAGE(OFFSET($H$3,0,0,'Données projet'!$E$10+1,1))</f>
        <v>306.38046634523579</v>
      </c>
      <c r="AO49" s="59">
        <f t="shared" si="36"/>
        <v>229.77251296097705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9.3452380952380913</v>
      </c>
      <c r="BD49" s="12">
        <f>IF('Données projet'!$A$88&gt;35,BD48+BC49-BL48,IF(A49&lt;'Données projet'!$A$88,$BA$205^A49,IF(A49='Données projet'!$A$88,'Données projet'!$B$88,BD48+BC49-BL48)))</f>
        <v>165.662087912088</v>
      </c>
      <c r="BE49" s="13">
        <f>BD49*VLOOKUP('Données projet'!$B$11,Paramètres!$A$1:$I$89,3,0)*VLOOKUP('Données projet'!$B$11,Paramètres!$A$1:$I$89,5,0)</f>
        <v>167.98135714285723</v>
      </c>
      <c r="BF49" s="13">
        <f t="shared" si="37"/>
        <v>42.637600900233188</v>
      </c>
      <c r="BG49" s="20">
        <f t="shared" si="7"/>
        <v>366.82801859171582</v>
      </c>
      <c r="BH49" s="59">
        <f t="shared" si="8"/>
        <v>660.16135192504908</v>
      </c>
      <c r="BI49" s="59">
        <f ca="1">AVERAGE(OFFSET($BH$3,0,0,'Données projet'!$E$11+1,1))-AVERAGE(OFFSET($H$3,0,0,'Données projet'!$E$11+1,1))</f>
        <v>312.29056285877169</v>
      </c>
      <c r="BJ49" s="59">
        <f t="shared" si="38"/>
        <v>233.85454224241693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190.19999999999993</v>
      </c>
      <c r="BZ49" s="13">
        <f>BY49*VLOOKUP('Données projet'!$B$12,Paramètres!$A$1:$I$89,3,0)*VLOOKUP('Données projet'!$B$12,Paramètres!$A$1:$I$89,5,0)</f>
        <v>151.32311999999996</v>
      </c>
      <c r="CA49" s="13">
        <f t="shared" si="39"/>
        <v>38.879115530839606</v>
      </c>
      <c r="CB49" s="20">
        <f t="shared" si="10"/>
        <v>331.26889354954557</v>
      </c>
      <c r="CC49" s="59">
        <f t="shared" si="11"/>
        <v>624.60222688287888</v>
      </c>
      <c r="CD49" s="59">
        <f ca="1">AVERAGE(OFFSET($CC$3,0,0,'Données projet'!$E$12+1,1))-AVERAGE(OFFSET($H$3,0,0,'Données projet'!$E$12+1,1))</f>
        <v>219.43439115440339</v>
      </c>
      <c r="CE49" s="59">
        <f t="shared" si="40"/>
        <v>217.8880462742099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12.72159770763899</v>
      </c>
      <c r="CL49" s="21">
        <f>EXP(-LN(2)/25)*CL48+(1-EXP(-LN(2)/25))/(LN(2)/25)*Calculateur!CG49*Calculateur!CI49*VLOOKUP('Données projet'!$B$12,Paramètres!$A$1:$I$89,3,0)*0.475*44/12</f>
        <v>14.024264023340244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26.745861730979236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261.10917418234862</v>
      </c>
      <c r="T50" s="59">
        <f t="shared" si="34"/>
        <v>327.65691162938418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9.3452380952380913</v>
      </c>
      <c r="AI50" s="13">
        <f>IF('Données projet'!$A$62&gt;35,AI49+AH50-AQ49,IF(A50&lt;'Données projet'!$A$62,$AF$205^A50,IF(A50='Données projet'!$A$62,'Données projet'!$B$62,AI49+AH50-AQ49)))</f>
        <v>175.0073260073261</v>
      </c>
      <c r="AJ50" s="13">
        <f>AI50*VLOOKUP('Données projet'!$B$10,Paramètres!$A$1:$I$89,3,0)*VLOOKUP('Données projet'!$B$10,Paramètres!$A$1:$I$89,5,0)</f>
        <v>174.72731428571439</v>
      </c>
      <c r="AK50" s="13">
        <f t="shared" si="35"/>
        <v>44.147088693836274</v>
      </c>
      <c r="AL50" s="20">
        <f t="shared" si="4"/>
        <v>381.20625185605076</v>
      </c>
      <c r="AM50" s="59">
        <f t="shared" si="5"/>
        <v>674.53958518938407</v>
      </c>
      <c r="AN50" s="59">
        <f ca="1">AVERAGE(OFFSET($AM$3,0,0,'Données projet'!$E$10+1,1))-AVERAGE(OFFSET($H$3,0,0,'Données projet'!$E$10+1,1))</f>
        <v>306.38046634523579</v>
      </c>
      <c r="AO50" s="59">
        <f t="shared" si="36"/>
        <v>229.77251296097705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9.3452380952380913</v>
      </c>
      <c r="BD50" s="12">
        <f>IF('Données projet'!$A$88&gt;35,BD49+BC50-BL49,IF(A50&lt;'Données projet'!$A$88,$BA$205^A50,IF(A50='Données projet'!$A$88,'Données projet'!$B$88,BD49+BC50-BL49)))</f>
        <v>175.0073260073261</v>
      </c>
      <c r="BE50" s="13">
        <f>BD50*VLOOKUP('Données projet'!$B$11,Paramètres!$A$1:$I$89,3,0)*VLOOKUP('Données projet'!$B$11,Paramètres!$A$1:$I$89,5,0)</f>
        <v>177.45742857142866</v>
      </c>
      <c r="BF50" s="13">
        <f t="shared" si="37"/>
        <v>44.75604336428804</v>
      </c>
      <c r="BG50" s="20">
        <f t="shared" si="7"/>
        <v>387.02179695470659</v>
      </c>
      <c r="BH50" s="59">
        <f t="shared" si="8"/>
        <v>680.35513028803985</v>
      </c>
      <c r="BI50" s="59">
        <f ca="1">AVERAGE(OFFSET($BH$3,0,0,'Données projet'!$E$11+1,1))-AVERAGE(OFFSET($H$3,0,0,'Données projet'!$E$11+1,1))</f>
        <v>312.29056285877169</v>
      </c>
      <c r="BJ50" s="59">
        <f t="shared" si="38"/>
        <v>233.85454224241693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197.39999999999992</v>
      </c>
      <c r="BZ50" s="13">
        <f>BY50*VLOOKUP('Données projet'!$B$12,Paramètres!$A$1:$I$89,3,0)*VLOOKUP('Données projet'!$B$12,Paramètres!$A$1:$I$89,5,0)</f>
        <v>157.05143999999996</v>
      </c>
      <c r="CA50" s="13">
        <f t="shared" si="39"/>
        <v>40.176741230099708</v>
      </c>
      <c r="CB50" s="20">
        <f t="shared" si="10"/>
        <v>343.50574897575689</v>
      </c>
      <c r="CC50" s="59">
        <f t="shared" si="11"/>
        <v>636.83908230909014</v>
      </c>
      <c r="CD50" s="59">
        <f ca="1">AVERAGE(OFFSET($CC$3,0,0,'Données projet'!$E$12+1,1))-AVERAGE(OFFSET($H$3,0,0,'Données projet'!$E$12+1,1))</f>
        <v>219.43439115440339</v>
      </c>
      <c r="CE50" s="59">
        <f t="shared" si="40"/>
        <v>217.8880462742099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12.472134936000613</v>
      </c>
      <c r="CL50" s="21">
        <f>EXP(-LN(2)/25)*CL49+(1-EXP(-LN(2)/25))/(LN(2)/25)*Calculateur!CG50*Calculateur!CI50*VLOOKUP('Données projet'!$B$12,Paramètres!$A$1:$I$89,3,0)*0.475*44/12</f>
        <v>13.640769786118012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26.112904722118625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261.10917418234862</v>
      </c>
      <c r="T51" s="59">
        <f t="shared" si="34"/>
        <v>327.65691162938418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184.35256410256409</v>
      </c>
      <c r="AG51" s="12">
        <f>VLOOKUP(A51,'Données projet'!$A$61:$I$81,9,0)</f>
        <v>9.3452380952380913</v>
      </c>
      <c r="AH51" s="12">
        <f t="array" ref="AH51">INDEX(AG:AG,MIN(IF(ISNUMBER(AG51:AG247),ROW(AG51:AG247),"")))</f>
        <v>9.3452380952380913</v>
      </c>
      <c r="AI51" s="13">
        <f>IF('Données projet'!$A$62&gt;35,AI50+AH51-AQ50,IF(A51&lt;'Données projet'!$A$62,$AF$205^A51,IF(A51='Données projet'!$A$62,'Données projet'!$B$62,AI50+AH51-AQ50)))</f>
        <v>184.3525641025642</v>
      </c>
      <c r="AJ51" s="13">
        <f>AI51*VLOOKUP('Données projet'!$B$10,Paramètres!$A$1:$I$89,3,0)*VLOOKUP('Données projet'!$B$10,Paramètres!$A$1:$I$89,5,0)</f>
        <v>184.05760000000009</v>
      </c>
      <c r="AK51" s="13">
        <f t="shared" si="35"/>
        <v>46.223752870105322</v>
      </c>
      <c r="AL51" s="20">
        <f t="shared" si="4"/>
        <v>401.07335624876691</v>
      </c>
      <c r="AM51" s="59">
        <f t="shared" si="5"/>
        <v>694.40668958210017</v>
      </c>
      <c r="AN51" s="59">
        <f ca="1">AVERAGE(OFFSET($AM$3,0,0,'Données projet'!$E$10+1,1))-AVERAGE(OFFSET($H$3,0,0,'Données projet'!$E$10+1,1))</f>
        <v>306.38046634523579</v>
      </c>
      <c r="AO51" s="59">
        <f t="shared" si="36"/>
        <v>229.77251296097705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48.025641025641022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184.35256410256409</v>
      </c>
      <c r="BB51" s="12">
        <f>VLOOKUP(A51,'Données projet'!$A$87:$I$107,9,0)</f>
        <v>9.3452380952380913</v>
      </c>
      <c r="BC51" s="12">
        <f t="array" ref="BC51">INDEX(BB:BB,MIN(IF(ISNUMBER(BB51:BB247),ROW(BB51:BB247),"")))</f>
        <v>9.3452380952380913</v>
      </c>
      <c r="BD51" s="12">
        <f>IF('Données projet'!$A$88&gt;35,BD50+BC51-BL50,IF(A51&lt;'Données projet'!$A$88,$BA$205^A51,IF(A51='Données projet'!$A$88,'Données projet'!$B$88,BD50+BC51-BL50)))</f>
        <v>184.3525641025642</v>
      </c>
      <c r="BE51" s="13">
        <f>BD51*VLOOKUP('Données projet'!$B$11,Paramètres!$A$1:$I$89,3,0)*VLOOKUP('Données projet'!$B$11,Paramètres!$A$1:$I$89,5,0)</f>
        <v>186.93350000000012</v>
      </c>
      <c r="BF51" s="13">
        <f t="shared" si="37"/>
        <v>46.861352563060628</v>
      </c>
      <c r="BG51" s="20">
        <f t="shared" si="7"/>
        <v>407.19270154733073</v>
      </c>
      <c r="BH51" s="59">
        <f t="shared" si="8"/>
        <v>700.52603488066404</v>
      </c>
      <c r="BI51" s="59">
        <f ca="1">AVERAGE(OFFSET($BH$3,0,0,'Données projet'!$E$11+1,1))-AVERAGE(OFFSET($H$3,0,0,'Données projet'!$E$11+1,1))</f>
        <v>312.29056285877169</v>
      </c>
      <c r="BJ51" s="59">
        <f t="shared" si="38"/>
        <v>233.85454224241693</v>
      </c>
      <c r="BK51" s="15">
        <f>IF(ISNA(VLOOKUP(A51,'Données projet'!$A$87:$I$107,3,0)),0,VLOOKUP(A51,'Données projet'!$A$87:$I$107,3,0))</f>
        <v>3</v>
      </c>
      <c r="BL51" s="15">
        <f>IF(ISNA(VLOOKUP(A51,'Données projet'!$A$87:$I$107,4,0)),0,VLOOKUP(A51,'Données projet'!$A$87:$I$107,4,0))</f>
        <v>48.025641025641022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204.59999999999991</v>
      </c>
      <c r="BZ51" s="13">
        <f>BY51*VLOOKUP('Données projet'!$B$12,Paramètres!$A$1:$I$89,3,0)*VLOOKUP('Données projet'!$B$12,Paramètres!$A$1:$I$89,5,0)</f>
        <v>162.77975999999995</v>
      </c>
      <c r="CA51" s="13">
        <f t="shared" si="39"/>
        <v>41.468868129640057</v>
      </c>
      <c r="CB51" s="20">
        <f t="shared" si="10"/>
        <v>355.73302732578964</v>
      </c>
      <c r="CC51" s="59">
        <f t="shared" si="11"/>
        <v>649.06636065912289</v>
      </c>
      <c r="CD51" s="59">
        <f ca="1">AVERAGE(OFFSET($CC$3,0,0,'Données projet'!$E$12+1,1))-AVERAGE(OFFSET($H$3,0,0,'Données projet'!$E$12+1,1))</f>
        <v>219.43439115440339</v>
      </c>
      <c r="CE51" s="59">
        <f t="shared" si="40"/>
        <v>217.8880462742099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12.227563977156798</v>
      </c>
      <c r="CL51" s="21">
        <f>EXP(-LN(2)/25)*CL50+(1-EXP(-LN(2)/25))/(LN(2)/25)*Calculateur!CG51*Calculateur!CI51*VLOOKUP('Données projet'!$B$12,Paramètres!$A$1:$I$89,3,0)*0.475*44/12</f>
        <v>13.267762218979708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25.495326196136507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33"/>
        <v>52.646339807871037</v>
      </c>
      <c r="Q52" s="20">
        <f t="shared" si="53"/>
        <v>463.11224037370863</v>
      </c>
      <c r="R52" s="59">
        <f t="shared" si="0"/>
        <v>756.44557370704194</v>
      </c>
      <c r="S52" s="59">
        <f ca="1">AVERAGE(OFFSET($R$3,0,0,'Données projet'!$E$9+1,1))-AVERAGE(OFFSET($H$3,0,0,'Données projet'!$E$9+1,1))</f>
        <v>261.10917418234862</v>
      </c>
      <c r="T52" s="59">
        <f t="shared" si="34"/>
        <v>327.65691162938418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8.8736263736263741</v>
      </c>
      <c r="AI52" s="13">
        <f>IF('Données projet'!$A$62&gt;35,AI51+AH52-AQ51,IF(A52&lt;'Données projet'!$A$62,$AF$205^A52,IF(A52='Données projet'!$A$62,'Données projet'!$B$62,AI51+AH52-AQ51)))</f>
        <v>145.20054945054954</v>
      </c>
      <c r="AJ52" s="13">
        <f>AI52*VLOOKUP('Données projet'!$B$10,Paramètres!$A$1:$I$89,3,0)*VLOOKUP('Données projet'!$B$10,Paramètres!$A$1:$I$89,5,0)</f>
        <v>144.96822857142868</v>
      </c>
      <c r="AK52" s="13">
        <f t="shared" si="35"/>
        <v>37.4328366711622</v>
      </c>
      <c r="AL52" s="20">
        <f t="shared" si="4"/>
        <v>317.68185529751241</v>
      </c>
      <c r="AM52" s="59">
        <f t="shared" si="5"/>
        <v>611.01518863084573</v>
      </c>
      <c r="AN52" s="59">
        <f ca="1">AVERAGE(OFFSET($AM$3,0,0,'Données projet'!$E$10+1,1))-AVERAGE(OFFSET($H$3,0,0,'Données projet'!$E$10+1,1))</f>
        <v>306.38046634523579</v>
      </c>
      <c r="AO52" s="59">
        <f t="shared" si="36"/>
        <v>229.77251296097705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8.8736263736263741</v>
      </c>
      <c r="BD52" s="12">
        <f>IF('Données projet'!$A$88&gt;35,BD51+BC52-BL51,IF(A52&lt;'Données projet'!$A$88,$BA$205^A52,IF(A52='Données projet'!$A$88,'Données projet'!$B$88,BD51+BC52-BL51)))</f>
        <v>145.20054945054954</v>
      </c>
      <c r="BE52" s="13">
        <f>BD52*VLOOKUP('Données projet'!$B$11,Paramètres!$A$1:$I$89,3,0)*VLOOKUP('Données projet'!$B$11,Paramètres!$A$1:$I$89,5,0)</f>
        <v>147.23335714285724</v>
      </c>
      <c r="BF52" s="13">
        <f t="shared" si="37"/>
        <v>37.949176511309943</v>
      </c>
      <c r="BG52" s="20">
        <f t="shared" si="7"/>
        <v>322.52624611434112</v>
      </c>
      <c r="BH52" s="59">
        <f t="shared" si="8"/>
        <v>615.85957944767438</v>
      </c>
      <c r="BI52" s="59">
        <f ca="1">AVERAGE(OFFSET($BH$3,0,0,'Données projet'!$E$11+1,1))-AVERAGE(OFFSET($H$3,0,0,'Données projet'!$E$11+1,1))</f>
        <v>312.29056285877169</v>
      </c>
      <c r="BJ52" s="59">
        <f t="shared" si="38"/>
        <v>233.85454224241693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211.7999999999999</v>
      </c>
      <c r="BZ52" s="13">
        <f>BY52*VLOOKUP('Données projet'!$B$12,Paramètres!$A$1:$I$89,3,0)*VLOOKUP('Données projet'!$B$12,Paramètres!$A$1:$I$89,5,0)</f>
        <v>168.50807999999992</v>
      </c>
      <c r="CA52" s="13">
        <f t="shared" si="39"/>
        <v>42.755711908378117</v>
      </c>
      <c r="CB52" s="20">
        <f t="shared" si="10"/>
        <v>367.95110424042508</v>
      </c>
      <c r="CC52" s="59">
        <f t="shared" si="11"/>
        <v>661.2844375737584</v>
      </c>
      <c r="CD52" s="59">
        <f ca="1">AVERAGE(OFFSET($CC$3,0,0,'Données projet'!$E$12+1,1))-AVERAGE(OFFSET($H$3,0,0,'Données projet'!$E$12+1,1))</f>
        <v>219.43439115440339</v>
      </c>
      <c r="CE52" s="59">
        <f t="shared" si="40"/>
        <v>217.8880462742099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11.987788905642356</v>
      </c>
      <c r="CL52" s="21">
        <f>EXP(-LN(2)/25)*CL51+(1-EXP(-LN(2)/25))/(LN(2)/25)*Calculateur!CG52*Calculateur!CI52*VLOOKUP('Données projet'!$B$12,Paramètres!$A$1:$I$89,3,0)*0.475*44/12</f>
        <v>12.904954563380418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24.892743469022776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261.10917418234862</v>
      </c>
      <c r="T53" s="59">
        <f t="shared" si="34"/>
        <v>327.65691162938418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8.8736263736263741</v>
      </c>
      <c r="AI53" s="13">
        <f>IF('Données projet'!$A$62&gt;35,AI52+AH53-AQ52,IF(A53&lt;'Données projet'!$A$62,$AF$205^A53,IF(A53='Données projet'!$A$62,'Données projet'!$B$62,AI52+AH53-AQ52)))</f>
        <v>154.07417582417591</v>
      </c>
      <c r="AJ53" s="13">
        <f>AI53*VLOOKUP('Données projet'!$B$10,Paramètres!$A$1:$I$89,3,0)*VLOOKUP('Données projet'!$B$10,Paramètres!$A$1:$I$89,5,0)</f>
        <v>153.82765714285722</v>
      </c>
      <c r="AK53" s="13">
        <f t="shared" si="35"/>
        <v>39.447154706430517</v>
      </c>
      <c r="AL53" s="20">
        <f t="shared" si="4"/>
        <v>336.62029730417618</v>
      </c>
      <c r="AM53" s="59">
        <f t="shared" si="5"/>
        <v>629.95363063750949</v>
      </c>
      <c r="AN53" s="59">
        <f ca="1">AVERAGE(OFFSET($AM$3,0,0,'Données projet'!$E$10+1,1))-AVERAGE(OFFSET($H$3,0,0,'Données projet'!$E$10+1,1))</f>
        <v>306.38046634523579</v>
      </c>
      <c r="AO53" s="59">
        <f t="shared" si="36"/>
        <v>229.77251296097705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8.8736263736263741</v>
      </c>
      <c r="BD53" s="12">
        <f>IF('Données projet'!$A$88&gt;35,BD52+BC53-BL52,IF(A53&lt;'Données projet'!$A$88,$BA$205^A53,IF(A53='Données projet'!$A$88,'Données projet'!$B$88,BD52+BC53-BL52)))</f>
        <v>154.07417582417591</v>
      </c>
      <c r="BE53" s="13">
        <f>BD53*VLOOKUP('Données projet'!$B$11,Paramètres!$A$1:$I$89,3,0)*VLOOKUP('Données projet'!$B$11,Paramètres!$A$1:$I$89,5,0)</f>
        <v>156.23121428571437</v>
      </c>
      <c r="BF53" s="13">
        <f t="shared" si="37"/>
        <v>39.991279580917869</v>
      </c>
      <c r="BG53" s="20">
        <f t="shared" si="7"/>
        <v>341.75417681771779</v>
      </c>
      <c r="BH53" s="59">
        <f t="shared" si="8"/>
        <v>635.08751015105111</v>
      </c>
      <c r="BI53" s="59">
        <f ca="1">AVERAGE(OFFSET($BH$3,0,0,'Données projet'!$E$11+1,1))-AVERAGE(OFFSET($H$3,0,0,'Données projet'!$E$11+1,1))</f>
        <v>312.29056285877169</v>
      </c>
      <c r="BJ53" s="59">
        <f t="shared" si="38"/>
        <v>233.85454224241693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219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218.99999999999989</v>
      </c>
      <c r="BZ53" s="13">
        <f>BY53*VLOOKUP('Données projet'!$B$12,Paramètres!$A$1:$I$89,3,0)*VLOOKUP('Données projet'!$B$12,Paramètres!$A$1:$I$89,5,0)</f>
        <v>174.23639999999992</v>
      </c>
      <c r="CA53" s="13">
        <f t="shared" si="39"/>
        <v>44.03747274965864</v>
      </c>
      <c r="CB53" s="20">
        <f t="shared" si="10"/>
        <v>380.160328372322</v>
      </c>
      <c r="CC53" s="59">
        <f t="shared" si="11"/>
        <v>673.49366170565531</v>
      </c>
      <c r="CD53" s="59">
        <f ca="1">AVERAGE(OFFSET($CC$3,0,0,'Données projet'!$E$12+1,1))-AVERAGE(OFFSET($H$3,0,0,'Données projet'!$E$12+1,1))</f>
        <v>219.43439115440339</v>
      </c>
      <c r="CE53" s="59">
        <f t="shared" si="40"/>
        <v>217.8880462742099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17</v>
      </c>
      <c r="CH53" s="16">
        <f>IF(ISNA(VLOOKUP(A53,'Données projet'!$A$113:$I$133,5,0)),0%,VLOOKUP(A53,'Données projet'!$A$113:$I$133,5,0)*VLOOKUP('Données projet'!$B$12,Paramètres!$A$1:$I$89,7,0))</f>
        <v>0.37630000000000002</v>
      </c>
      <c r="CI53" s="16">
        <f>IF(ISNA(VLOOKUP(A53,'Données projet'!$A$113:$I$133,6,0)),0%,VLOOKUP(A53,'Données projet'!$A$113:$I$133,6,0)*VLOOKUP('Données projet'!$B$12,Paramètres!$A$1:$I$89,7,0))</f>
        <v>9.5399999999999999E-2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17.379043388874543</v>
      </c>
      <c r="CL53" s="21">
        <f>EXP(-LN(2)/25)*CL52+(1-EXP(-LN(2)/25))/(LN(2)/25)*Calculateur!CG53*Calculateur!CI53*VLOOKUP('Données projet'!$B$12,Paramètres!$A$1:$I$89,3,0)*0.475*44/12</f>
        <v>13.972844590726073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31.351887979600615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33"/>
        <v>55.981824933821947</v>
      </c>
      <c r="Q54" s="20">
        <f t="shared" si="53"/>
        <v>495.66248405140641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261.10917418234862</v>
      </c>
      <c r="T54" s="59">
        <f t="shared" si="34"/>
        <v>327.65691162938418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8.8736263736263741</v>
      </c>
      <c r="AI54" s="13">
        <f>IF('Données projet'!$A$62&gt;35,AI53+AH54-AQ53,IF(A54&lt;'Données projet'!$A$62,$AF$205^A54,IF(A54='Données projet'!$A$62,'Données projet'!$B$62,AI53+AH54-AQ53)))</f>
        <v>162.94780219780228</v>
      </c>
      <c r="AJ54" s="13">
        <f>AI54*VLOOKUP('Données projet'!$B$10,Paramètres!$A$1:$I$89,3,0)*VLOOKUP('Données projet'!$B$10,Paramètres!$A$1:$I$89,5,0)</f>
        <v>162.68708571428579</v>
      </c>
      <c r="AK54" s="13">
        <f t="shared" si="35"/>
        <v>41.448006360964413</v>
      </c>
      <c r="AL54" s="20">
        <f t="shared" si="4"/>
        <v>355.53528536439404</v>
      </c>
      <c r="AM54" s="59">
        <f t="shared" si="5"/>
        <v>648.86861869772736</v>
      </c>
      <c r="AN54" s="59">
        <f ca="1">AVERAGE(OFFSET($AM$3,0,0,'Données projet'!$E$10+1,1))-AVERAGE(OFFSET($H$3,0,0,'Données projet'!$E$10+1,1))</f>
        <v>306.38046634523579</v>
      </c>
      <c r="AO54" s="59">
        <f t="shared" si="36"/>
        <v>229.77251296097705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8.8736263736263741</v>
      </c>
      <c r="BD54" s="12">
        <f>IF('Données projet'!$A$88&gt;35,BD53+BC54-BL53,IF(A54&lt;'Données projet'!$A$88,$BA$205^A54,IF(A54='Données projet'!$A$88,'Données projet'!$B$88,BD53+BC54-BL53)))</f>
        <v>162.94780219780228</v>
      </c>
      <c r="BE54" s="13">
        <f>BD54*VLOOKUP('Données projet'!$B$11,Paramètres!$A$1:$I$89,3,0)*VLOOKUP('Données projet'!$B$11,Paramètres!$A$1:$I$89,5,0)</f>
        <v>165.22907142857153</v>
      </c>
      <c r="BF54" s="13">
        <f t="shared" si="37"/>
        <v>42.019730517668535</v>
      </c>
      <c r="BG54" s="20">
        <f t="shared" si="7"/>
        <v>360.95833005636814</v>
      </c>
      <c r="BH54" s="59">
        <f t="shared" si="8"/>
        <v>654.2916633897014</v>
      </c>
      <c r="BI54" s="59">
        <f ca="1">AVERAGE(OFFSET($BH$3,0,0,'Données projet'!$E$11+1,1))-AVERAGE(OFFSET($H$3,0,0,'Données projet'!$E$11+1,1))</f>
        <v>312.29056285877169</v>
      </c>
      <c r="BJ54" s="59">
        <f t="shared" si="38"/>
        <v>233.85454224241693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207.99999999999989</v>
      </c>
      <c r="BZ54" s="13">
        <f>BY54*VLOOKUP('Données projet'!$B$12,Paramètres!$A$1:$I$89,3,0)*VLOOKUP('Données projet'!$B$12,Paramètres!$A$1:$I$89,5,0)</f>
        <v>165.48479999999992</v>
      </c>
      <c r="CA54" s="13">
        <f t="shared" si="39"/>
        <v>42.077190125964002</v>
      </c>
      <c r="CB54" s="20">
        <f t="shared" si="10"/>
        <v>361.5037994693871</v>
      </c>
      <c r="CC54" s="59">
        <f t="shared" si="11"/>
        <v>654.83713280272036</v>
      </c>
      <c r="CD54" s="59">
        <f ca="1">AVERAGE(OFFSET($CC$3,0,0,'Données projet'!$E$12+1,1))-AVERAGE(OFFSET($H$3,0,0,'Données projet'!$E$12+1,1))</f>
        <v>219.43439115440339</v>
      </c>
      <c r="CE54" s="59">
        <f t="shared" si="40"/>
        <v>217.8880462742099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17.038250948188502</v>
      </c>
      <c r="CL54" s="21">
        <f>EXP(-LN(2)/25)*CL53+(1-EXP(-LN(2)/25))/(LN(2)/25)*Calculateur!CG54*Calculateur!CI54*VLOOKUP('Données projet'!$B$12,Paramètres!$A$1:$I$89,3,0)*0.475*44/12</f>
        <v>13.590756420592706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30.62900736878121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33"/>
        <v>57.639699864397812</v>
      </c>
      <c r="Q55" s="20">
        <f t="shared" si="53"/>
        <v>511.92041976382615</v>
      </c>
      <c r="R55" s="59">
        <f t="shared" si="0"/>
        <v>805.25375309715946</v>
      </c>
      <c r="S55" s="59">
        <f ca="1">AVERAGE(OFFSET($R$3,0,0,'Données projet'!$E$9+1,1))-AVERAGE(OFFSET($H$3,0,0,'Données projet'!$E$9+1,1))</f>
        <v>261.10917418234862</v>
      </c>
      <c r="T55" s="59">
        <f t="shared" si="34"/>
        <v>327.65691162938418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8.8736263736263741</v>
      </c>
      <c r="AI55" s="13">
        <f>IF('Données projet'!$A$62&gt;35,AI54+AH55-AQ54,IF(A55&lt;'Données projet'!$A$62,$AF$205^A55,IF(A55='Données projet'!$A$62,'Données projet'!$B$62,AI54+AH55-AQ54)))</f>
        <v>171.82142857142864</v>
      </c>
      <c r="AJ55" s="13">
        <f>AI55*VLOOKUP('Données projet'!$B$10,Paramètres!$A$1:$I$89,3,0)*VLOOKUP('Données projet'!$B$10,Paramètres!$A$1:$I$89,5,0)</f>
        <v>171.54651428571435</v>
      </c>
      <c r="AK55" s="13">
        <f t="shared" si="35"/>
        <v>43.436208571672999</v>
      </c>
      <c r="AL55" s="20">
        <f t="shared" si="4"/>
        <v>374.42824230994961</v>
      </c>
      <c r="AM55" s="59">
        <f t="shared" si="5"/>
        <v>667.76157564328287</v>
      </c>
      <c r="AN55" s="59">
        <f ca="1">AVERAGE(OFFSET($AM$3,0,0,'Données projet'!$E$10+1,1))-AVERAGE(OFFSET($H$3,0,0,'Données projet'!$E$10+1,1))</f>
        <v>306.38046634523579</v>
      </c>
      <c r="AO55" s="59">
        <f t="shared" si="36"/>
        <v>229.77251296097705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8.8736263736263741</v>
      </c>
      <c r="BD55" s="12">
        <f>IF('Données projet'!$A$88&gt;35,BD54+BC55-BL54,IF(A55&lt;'Données projet'!$A$88,$BA$205^A55,IF(A55='Données projet'!$A$88,'Données projet'!$B$88,BD54+BC55-BL54)))</f>
        <v>171.82142857142864</v>
      </c>
      <c r="BE55" s="13">
        <f>BD55*VLOOKUP('Données projet'!$B$11,Paramètres!$A$1:$I$89,3,0)*VLOOKUP('Données projet'!$B$11,Paramètres!$A$1:$I$89,5,0)</f>
        <v>174.22692857142866</v>
      </c>
      <c r="BF55" s="13">
        <f t="shared" si="37"/>
        <v>44.035357527108694</v>
      </c>
      <c r="BG55" s="20">
        <f t="shared" si="7"/>
        <v>380.1401482882859</v>
      </c>
      <c r="BH55" s="59">
        <f t="shared" si="8"/>
        <v>673.47348162161916</v>
      </c>
      <c r="BI55" s="59">
        <f ca="1">AVERAGE(OFFSET($BH$3,0,0,'Données projet'!$E$11+1,1))-AVERAGE(OFFSET($H$3,0,0,'Données projet'!$E$11+1,1))</f>
        <v>312.29056285877169</v>
      </c>
      <c r="BJ55" s="59">
        <f t="shared" si="38"/>
        <v>233.85454224241693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213.99999999999989</v>
      </c>
      <c r="BZ55" s="13">
        <f>BY55*VLOOKUP('Données projet'!$B$12,Paramètres!$A$1:$I$89,3,0)*VLOOKUP('Données projet'!$B$12,Paramètres!$A$1:$I$89,5,0)</f>
        <v>170.25839999999991</v>
      </c>
      <c r="CA55" s="13">
        <f t="shared" si="39"/>
        <v>43.147891472685018</v>
      </c>
      <c r="CB55" s="20">
        <f t="shared" si="10"/>
        <v>371.68262431492622</v>
      </c>
      <c r="CC55" s="59">
        <f t="shared" si="11"/>
        <v>665.01595764825947</v>
      </c>
      <c r="CD55" s="59">
        <f ca="1">AVERAGE(OFFSET($CC$3,0,0,'Données projet'!$E$12+1,1))-AVERAGE(OFFSET($H$3,0,0,'Données projet'!$E$12+1,1))</f>
        <v>219.43439115440339</v>
      </c>
      <c r="CE55" s="59">
        <f t="shared" si="40"/>
        <v>217.8880462742099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16.704141239401448</v>
      </c>
      <c r="CL55" s="21">
        <f>EXP(-LN(2)/25)*CL54+(1-EXP(-LN(2)/25))/(LN(2)/25)*Calculateur!CG55*Calculateur!CI55*VLOOKUP('Données projet'!$B$12,Paramètres!$A$1:$I$89,3,0)*0.475*44/12</f>
        <v>13.219116471564782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29.923257710966229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33"/>
        <v>59.291315745845196</v>
      </c>
      <c r="Q56" s="20">
        <f t="shared" si="53"/>
        <v>528.16745429901368</v>
      </c>
      <c r="R56" s="59">
        <f t="shared" si="0"/>
        <v>821.50078763234706</v>
      </c>
      <c r="S56" s="59">
        <f ca="1">AVERAGE(OFFSET($R$3,0,0,'Données projet'!$E$9+1,1))-AVERAGE(OFFSET($H$3,0,0,'Données projet'!$E$9+1,1))</f>
        <v>261.10917418234862</v>
      </c>
      <c r="T56" s="59">
        <f t="shared" si="34"/>
        <v>327.65691162938418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8.8736263736263741</v>
      </c>
      <c r="AI56" s="13">
        <f>IF('Données projet'!$A$62&gt;35,AI55+AH56-AQ55,IF(A56&lt;'Données projet'!$A$62,$AF$205^A56,IF(A56='Données projet'!$A$62,'Données projet'!$B$62,AI55+AH56-AQ55)))</f>
        <v>180.69505494505501</v>
      </c>
      <c r="AJ56" s="13">
        <f>AI56*VLOOKUP('Données projet'!$B$10,Paramètres!$A$1:$I$89,3,0)*VLOOKUP('Données projet'!$B$10,Paramètres!$A$1:$I$89,5,0)</f>
        <v>180.40594285714292</v>
      </c>
      <c r="AK56" s="13">
        <f t="shared" si="35"/>
        <v>45.412489128904724</v>
      </c>
      <c r="AL56" s="20">
        <f t="shared" si="4"/>
        <v>393.30043570903302</v>
      </c>
      <c r="AM56" s="59">
        <f t="shared" si="5"/>
        <v>686.63376904236634</v>
      </c>
      <c r="AN56" s="59">
        <f ca="1">AVERAGE(OFFSET($AM$3,0,0,'Données projet'!$E$10+1,1))-AVERAGE(OFFSET($H$3,0,0,'Données projet'!$E$10+1,1))</f>
        <v>306.38046634523579</v>
      </c>
      <c r="AO56" s="59">
        <f t="shared" si="36"/>
        <v>229.77251296097705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8.8736263736263741</v>
      </c>
      <c r="BD56" s="12">
        <f>IF('Données projet'!$A$88&gt;35,BD55+BC56-BL55,IF(A56&lt;'Données projet'!$A$88,$BA$205^A56,IF(A56='Données projet'!$A$88,'Données projet'!$B$88,BD55+BC56-BL55)))</f>
        <v>180.69505494505501</v>
      </c>
      <c r="BE56" s="13">
        <f>BD56*VLOOKUP('Données projet'!$B$11,Paramètres!$A$1:$I$89,3,0)*VLOOKUP('Données projet'!$B$11,Paramètres!$A$1:$I$89,5,0)</f>
        <v>183.22478571428579</v>
      </c>
      <c r="BF56" s="13">
        <f t="shared" si="37"/>
        <v>46.038898438557553</v>
      </c>
      <c r="BG56" s="20">
        <f t="shared" si="7"/>
        <v>399.30091656620215</v>
      </c>
      <c r="BH56" s="59">
        <f t="shared" si="8"/>
        <v>692.63424989953546</v>
      </c>
      <c r="BI56" s="59">
        <f ca="1">AVERAGE(OFFSET($BH$3,0,0,'Données projet'!$E$11+1,1))-AVERAGE(OFFSET($H$3,0,0,'Données projet'!$E$11+1,1))</f>
        <v>312.29056285877169</v>
      </c>
      <c r="BJ56" s="59">
        <f t="shared" si="38"/>
        <v>233.85454224241693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219.99999999999989</v>
      </c>
      <c r="BZ56" s="13">
        <f>BY56*VLOOKUP('Données projet'!$B$12,Paramètres!$A$1:$I$89,3,0)*VLOOKUP('Données projet'!$B$12,Paramètres!$A$1:$I$89,5,0)</f>
        <v>175.03199999999993</v>
      </c>
      <c r="CA56" s="13">
        <f t="shared" si="39"/>
        <v>44.215103743191008</v>
      </c>
      <c r="CB56" s="20">
        <f t="shared" si="10"/>
        <v>381.85537235272426</v>
      </c>
      <c r="CC56" s="59">
        <f t="shared" si="11"/>
        <v>675.18870568605757</v>
      </c>
      <c r="CD56" s="59">
        <f ca="1">AVERAGE(OFFSET($CC$3,0,0,'Données projet'!$E$12+1,1))-AVERAGE(OFFSET($H$3,0,0,'Données projet'!$E$12+1,1))</f>
        <v>219.43439115440339</v>
      </c>
      <c r="CE56" s="59">
        <f t="shared" si="40"/>
        <v>217.8880462742099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16.376583218216908</v>
      </c>
      <c r="CL56" s="21">
        <f>EXP(-LN(2)/25)*CL55+(1-EXP(-LN(2)/25))/(LN(2)/25)*Calculateur!CG56*Calculateur!CI56*VLOOKUP('Données projet'!$B$12,Paramètres!$A$1:$I$89,3,0)*0.475*44/12</f>
        <v>12.85763903648672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29.234222254703628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33"/>
        <v>60.936892129812684</v>
      </c>
      <c r="Q57" s="20">
        <f t="shared" si="53"/>
        <v>544.4039700427569</v>
      </c>
      <c r="R57" s="59">
        <f t="shared" si="0"/>
        <v>837.73730337609027</v>
      </c>
      <c r="S57" s="59">
        <f ca="1">AVERAGE(OFFSET($R$3,0,0,'Données projet'!$E$9+1,1))-AVERAGE(OFFSET($H$3,0,0,'Données projet'!$E$9+1,1))</f>
        <v>261.10917418234862</v>
      </c>
      <c r="T57" s="59">
        <f t="shared" si="34"/>
        <v>327.65691162938418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8.8736263736263741</v>
      </c>
      <c r="AI57" s="13">
        <f>IF('Données projet'!$A$62&gt;35,AI56+AH57-AQ56,IF(A57&lt;'Données projet'!$A$62,$AF$205^A57,IF(A57='Données projet'!$A$62,'Données projet'!$B$62,AI56+AH57-AQ56)))</f>
        <v>189.56868131868137</v>
      </c>
      <c r="AJ57" s="13">
        <f>AI57*VLOOKUP('Données projet'!$B$10,Paramètres!$A$1:$I$89,3,0)*VLOOKUP('Données projet'!$B$10,Paramètres!$A$1:$I$89,5,0)</f>
        <v>189.26537142857148</v>
      </c>
      <c r="AK57" s="13">
        <f t="shared" si="35"/>
        <v>47.377500303614539</v>
      </c>
      <c r="AL57" s="20">
        <f t="shared" si="4"/>
        <v>412.15300160022394</v>
      </c>
      <c r="AM57" s="59">
        <f t="shared" si="5"/>
        <v>705.48633493355726</v>
      </c>
      <c r="AN57" s="59">
        <f ca="1">AVERAGE(OFFSET($AM$3,0,0,'Données projet'!$E$10+1,1))-AVERAGE(OFFSET($H$3,0,0,'Données projet'!$E$10+1,1))</f>
        <v>306.38046634523579</v>
      </c>
      <c r="AO57" s="59">
        <f t="shared" si="36"/>
        <v>229.77251296097705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8.8736263736263741</v>
      </c>
      <c r="BD57" s="12">
        <f>IF('Données projet'!$A$88&gt;35,BD56+BC57-BL56,IF(A57&lt;'Données projet'!$A$88,$BA$205^A57,IF(A57='Données projet'!$A$88,'Données projet'!$B$88,BD56+BC57-BL56)))</f>
        <v>189.56868131868137</v>
      </c>
      <c r="BE57" s="13">
        <f>BD57*VLOOKUP('Données projet'!$B$11,Paramètres!$A$1:$I$89,3,0)*VLOOKUP('Données projet'!$B$11,Paramètres!$A$1:$I$89,5,0)</f>
        <v>192.22264285714294</v>
      </c>
      <c r="BF57" s="13">
        <f t="shared" si="37"/>
        <v>48.031014520243914</v>
      </c>
      <c r="BG57" s="20">
        <f t="shared" si="7"/>
        <v>418.44178659894874</v>
      </c>
      <c r="BH57" s="59">
        <f t="shared" si="8"/>
        <v>711.775119932282</v>
      </c>
      <c r="BI57" s="59">
        <f ca="1">AVERAGE(OFFSET($BH$3,0,0,'Données projet'!$E$11+1,1))-AVERAGE(OFFSET($H$3,0,0,'Données projet'!$E$11+1,1))</f>
        <v>312.29056285877169</v>
      </c>
      <c r="BJ57" s="59">
        <f t="shared" si="38"/>
        <v>233.85454224241693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225.99999999999989</v>
      </c>
      <c r="BZ57" s="13">
        <f>BY57*VLOOKUP('Données projet'!$B$12,Paramètres!$A$1:$I$89,3,0)*VLOOKUP('Données projet'!$B$12,Paramètres!$A$1:$I$89,5,0)</f>
        <v>179.80559999999991</v>
      </c>
      <c r="CA57" s="13">
        <f t="shared" si="39"/>
        <v>45.278933028529984</v>
      </c>
      <c r="CB57" s="20">
        <f t="shared" si="10"/>
        <v>392.02222835802286</v>
      </c>
      <c r="CC57" s="59">
        <f t="shared" si="11"/>
        <v>685.35556169135612</v>
      </c>
      <c r="CD57" s="59">
        <f ca="1">AVERAGE(OFFSET($CC$3,0,0,'Données projet'!$E$12+1,1))-AVERAGE(OFFSET($H$3,0,0,'Données projet'!$E$12+1,1))</f>
        <v>219.43439115440339</v>
      </c>
      <c r="CE57" s="59">
        <f t="shared" si="40"/>
        <v>217.8880462742099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16.055448410037133</v>
      </c>
      <c r="CL57" s="21">
        <f>EXP(-LN(2)/25)*CL56+(1-EXP(-LN(2)/25))/(LN(2)/25)*Calculateur!CG57*Calculateur!CI57*VLOOKUP('Données projet'!$B$12,Paramètres!$A$1:$I$89,3,0)*0.475*44/12</f>
        <v>12.50604622088014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28.561494630917274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261.10917418234862</v>
      </c>
      <c r="T58" s="59">
        <f t="shared" si="34"/>
        <v>327.65691162938418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198.44230769230768</v>
      </c>
      <c r="AG58" s="12">
        <f>VLOOKUP(A58,'Données projet'!$A$61:$I$81,9,0)</f>
        <v>8.8736263736263741</v>
      </c>
      <c r="AH58" s="12">
        <f t="array" ref="AH58">INDEX(AG:AG,MIN(IF(ISNUMBER(AG58:AG254),ROW(AG58:AG254),"")))</f>
        <v>8.8736263736263741</v>
      </c>
      <c r="AI58" s="13">
        <f>IF('Données projet'!$A$62&gt;35,AI57+AH58-AQ57,IF(A58&lt;'Données projet'!$A$62,$AF$205^A58,IF(A58='Données projet'!$A$62,'Données projet'!$B$62,AI57+AH58-AQ57)))</f>
        <v>198.44230769230774</v>
      </c>
      <c r="AJ58" s="13">
        <f>AI58*VLOOKUP('Données projet'!$B$10,Paramètres!$A$1:$I$89,3,0)*VLOOKUP('Données projet'!$B$10,Paramètres!$A$1:$I$89,5,0)</f>
        <v>198.12480000000008</v>
      </c>
      <c r="AK58" s="13">
        <f t="shared" si="35"/>
        <v>49.331829850776955</v>
      </c>
      <c r="AL58" s="20">
        <f t="shared" si="4"/>
        <v>430.98696365677</v>
      </c>
      <c r="AM58" s="59">
        <f t="shared" si="5"/>
        <v>724.32029699010332</v>
      </c>
      <c r="AN58" s="59">
        <f ca="1">AVERAGE(OFFSET($AM$3,0,0,'Données projet'!$E$10+1,1))-AVERAGE(OFFSET($H$3,0,0,'Données projet'!$E$10+1,1))</f>
        <v>306.38046634523579</v>
      </c>
      <c r="AO58" s="59">
        <f t="shared" si="36"/>
        <v>229.77251296097705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45.147435897435898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198.44230769230768</v>
      </c>
      <c r="BB58" s="12">
        <f>VLOOKUP(A58,'Données projet'!$A$87:$I$107,9,0)</f>
        <v>8.8736263736263741</v>
      </c>
      <c r="BC58" s="12">
        <f t="array" ref="BC58">INDEX(BB:BB,MIN(IF(ISNUMBER(BB58:BB254),ROW(BB58:BB254),"")))</f>
        <v>8.8736263736263741</v>
      </c>
      <c r="BD58" s="12">
        <f>IF('Données projet'!$A$88&gt;35,BD57+BC58-BL57,IF(A58&lt;'Données projet'!$A$88,$BA$205^A58,IF(A58='Données projet'!$A$88,'Données projet'!$B$88,BD57+BC58-BL57)))</f>
        <v>198.44230769230774</v>
      </c>
      <c r="BE58" s="13">
        <f>BD58*VLOOKUP('Données projet'!$B$11,Paramètres!$A$1:$I$89,3,0)*VLOOKUP('Données projet'!$B$11,Paramètres!$A$1:$I$89,5,0)</f>
        <v>201.22050000000007</v>
      </c>
      <c r="BF58" s="13">
        <f t="shared" si="37"/>
        <v>50.012301634497518</v>
      </c>
      <c r="BG58" s="20">
        <f t="shared" si="7"/>
        <v>437.56379618008327</v>
      </c>
      <c r="BH58" s="59">
        <f t="shared" si="8"/>
        <v>730.89712951341653</v>
      </c>
      <c r="BI58" s="59">
        <f ca="1">AVERAGE(OFFSET($BH$3,0,0,'Données projet'!$E$11+1,1))-AVERAGE(OFFSET($H$3,0,0,'Données projet'!$E$11+1,1))</f>
        <v>312.29056285877169</v>
      </c>
      <c r="BJ58" s="59">
        <f t="shared" si="38"/>
        <v>233.85454224241693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45.147435897435898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232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231.99999999999989</v>
      </c>
      <c r="BZ58" s="13">
        <f>BY58*VLOOKUP('Données projet'!$B$12,Paramètres!$A$1:$I$89,3,0)*VLOOKUP('Données projet'!$B$12,Paramètres!$A$1:$I$89,5,0)</f>
        <v>184.57919999999993</v>
      </c>
      <c r="CA58" s="13">
        <f t="shared" si="39"/>
        <v>46.339479465836618</v>
      </c>
      <c r="CB58" s="20">
        <f t="shared" si="10"/>
        <v>402.18336673633195</v>
      </c>
      <c r="CC58" s="59">
        <f t="shared" si="11"/>
        <v>695.51670006966526</v>
      </c>
      <c r="CD58" s="59">
        <f ca="1">AVERAGE(OFFSET($CC$3,0,0,'Données projet'!$E$12+1,1))-AVERAGE(OFFSET($H$3,0,0,'Données projet'!$E$12+1,1))</f>
        <v>219.43439115440339</v>
      </c>
      <c r="CE58" s="59">
        <f t="shared" si="40"/>
        <v>217.8880462742099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13</v>
      </c>
      <c r="CH58" s="16">
        <f>IF(ISNA(VLOOKUP(A58,'Données projet'!$A$113:$I$133,5,0)),0%,VLOOKUP(A58,'Données projet'!$A$113:$I$133,5,0)*VLOOKUP('Données projet'!$B$12,Paramètres!$A$1:$I$89,7,0))</f>
        <v>0.40810000000000002</v>
      </c>
      <c r="CI58" s="16">
        <f>IF(ISNA(VLOOKUP(A58,'Données projet'!$A$113:$I$133,6,0)),0%,VLOOKUP(A58,'Données projet'!$A$113:$I$133,6,0)*VLOOKUP('Données projet'!$B$12,Paramètres!$A$1:$I$89,7,0))</f>
        <v>7.9500000000000001E-2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20.406687114381842</v>
      </c>
      <c r="CL58" s="21">
        <f>EXP(-LN(2)/25)*CL57+(1-EXP(-LN(2)/25))/(LN(2)/25)*Calculateur!CG58*Calculateur!CI58*VLOOKUP('Données projet'!$B$12,Paramètres!$A$1:$I$89,3,0)*0.475*44/12</f>
        <v>13.069464638658904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33.476151753040746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33"/>
        <v>64.210735131625498</v>
      </c>
      <c r="Q59" s="20">
        <f t="shared" si="53"/>
        <v>576.84685368758085</v>
      </c>
      <c r="R59" s="59">
        <f t="shared" si="0"/>
        <v>870.18018702091422</v>
      </c>
      <c r="S59" s="59">
        <f ca="1">AVERAGE(OFFSET($R$3,0,0,'Données projet'!$E$9+1,1))-AVERAGE(OFFSET($H$3,0,0,'Données projet'!$E$9+1,1))</f>
        <v>261.10917418234862</v>
      </c>
      <c r="T59" s="59">
        <f t="shared" si="34"/>
        <v>327.65691162938418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8.374198717948719</v>
      </c>
      <c r="AI59" s="13">
        <f>IF('Données projet'!$A$62&gt;35,AI58+AH59-AQ58,IF(A59&lt;'Données projet'!$A$62,$AF$205^A59,IF(A59='Données projet'!$A$62,'Données projet'!$B$62,AI58+AH59-AQ58)))</f>
        <v>161.66907051282055</v>
      </c>
      <c r="AJ59" s="13">
        <f>AI59*VLOOKUP('Données projet'!$B$10,Paramètres!$A$1:$I$89,3,0)*VLOOKUP('Données projet'!$B$10,Paramètres!$A$1:$I$89,5,0)</f>
        <v>161.41040000000004</v>
      </c>
      <c r="AK59" s="13">
        <f t="shared" si="35"/>
        <v>41.160472390600567</v>
      </c>
      <c r="AL59" s="20">
        <f t="shared" si="4"/>
        <v>352.81093608029602</v>
      </c>
      <c r="AM59" s="59">
        <f t="shared" si="5"/>
        <v>646.14426941362933</v>
      </c>
      <c r="AN59" s="59">
        <f ca="1">AVERAGE(OFFSET($AM$3,0,0,'Données projet'!$E$10+1,1))-AVERAGE(OFFSET($H$3,0,0,'Données projet'!$E$10+1,1))</f>
        <v>306.38046634523579</v>
      </c>
      <c r="AO59" s="59">
        <f t="shared" si="36"/>
        <v>229.77251296097705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8.374198717948719</v>
      </c>
      <c r="BD59" s="12">
        <f>IF('Données projet'!$A$88&gt;35,BD58+BC59-BL58,IF(A59&lt;'Données projet'!$A$88,$BA$205^A59,IF(A59='Données projet'!$A$88,'Données projet'!$B$88,BD58+BC59-BL58)))</f>
        <v>161.66907051282055</v>
      </c>
      <c r="BE59" s="13">
        <f>BD59*VLOOKUP('Données projet'!$B$11,Paramètres!$A$1:$I$89,3,0)*VLOOKUP('Données projet'!$B$11,Paramètres!$A$1:$I$89,5,0)</f>
        <v>163.93243750000005</v>
      </c>
      <c r="BF59" s="13">
        <f t="shared" si="37"/>
        <v>41.728230370613375</v>
      </c>
      <c r="BG59" s="20">
        <f t="shared" si="7"/>
        <v>358.1923298746517</v>
      </c>
      <c r="BH59" s="59">
        <f t="shared" si="8"/>
        <v>651.52566320798496</v>
      </c>
      <c r="BI59" s="59">
        <f ca="1">AVERAGE(OFFSET($BH$3,0,0,'Données projet'!$E$11+1,1))-AVERAGE(OFFSET($H$3,0,0,'Données projet'!$E$11+1,1))</f>
        <v>312.29056285877169</v>
      </c>
      <c r="BJ59" s="59">
        <f t="shared" si="38"/>
        <v>233.85454224241693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224.19999999999987</v>
      </c>
      <c r="BZ59" s="13">
        <f>BY59*VLOOKUP('Données projet'!$B$12,Paramètres!$A$1:$I$89,3,0)*VLOOKUP('Données projet'!$B$12,Paramètres!$A$1:$I$89,5,0)</f>
        <v>178.37351999999993</v>
      </c>
      <c r="CA59" s="13">
        <f t="shared" si="39"/>
        <v>44.960133388294842</v>
      </c>
      <c r="CB59" s="20">
        <f t="shared" si="10"/>
        <v>388.97277965128006</v>
      </c>
      <c r="CC59" s="59">
        <f t="shared" si="11"/>
        <v>682.30611298461338</v>
      </c>
      <c r="CD59" s="59">
        <f ca="1">AVERAGE(OFFSET($CC$3,0,0,'Données projet'!$E$12+1,1))-AVERAGE(OFFSET($H$3,0,0,'Données projet'!$E$12+1,1))</f>
        <v>219.43439115440339</v>
      </c>
      <c r="CE59" s="59">
        <f t="shared" si="40"/>
        <v>217.8880462742099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20.006524426918929</v>
      </c>
      <c r="CL59" s="21">
        <f>EXP(-LN(2)/25)*CL58+(1-EXP(-LN(2)/25))/(LN(2)/25)*Calculateur!CG59*Calculateur!CI59*VLOOKUP('Données projet'!$B$12,Paramètres!$A$1:$I$89,3,0)*0.475*44/12</f>
        <v>12.712079440821501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32.718603867740427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261.10917418234862</v>
      </c>
      <c r="T60" s="59">
        <f t="shared" si="34"/>
        <v>327.65691162938418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8.374198717948719</v>
      </c>
      <c r="AI60" s="13">
        <f>IF('Données projet'!$A$62&gt;35,AI59+AH60-AQ59,IF(A60&lt;'Données projet'!$A$62,$AF$205^A60,IF(A60='Données projet'!$A$62,'Données projet'!$B$62,AI59+AH60-AQ59)))</f>
        <v>170.04326923076928</v>
      </c>
      <c r="AJ60" s="13">
        <f>AI60*VLOOKUP('Données projet'!$B$10,Paramètres!$A$1:$I$89,3,0)*VLOOKUP('Données projet'!$B$10,Paramètres!$A$1:$I$89,5,0)</f>
        <v>169.77120000000008</v>
      </c>
      <c r="AK60" s="13">
        <f t="shared" si="35"/>
        <v>43.038775980552025</v>
      </c>
      <c r="AL60" s="20">
        <f t="shared" si="4"/>
        <v>370.64404149946154</v>
      </c>
      <c r="AM60" s="59">
        <f t="shared" si="5"/>
        <v>663.97737483279479</v>
      </c>
      <c r="AN60" s="59">
        <f ca="1">AVERAGE(OFFSET($AM$3,0,0,'Données projet'!$E$10+1,1))-AVERAGE(OFFSET($H$3,0,0,'Données projet'!$E$10+1,1))</f>
        <v>306.38046634523579</v>
      </c>
      <c r="AO60" s="59">
        <f t="shared" si="36"/>
        <v>229.77251296097705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8.374198717948719</v>
      </c>
      <c r="BD60" s="12">
        <f>IF('Données projet'!$A$88&gt;35,BD59+BC60-BL59,IF(A60&lt;'Données projet'!$A$88,$BA$205^A60,IF(A60='Données projet'!$A$88,'Données projet'!$B$88,BD59+BC60-BL59)))</f>
        <v>170.04326923076928</v>
      </c>
      <c r="BE60" s="13">
        <f>BD60*VLOOKUP('Données projet'!$B$11,Paramètres!$A$1:$I$89,3,0)*VLOOKUP('Données projet'!$B$11,Paramètres!$A$1:$I$89,5,0)</f>
        <v>172.42387500000007</v>
      </c>
      <c r="BF60" s="13">
        <f t="shared" si="37"/>
        <v>43.632442843290029</v>
      </c>
      <c r="BG60" s="20">
        <f t="shared" si="7"/>
        <v>376.29808691039688</v>
      </c>
      <c r="BH60" s="59">
        <f t="shared" si="8"/>
        <v>669.63142024373019</v>
      </c>
      <c r="BI60" s="59">
        <f ca="1">AVERAGE(OFFSET($BH$3,0,0,'Données projet'!$E$11+1,1))-AVERAGE(OFFSET($H$3,0,0,'Données projet'!$E$11+1,1))</f>
        <v>312.29056285877169</v>
      </c>
      <c r="BJ60" s="59">
        <f t="shared" si="38"/>
        <v>233.85454224241693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229.39999999999986</v>
      </c>
      <c r="BZ60" s="13">
        <f>BY60*VLOOKUP('Données projet'!$B$12,Paramètres!$A$1:$I$89,3,0)*VLOOKUP('Données projet'!$B$12,Paramètres!$A$1:$I$89,5,0)</f>
        <v>182.51063999999988</v>
      </c>
      <c r="CA60" s="13">
        <f t="shared" si="39"/>
        <v>45.880306213791371</v>
      </c>
      <c r="CB60" s="20">
        <f t="shared" si="10"/>
        <v>397.78089798901971</v>
      </c>
      <c r="CC60" s="59">
        <f t="shared" si="11"/>
        <v>691.11423132235302</v>
      </c>
      <c r="CD60" s="59">
        <f ca="1">AVERAGE(OFFSET($CC$3,0,0,'Données projet'!$E$12+1,1))-AVERAGE(OFFSET($H$3,0,0,'Données projet'!$E$12+1,1))</f>
        <v>219.43439115440339</v>
      </c>
      <c r="CE60" s="59">
        <f t="shared" si="40"/>
        <v>217.8880462742099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19.614208685682026</v>
      </c>
      <c r="CL60" s="21">
        <f>EXP(-LN(2)/25)*CL59+(1-EXP(-LN(2)/25))/(LN(2)/25)*Calculateur!CG60*Calculateur!CI60*VLOOKUP('Données projet'!$B$12,Paramètres!$A$1:$I$89,3,0)*0.475*44/12</f>
        <v>12.364466960013033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31.978675645695059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261.10917418234862</v>
      </c>
      <c r="T61" s="59">
        <f t="shared" si="34"/>
        <v>327.65691162938418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8.374198717948719</v>
      </c>
      <c r="AI61" s="13">
        <f>IF('Données projet'!$A$62&gt;35,AI60+AH61-AQ60,IF(A61&lt;'Données projet'!$A$62,$AF$205^A61,IF(A61='Données projet'!$A$62,'Données projet'!$B$62,AI60+AH61-AQ60)))</f>
        <v>178.41746794871801</v>
      </c>
      <c r="AJ61" s="13">
        <f>AI61*VLOOKUP('Données projet'!$B$10,Paramètres!$A$1:$I$89,3,0)*VLOOKUP('Données projet'!$B$10,Paramètres!$A$1:$I$89,5,0)</f>
        <v>178.13200000000009</v>
      </c>
      <c r="AK61" s="13">
        <f t="shared" si="35"/>
        <v>44.906338593476882</v>
      </c>
      <c r="AL61" s="20">
        <f t="shared" si="4"/>
        <v>388.45843971697235</v>
      </c>
      <c r="AM61" s="59">
        <f t="shared" si="5"/>
        <v>681.79177305030566</v>
      </c>
      <c r="AN61" s="59">
        <f ca="1">AVERAGE(OFFSET($AM$3,0,0,'Données projet'!$E$10+1,1))-AVERAGE(OFFSET($H$3,0,0,'Données projet'!$E$10+1,1))</f>
        <v>306.38046634523579</v>
      </c>
      <c r="AO61" s="59">
        <f t="shared" si="36"/>
        <v>229.77251296097705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8.374198717948719</v>
      </c>
      <c r="BD61" s="12">
        <f>IF('Données projet'!$A$88&gt;35,BD60+BC61-BL60,IF(A61&lt;'Données projet'!$A$88,$BA$205^A61,IF(A61='Données projet'!$A$88,'Données projet'!$B$88,BD60+BC61-BL60)))</f>
        <v>178.41746794871801</v>
      </c>
      <c r="BE61" s="13">
        <f>BD61*VLOOKUP('Données projet'!$B$11,Paramètres!$A$1:$I$89,3,0)*VLOOKUP('Données projet'!$B$11,Paramètres!$A$1:$I$89,5,0)</f>
        <v>180.91531250000008</v>
      </c>
      <c r="BF61" s="13">
        <f t="shared" si="37"/>
        <v>45.525766180401902</v>
      </c>
      <c r="BG61" s="20">
        <f t="shared" si="7"/>
        <v>394.38487870170007</v>
      </c>
      <c r="BH61" s="59">
        <f t="shared" si="8"/>
        <v>687.71821203503339</v>
      </c>
      <c r="BI61" s="59">
        <f ca="1">AVERAGE(OFFSET($BH$3,0,0,'Données projet'!$E$11+1,1))-AVERAGE(OFFSET($H$3,0,0,'Données projet'!$E$11+1,1))</f>
        <v>312.29056285877169</v>
      </c>
      <c r="BJ61" s="59">
        <f t="shared" si="38"/>
        <v>233.85454224241693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234.59999999999985</v>
      </c>
      <c r="BZ61" s="13">
        <f>BY61*VLOOKUP('Données projet'!$B$12,Paramètres!$A$1:$I$89,3,0)*VLOOKUP('Données projet'!$B$12,Paramètres!$A$1:$I$89,5,0)</f>
        <v>186.64775999999989</v>
      </c>
      <c r="CA61" s="13">
        <f t="shared" si="39"/>
        <v>46.79805411155214</v>
      </c>
      <c r="CB61" s="20">
        <f t="shared" si="10"/>
        <v>406.58479291095313</v>
      </c>
      <c r="CC61" s="59">
        <f t="shared" si="11"/>
        <v>699.91812624428644</v>
      </c>
      <c r="CD61" s="59">
        <f ca="1">AVERAGE(OFFSET($CC$3,0,0,'Données projet'!$E$12+1,1))-AVERAGE(OFFSET($H$3,0,0,'Données projet'!$E$12+1,1))</f>
        <v>219.43439115440339</v>
      </c>
      <c r="CE61" s="59">
        <f t="shared" si="40"/>
        <v>217.8880462742099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19.229586016841804</v>
      </c>
      <c r="CL61" s="21">
        <f>EXP(-LN(2)/25)*CL60+(1-EXP(-LN(2)/25))/(LN(2)/25)*Calculateur!CG61*Calculateur!CI61*VLOOKUP('Données projet'!$B$12,Paramètres!$A$1:$I$89,3,0)*0.475*44/12</f>
        <v>12.026359960772419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31.255945977614225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261.10917418234862</v>
      </c>
      <c r="T62" s="59">
        <f t="shared" si="34"/>
        <v>327.65691162938418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8.374198717948719</v>
      </c>
      <c r="AI62" s="13">
        <f>IF('Données projet'!$A$62&gt;35,AI61+AH62-AQ61,IF(A62&lt;'Données projet'!$A$62,$AF$205^A62,IF(A62='Données projet'!$A$62,'Données projet'!$B$62,AI61+AH62-AQ61)))</f>
        <v>186.79166666666674</v>
      </c>
      <c r="AJ62" s="13">
        <f>AI62*VLOOKUP('Données projet'!$B$10,Paramètres!$A$1:$I$89,3,0)*VLOOKUP('Données projet'!$B$10,Paramètres!$A$1:$I$89,5,0)</f>
        <v>186.4928000000001</v>
      </c>
      <c r="AK62" s="13">
        <f t="shared" si="35"/>
        <v>46.763721936465018</v>
      </c>
      <c r="AL62" s="20">
        <f t="shared" si="4"/>
        <v>406.25510903934338</v>
      </c>
      <c r="AM62" s="59">
        <f t="shared" si="5"/>
        <v>699.5884423726767</v>
      </c>
      <c r="AN62" s="59">
        <f ca="1">AVERAGE(OFFSET($AM$3,0,0,'Données projet'!$E$10+1,1))-AVERAGE(OFFSET($H$3,0,0,'Données projet'!$E$10+1,1))</f>
        <v>306.38046634523579</v>
      </c>
      <c r="AO62" s="59">
        <f t="shared" si="36"/>
        <v>229.77251296097705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8.374198717948719</v>
      </c>
      <c r="BD62" s="12">
        <f>IF('Données projet'!$A$88&gt;35,BD61+BC62-BL61,IF(A62&lt;'Données projet'!$A$88,$BA$205^A62,IF(A62='Données projet'!$A$88,'Données projet'!$B$88,BD61+BC62-BL61)))</f>
        <v>186.79166666666674</v>
      </c>
      <c r="BE62" s="13">
        <f>BD62*VLOOKUP('Données projet'!$B$11,Paramètres!$A$1:$I$89,3,0)*VLOOKUP('Données projet'!$B$11,Paramètres!$A$1:$I$89,5,0)</f>
        <v>189.40675000000007</v>
      </c>
      <c r="BF62" s="13">
        <f t="shared" si="37"/>
        <v>47.408769837095797</v>
      </c>
      <c r="BG62" s="20">
        <f t="shared" si="7"/>
        <v>412.45369704960859</v>
      </c>
      <c r="BH62" s="59">
        <f t="shared" si="8"/>
        <v>705.78703038294191</v>
      </c>
      <c r="BI62" s="59">
        <f ca="1">AVERAGE(OFFSET($BH$3,0,0,'Données projet'!$E$11+1,1))-AVERAGE(OFFSET($H$3,0,0,'Données projet'!$E$11+1,1))</f>
        <v>312.29056285877169</v>
      </c>
      <c r="BJ62" s="59">
        <f t="shared" si="38"/>
        <v>233.85454224241693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239.79999999999984</v>
      </c>
      <c r="BZ62" s="13">
        <f>BY62*VLOOKUP('Données projet'!$B$12,Paramètres!$A$1:$I$89,3,0)*VLOOKUP('Données projet'!$B$12,Paramètres!$A$1:$I$89,5,0)</f>
        <v>190.78487999999987</v>
      </c>
      <c r="CA62" s="13">
        <f t="shared" si="39"/>
        <v>47.713437020051622</v>
      </c>
      <c r="CB62" s="20">
        <f t="shared" si="10"/>
        <v>415.384568809923</v>
      </c>
      <c r="CC62" s="59">
        <f t="shared" si="11"/>
        <v>708.71790214325631</v>
      </c>
      <c r="CD62" s="59">
        <f ca="1">AVERAGE(OFFSET($CC$3,0,0,'Données projet'!$E$12+1,1))-AVERAGE(OFFSET($H$3,0,0,'Données projet'!$E$12+1,1))</f>
        <v>219.43439115440339</v>
      </c>
      <c r="CE62" s="59">
        <f t="shared" si="40"/>
        <v>217.8880462742099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18.852505563940873</v>
      </c>
      <c r="CL62" s="21">
        <f>EXP(-LN(2)/25)*CL61+(1-EXP(-LN(2)/25))/(LN(2)/25)*Calculateur!CG62*Calculateur!CI62*VLOOKUP('Données projet'!$B$12,Paramètres!$A$1:$I$89,3,0)*0.475*44/12</f>
        <v>11.697498515206314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30.550004079147186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261.10917418234862</v>
      </c>
      <c r="T63" s="59">
        <f t="shared" si="34"/>
        <v>327.65691162938418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8.374198717948719</v>
      </c>
      <c r="AI63" s="13">
        <f>IF('Données projet'!$A$62&gt;35,AI62+AH63-AQ62,IF(A63&lt;'Données projet'!$A$62,$AF$205^A63,IF(A63='Données projet'!$A$62,'Données projet'!$B$62,AI62+AH63-AQ62)))</f>
        <v>195.16586538461547</v>
      </c>
      <c r="AJ63" s="13">
        <f>AI63*VLOOKUP('Données projet'!$B$10,Paramètres!$A$1:$I$89,3,0)*VLOOKUP('Données projet'!$B$10,Paramètres!$A$1:$I$89,5,0)</f>
        <v>194.85360000000009</v>
      </c>
      <c r="AK63" s="13">
        <f t="shared" si="35"/>
        <v>48.611434504697307</v>
      </c>
      <c r="AL63" s="20">
        <f t="shared" si="4"/>
        <v>424.03493509568131</v>
      </c>
      <c r="AM63" s="59">
        <f t="shared" si="5"/>
        <v>717.36826842901462</v>
      </c>
      <c r="AN63" s="59">
        <f ca="1">AVERAGE(OFFSET($AM$3,0,0,'Données projet'!$E$10+1,1))-AVERAGE(OFFSET($H$3,0,0,'Données projet'!$E$10+1,1))</f>
        <v>306.38046634523579</v>
      </c>
      <c r="AO63" s="59">
        <f t="shared" si="36"/>
        <v>229.77251296097705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8.374198717948719</v>
      </c>
      <c r="BD63" s="12">
        <f>IF('Données projet'!$A$88&gt;35,BD62+BC63-BL62,IF(A63&lt;'Données projet'!$A$88,$BA$205^A63,IF(A63='Données projet'!$A$88,'Données projet'!$B$88,BD62+BC63-BL62)))</f>
        <v>195.16586538461547</v>
      </c>
      <c r="BE63" s="13">
        <f>BD63*VLOOKUP('Données projet'!$B$11,Paramètres!$A$1:$I$89,3,0)*VLOOKUP('Données projet'!$B$11,Paramètres!$A$1:$I$89,5,0)</f>
        <v>197.89818750000012</v>
      </c>
      <c r="BF63" s="13">
        <f t="shared" si="37"/>
        <v>49.281969322616803</v>
      </c>
      <c r="BG63" s="20">
        <f t="shared" si="7"/>
        <v>430.50543979939113</v>
      </c>
      <c r="BH63" s="59">
        <f t="shared" si="8"/>
        <v>723.83877313272444</v>
      </c>
      <c r="BI63" s="59">
        <f ca="1">AVERAGE(OFFSET($BH$3,0,0,'Données projet'!$E$11+1,1))-AVERAGE(OFFSET($H$3,0,0,'Données projet'!$E$11+1,1))</f>
        <v>312.29056285877169</v>
      </c>
      <c r="BJ63" s="59">
        <f t="shared" si="38"/>
        <v>233.85454224241693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244.99999999999983</v>
      </c>
      <c r="BZ63" s="13">
        <f>BY63*VLOOKUP('Données projet'!$B$12,Paramètres!$A$1:$I$89,3,0)*VLOOKUP('Données projet'!$B$12,Paramètres!$A$1:$I$89,5,0)</f>
        <v>194.92199999999988</v>
      </c>
      <c r="CA63" s="13">
        <f t="shared" si="39"/>
        <v>48.626512129794925</v>
      </c>
      <c r="CB63" s="20">
        <f t="shared" si="10"/>
        <v>424.18032529272591</v>
      </c>
      <c r="CC63" s="59">
        <f t="shared" si="11"/>
        <v>717.51365862605917</v>
      </c>
      <c r="CD63" s="59">
        <f ca="1">AVERAGE(OFFSET($CC$3,0,0,'Données projet'!$E$12+1,1))-AVERAGE(OFFSET($H$3,0,0,'Données projet'!$E$12+1,1))</f>
        <v>219.43439115440339</v>
      </c>
      <c r="CE63" s="59">
        <f t="shared" si="40"/>
        <v>217.8880462742099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12</v>
      </c>
      <c r="CH63" s="16">
        <f>IF(ISNA(VLOOKUP(A63,'Données projet'!$A$113:$I$133,5,0)),0%,VLOOKUP(A63,'Données projet'!$A$113:$I$133,5,0)*VLOOKUP('Données projet'!$B$12,Paramètres!$A$1:$I$89,7,0))</f>
        <v>0.43990000000000001</v>
      </c>
      <c r="CI63" s="16">
        <f>IF(ISNA(VLOOKUP(A63,'Données projet'!$A$113:$I$133,6,0)),0%,VLOOKUP(A63,'Données projet'!$A$113:$I$133,6,0)*VLOOKUP('Données projet'!$B$12,Paramètres!$A$1:$I$89,7,0))</f>
        <v>4.24E-2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23.125588609334091</v>
      </c>
      <c r="CL63" s="21">
        <f>EXP(-LN(2)/25)*CL62+(1-EXP(-LN(2)/25))/(LN(2)/25)*Calculateur!CG63*Calculateur!CI63*VLOOKUP('Données projet'!$B$12,Paramètres!$A$1:$I$89,3,0)*0.475*44/12</f>
        <v>11.823363666229437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34.948952275563528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261.10917418234862</v>
      </c>
      <c r="T64" s="59">
        <f t="shared" si="34"/>
        <v>327.65691162938418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8.374198717948719</v>
      </c>
      <c r="AI64" s="13">
        <f>IF('Données projet'!$A$62&gt;35,AI63+AH64-AQ63,IF(A64&lt;'Données projet'!$A$62,$AF$205^A64,IF(A64='Données projet'!$A$62,'Données projet'!$B$62,AI63+AH64-AQ63)))</f>
        <v>203.5400641025642</v>
      </c>
      <c r="AJ64" s="13">
        <f>AI64*VLOOKUP('Données projet'!$B$10,Paramètres!$A$1:$I$89,3,0)*VLOOKUP('Données projet'!$B$10,Paramètres!$A$1:$I$89,5,0)</f>
        <v>203.2144000000001</v>
      </c>
      <c r="AK64" s="13">
        <f t="shared" si="35"/>
        <v>50.449938688199708</v>
      </c>
      <c r="AL64" s="20">
        <f t="shared" si="4"/>
        <v>441.79872321528131</v>
      </c>
      <c r="AM64" s="59">
        <f t="shared" si="5"/>
        <v>735.13205654861463</v>
      </c>
      <c r="AN64" s="59">
        <f ca="1">AVERAGE(OFFSET($AM$3,0,0,'Données projet'!$E$10+1,1))-AVERAGE(OFFSET($H$3,0,0,'Données projet'!$E$10+1,1))</f>
        <v>306.38046634523579</v>
      </c>
      <c r="AO64" s="59">
        <f t="shared" si="36"/>
        <v>229.77251296097705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8.374198717948719</v>
      </c>
      <c r="BD64" s="12">
        <f>IF('Données projet'!$A$88&gt;35,BD63+BC64-BL63,IF(A64&lt;'Données projet'!$A$88,$BA$205^A64,IF(A64='Données projet'!$A$88,'Données projet'!$B$88,BD63+BC64-BL63)))</f>
        <v>203.5400641025642</v>
      </c>
      <c r="BE64" s="13">
        <f>BD64*VLOOKUP('Données projet'!$B$11,Paramètres!$A$1:$I$89,3,0)*VLOOKUP('Données projet'!$B$11,Paramètres!$A$1:$I$89,5,0)</f>
        <v>206.38962500000014</v>
      </c>
      <c r="BF64" s="13">
        <f t="shared" si="37"/>
        <v>51.145833405091373</v>
      </c>
      <c r="BG64" s="20">
        <f t="shared" si="7"/>
        <v>448.54092338886767</v>
      </c>
      <c r="BH64" s="59">
        <f t="shared" si="8"/>
        <v>741.87425672220093</v>
      </c>
      <c r="BI64" s="59">
        <f ca="1">AVERAGE(OFFSET($BH$3,0,0,'Données projet'!$E$11+1,1))-AVERAGE(OFFSET($H$3,0,0,'Données projet'!$E$11+1,1))</f>
        <v>312.29056285877169</v>
      </c>
      <c r="BJ64" s="59">
        <f t="shared" si="38"/>
        <v>233.85454224241693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237.39999999999984</v>
      </c>
      <c r="BZ64" s="13">
        <f>BY64*VLOOKUP('Données projet'!$B$12,Paramètres!$A$1:$I$89,3,0)*VLOOKUP('Données projet'!$B$12,Paramètres!$A$1:$I$89,5,0)</f>
        <v>188.87543999999988</v>
      </c>
      <c r="CA64" s="13">
        <f t="shared" si="39"/>
        <v>47.291242769027726</v>
      </c>
      <c r="CB64" s="20">
        <f t="shared" si="10"/>
        <v>411.32363915605634</v>
      </c>
      <c r="CC64" s="59">
        <f t="shared" si="11"/>
        <v>704.65697248938966</v>
      </c>
      <c r="CD64" s="59">
        <f ca="1">AVERAGE(OFFSET($CC$3,0,0,'Données projet'!$E$12+1,1))-AVERAGE(OFFSET($H$3,0,0,'Données projet'!$E$12+1,1))</f>
        <v>219.43439115440339</v>
      </c>
      <c r="CE64" s="59">
        <f t="shared" si="40"/>
        <v>217.8880462742099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22.672109921921326</v>
      </c>
      <c r="CL64" s="21">
        <f>EXP(-LN(2)/25)*CL63+(1-EXP(-LN(2)/25))/(LN(2)/25)*Calculateur!CG64*Calculateur!CI64*VLOOKUP('Données projet'!$B$12,Paramètres!$A$1:$I$89,3,0)*0.475*44/12</f>
        <v>11.500053165012719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34.172163086934049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261.10917418234862</v>
      </c>
      <c r="T65" s="59">
        <f t="shared" si="34"/>
        <v>327.65691162938418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8.374198717948719</v>
      </c>
      <c r="AI65" s="13">
        <f>IF('Données projet'!$A$62&gt;35,AI64+AH65-AQ64,IF(A65&lt;'Données projet'!$A$62,$AF$205^A65,IF(A65='Données projet'!$A$62,'Données projet'!$B$62,AI64+AH65-AQ64)))</f>
        <v>211.91426282051293</v>
      </c>
      <c r="AJ65" s="13">
        <f>AI65*VLOOKUP('Données projet'!$B$10,Paramètres!$A$1:$I$89,3,0)*VLOOKUP('Données projet'!$B$10,Paramètres!$A$1:$I$89,5,0)</f>
        <v>211.57520000000011</v>
      </c>
      <c r="AK65" s="13">
        <f t="shared" si="35"/>
        <v>52.27965667608688</v>
      </c>
      <c r="AL65" s="20">
        <f t="shared" si="4"/>
        <v>459.54720871085141</v>
      </c>
      <c r="AM65" s="59">
        <f t="shared" si="5"/>
        <v>752.88054204418472</v>
      </c>
      <c r="AN65" s="59">
        <f ca="1">AVERAGE(OFFSET($AM$3,0,0,'Données projet'!$E$10+1,1))-AVERAGE(OFFSET($H$3,0,0,'Données projet'!$E$10+1,1))</f>
        <v>306.38046634523579</v>
      </c>
      <c r="AO65" s="59">
        <f t="shared" si="36"/>
        <v>229.77251296097705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8.374198717948719</v>
      </c>
      <c r="BD65" s="12">
        <f>IF('Données projet'!$A$88&gt;35,BD64+BC65-BL64,IF(A65&lt;'Données projet'!$A$88,$BA$205^A65,IF(A65='Données projet'!$A$88,'Données projet'!$B$88,BD64+BC65-BL64)))</f>
        <v>211.91426282051293</v>
      </c>
      <c r="BE65" s="13">
        <f>BD65*VLOOKUP('Données projet'!$B$11,Paramètres!$A$1:$I$89,3,0)*VLOOKUP('Données projet'!$B$11,Paramètres!$A$1:$I$89,5,0)</f>
        <v>214.88106250000013</v>
      </c>
      <c r="BF65" s="13">
        <f t="shared" si="37"/>
        <v>53.000790097212402</v>
      </c>
      <c r="BG65" s="20">
        <f t="shared" si="7"/>
        <v>466.56089327347848</v>
      </c>
      <c r="BH65" s="59">
        <f t="shared" si="8"/>
        <v>759.8942266068118</v>
      </c>
      <c r="BI65" s="59">
        <f ca="1">AVERAGE(OFFSET($BH$3,0,0,'Données projet'!$E$11+1,1))-AVERAGE(OFFSET($H$3,0,0,'Données projet'!$E$11+1,1))</f>
        <v>312.29056285877169</v>
      </c>
      <c r="BJ65" s="59">
        <f t="shared" si="38"/>
        <v>233.85454224241693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241.79999999999984</v>
      </c>
      <c r="BZ65" s="13">
        <f>BY65*VLOOKUP('Données projet'!$B$12,Paramètres!$A$1:$I$89,3,0)*VLOOKUP('Données projet'!$B$12,Paramètres!$A$1:$I$89,5,0)</f>
        <v>192.37607999999989</v>
      </c>
      <c r="CA65" s="13">
        <f t="shared" si="39"/>
        <v>48.064889828485896</v>
      </c>
      <c r="CB65" s="20">
        <f t="shared" si="10"/>
        <v>418.76802245127936</v>
      </c>
      <c r="CC65" s="59">
        <f t="shared" si="11"/>
        <v>712.10135578461268</v>
      </c>
      <c r="CD65" s="59">
        <f ca="1">AVERAGE(OFFSET($CC$3,0,0,'Données projet'!$E$12+1,1))-AVERAGE(OFFSET($H$3,0,0,'Données projet'!$E$12+1,1))</f>
        <v>219.43439115440339</v>
      </c>
      <c r="CE65" s="59">
        <f t="shared" si="40"/>
        <v>217.8880462742099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22.227523674974037</v>
      </c>
      <c r="CL65" s="21">
        <f>EXP(-LN(2)/25)*CL64+(1-EXP(-LN(2)/25))/(LN(2)/25)*Calculateur!CG65*Calculateur!CI65*VLOOKUP('Données projet'!$B$12,Paramètres!$A$1:$I$89,3,0)*0.475*44/12</f>
        <v>11.185583606453934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33.413107281427969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261.10917418234862</v>
      </c>
      <c r="T66" s="59">
        <f t="shared" si="34"/>
        <v>327.65691162938418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220.28846153846152</v>
      </c>
      <c r="AG66" s="12">
        <f>VLOOKUP(A66,'Données projet'!$A$61:$I$81,9,0)</f>
        <v>8.374198717948719</v>
      </c>
      <c r="AH66" s="12">
        <f t="array" ref="AH66">INDEX(AG:AG,MIN(IF(ISNUMBER(AG66:AG262),ROW(AG66:AG262),"")))</f>
        <v>8.374198717948719</v>
      </c>
      <c r="AI66" s="13">
        <f>IF('Données projet'!$A$62&gt;35,AI65+AH66-AQ65,IF(A66&lt;'Données projet'!$A$62,$AF$205^A66,IF(A66='Données projet'!$A$62,'Données projet'!$B$62,AI65+AH66-AQ65)))</f>
        <v>220.28846153846166</v>
      </c>
      <c r="AJ66" s="13">
        <f>AI66*VLOOKUP('Données projet'!$B$10,Paramètres!$A$1:$I$89,3,0)*VLOOKUP('Données projet'!$B$10,Paramètres!$A$1:$I$89,5,0)</f>
        <v>219.93600000000015</v>
      </c>
      <c r="AK66" s="13">
        <f t="shared" si="35"/>
        <v>54.100975401271725</v>
      </c>
      <c r="AL66" s="20">
        <f t="shared" si="4"/>
        <v>477.28106549054843</v>
      </c>
      <c r="AM66" s="59">
        <f t="shared" si="5"/>
        <v>770.61439882388174</v>
      </c>
      <c r="AN66" s="59">
        <f ca="1">AVERAGE(OFFSET($AM$3,0,0,'Données projet'!$E$10+1,1))-AVERAGE(OFFSET($H$3,0,0,'Données projet'!$E$10+1,1))</f>
        <v>306.38046634523579</v>
      </c>
      <c r="AO66" s="59">
        <f t="shared" si="36"/>
        <v>229.77251296097705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41.724358974358978</v>
      </c>
      <c r="AR66" s="16">
        <f>IF(ISNA(VLOOKUP(A66,'Données projet'!$A$61:$I$81,5,0)),0%,VLOOKUP(A66,'Données projet'!$A$61:$I$81,5,0)*VLOOKUP('Données projet'!$B$10,Paramètres!$A$1:$I$89,7,0))</f>
        <v>0.30099999999999999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13.861424107611981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13.861424107611981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220.28846153846152</v>
      </c>
      <c r="BB66" s="12">
        <f>VLOOKUP(A66,'Données projet'!$A$87:$I$107,9,0)</f>
        <v>8.374198717948719</v>
      </c>
      <c r="BC66" s="12">
        <f t="array" ref="BC66">INDEX(BB:BB,MIN(IF(ISNUMBER(BB66:BB262),ROW(BB66:BB262),"")))</f>
        <v>8.374198717948719</v>
      </c>
      <c r="BD66" s="12">
        <f>IF('Données projet'!$A$88&gt;35,BD65+BC66-BL65,IF(A66&lt;'Données projet'!$A$88,$BA$205^A66,IF(A66='Données projet'!$A$88,'Données projet'!$B$88,BD65+BC66-BL65)))</f>
        <v>220.28846153846166</v>
      </c>
      <c r="BE66" s="13">
        <f>BD66*VLOOKUP('Données projet'!$B$11,Paramètres!$A$1:$I$89,3,0)*VLOOKUP('Données projet'!$B$11,Paramètres!$A$1:$I$89,5,0)</f>
        <v>223.37250000000014</v>
      </c>
      <c r="BF66" s="13">
        <f t="shared" si="37"/>
        <v>54.84723166915564</v>
      </c>
      <c r="BG66" s="20">
        <f t="shared" si="7"/>
        <v>484.566032657113</v>
      </c>
      <c r="BH66" s="59">
        <f t="shared" si="8"/>
        <v>777.89936599044631</v>
      </c>
      <c r="BI66" s="59">
        <f ca="1">AVERAGE(OFFSET($BH$3,0,0,'Données projet'!$E$11+1,1))-AVERAGE(OFFSET($H$3,0,0,'Données projet'!$E$11+1,1))</f>
        <v>312.29056285877169</v>
      </c>
      <c r="BJ66" s="59">
        <f t="shared" si="38"/>
        <v>233.85454224241693</v>
      </c>
      <c r="BK66" s="15">
        <f>IF(ISNA(VLOOKUP(A66,'Données projet'!$A$87:$I$107,3,0)),0,VLOOKUP(A66,'Données projet'!$A$87:$I$107,3,0))</f>
        <v>5</v>
      </c>
      <c r="BL66" s="15">
        <f>IF(ISNA(VLOOKUP(A66,'Données projet'!$A$87:$I$107,4,0)),0,VLOOKUP(A66,'Données projet'!$A$87:$I$107,4,0))</f>
        <v>41.724358974358978</v>
      </c>
      <c r="BM66" s="16">
        <f>IF(ISNA(VLOOKUP(A66,'Données projet'!$A$87:$I$107,5,0)),0%,VLOOKUP(A66,'Données projet'!$A$87:$I$107,5,0)*VLOOKUP('Données projet'!$B$11,Paramètres!$A$1:$I$89,7,0))</f>
        <v>0.30099999999999999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14.078008859293417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14.078008859293417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246.19999999999985</v>
      </c>
      <c r="BZ66" s="13">
        <f>BY66*VLOOKUP('Données projet'!$B$12,Paramètres!$A$1:$I$89,3,0)*VLOOKUP('Données projet'!$B$12,Paramètres!$A$1:$I$89,5,0)</f>
        <v>195.87671999999989</v>
      </c>
      <c r="CA66" s="13">
        <f t="shared" si="39"/>
        <v>48.836899853879942</v>
      </c>
      <c r="CB66" s="20">
        <f t="shared" si="10"/>
        <v>426.20955457884071</v>
      </c>
      <c r="CC66" s="59">
        <f t="shared" si="11"/>
        <v>719.54288791217402</v>
      </c>
      <c r="CD66" s="59">
        <f ca="1">AVERAGE(OFFSET($CC$3,0,0,'Données projet'!$E$12+1,1))-AVERAGE(OFFSET($H$3,0,0,'Données projet'!$E$12+1,1))</f>
        <v>219.43439115440339</v>
      </c>
      <c r="CE66" s="59">
        <f t="shared" si="40"/>
        <v>217.8880462742099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21.791655493158551</v>
      </c>
      <c r="CL66" s="21">
        <f>EXP(-LN(2)/25)*CL65+(1-EXP(-LN(2)/25))/(LN(2)/25)*Calculateur!CG66*Calculateur!CI66*VLOOKUP('Données projet'!$B$12,Paramètres!$A$1:$I$89,3,0)*0.475*44/12</f>
        <v>10.879713234511174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32.671368727669723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261.10917418234862</v>
      </c>
      <c r="T67" s="59">
        <f t="shared" si="34"/>
        <v>327.65691162938418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8.1001602564102626</v>
      </c>
      <c r="AI67" s="13">
        <f>IF('Données projet'!$A$62&gt;35,AI66+AH67-AQ66,IF(A67&lt;'Données projet'!$A$62,$AF$205^A67,IF(A67='Données projet'!$A$62,'Données projet'!$B$62,AI66+AH67-AQ66)))</f>
        <v>186.66426282051296</v>
      </c>
      <c r="AJ67" s="13">
        <f>AI67*VLOOKUP('Données projet'!$B$10,Paramètres!$A$1:$I$89,3,0)*VLOOKUP('Données projet'!$B$10,Paramètres!$A$1:$I$89,5,0)</f>
        <v>186.36560000000014</v>
      </c>
      <c r="AK67" s="13">
        <f t="shared" si="35"/>
        <v>46.735537648833898</v>
      </c>
      <c r="AL67" s="20">
        <f t="shared" si="4"/>
        <v>405.98448140505258</v>
      </c>
      <c r="AM67" s="59">
        <f t="shared" si="5"/>
        <v>699.31781473838589</v>
      </c>
      <c r="AN67" s="59">
        <f ca="1">AVERAGE(OFFSET($AM$3,0,0,'Données projet'!$E$10+1,1))-AVERAGE(OFFSET($H$3,0,0,'Données projet'!$E$10+1,1))</f>
        <v>306.38046634523579</v>
      </c>
      <c r="AO67" s="59">
        <f t="shared" si="36"/>
        <v>229.77251296097705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13.589610035495591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13.589610035495591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8.1001602564102626</v>
      </c>
      <c r="BD67" s="12">
        <f>IF('Données projet'!$A$88&gt;35,BD66+BC67-BL66,IF(A67&lt;'Données projet'!$A$88,$BA$205^A67,IF(A67='Données projet'!$A$88,'Données projet'!$B$88,BD66+BC67-BL66)))</f>
        <v>186.66426282051296</v>
      </c>
      <c r="BE67" s="13">
        <f>BD67*VLOOKUP('Données projet'!$B$11,Paramètres!$A$1:$I$89,3,0)*VLOOKUP('Données projet'!$B$11,Paramètres!$A$1:$I$89,5,0)</f>
        <v>189.27756250000016</v>
      </c>
      <c r="BF67" s="13">
        <f t="shared" si="37"/>
        <v>47.380196781958283</v>
      </c>
      <c r="BG67" s="20">
        <f t="shared" si="7"/>
        <v>412.17893074941094</v>
      </c>
      <c r="BH67" s="59">
        <f t="shared" si="8"/>
        <v>705.5122640827442</v>
      </c>
      <c r="BI67" s="59">
        <f ca="1">AVERAGE(OFFSET($BH$3,0,0,'Données projet'!$E$11+1,1))-AVERAGE(OFFSET($H$3,0,0,'Données projet'!$E$11+1,1))</f>
        <v>312.29056285877169</v>
      </c>
      <c r="BJ67" s="59">
        <f t="shared" si="38"/>
        <v>233.85454224241693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13.801947692300208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13.801947692300208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250.59999999999985</v>
      </c>
      <c r="BZ67" s="13">
        <f>BY67*VLOOKUP('Données projet'!$B$12,Paramètres!$A$1:$I$89,3,0)*VLOOKUP('Données projet'!$B$12,Paramètres!$A$1:$I$89,5,0)</f>
        <v>199.3773599999999</v>
      </c>
      <c r="CA67" s="13">
        <f t="shared" si="39"/>
        <v>49.607305476717762</v>
      </c>
      <c r="CB67" s="20">
        <f t="shared" si="10"/>
        <v>433.64829237194994</v>
      </c>
      <c r="CC67" s="59">
        <f t="shared" si="11"/>
        <v>726.98162570528325</v>
      </c>
      <c r="CD67" s="59">
        <f ca="1">AVERAGE(OFFSET($CC$3,0,0,'Données projet'!$E$12+1,1))-AVERAGE(OFFSET($H$3,0,0,'Données projet'!$E$12+1,1))</f>
        <v>219.43439115440339</v>
      </c>
      <c r="CE67" s="59">
        <f t="shared" si="40"/>
        <v>217.8880462742099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21.364334420535126</v>
      </c>
      <c r="CL67" s="21">
        <f>EXP(-LN(2)/25)*CL66+(1-EXP(-LN(2)/25))/(LN(2)/25)*Calculateur!CG67*Calculateur!CI67*VLOOKUP('Données projet'!$B$12,Paramètres!$A$1:$I$89,3,0)*0.475*44/12</f>
        <v>10.582206903974212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31.94654132450934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261.10917418234862</v>
      </c>
      <c r="T68" s="59">
        <f t="shared" si="34"/>
        <v>327.65691162938418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8.1001602564102626</v>
      </c>
      <c r="AI68" s="13">
        <f>IF('Données projet'!$A$62&gt;35,AI67+AH68-AQ67,IF(A68&lt;'Données projet'!$A$62,$AF$205^A68,IF(A68='Données projet'!$A$62,'Données projet'!$B$62,AI67+AH68-AQ67)))</f>
        <v>194.76442307692321</v>
      </c>
      <c r="AJ68" s="13">
        <f>AI68*VLOOKUP('Données projet'!$B$10,Paramètres!$A$1:$I$89,3,0)*VLOOKUP('Données projet'!$B$10,Paramètres!$A$1:$I$89,5,0)</f>
        <v>194.45280000000014</v>
      </c>
      <c r="AK68" s="13">
        <f t="shared" si="35"/>
        <v>48.52307252228794</v>
      </c>
      <c r="AL68" s="20">
        <f t="shared" ref="AL68:AL131" si="58">(AJ68+AK68)*0.475*44/12</f>
        <v>423.1829779763184</v>
      </c>
      <c r="AM68" s="59">
        <f t="shared" ref="AM68:AM131" si="59">AL68+(AD68+AE68)*44/12</f>
        <v>716.51631130965166</v>
      </c>
      <c r="AN68" s="59">
        <f ca="1">AVERAGE(OFFSET($AM$3,0,0,'Données projet'!$E$10+1,1))-AVERAGE(OFFSET($H$3,0,0,'Données projet'!$E$10+1,1))</f>
        <v>306.38046634523579</v>
      </c>
      <c r="AO68" s="59">
        <f t="shared" si="36"/>
        <v>229.77251296097705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13.323126071543189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13.323126071543189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8.1001602564102626</v>
      </c>
      <c r="BD68" s="12">
        <f>IF('Données projet'!$A$88&gt;35,BD67+BC68-BL67,IF(A68&lt;'Données projet'!$A$88,$BA$205^A68,IF(A68='Données projet'!$A$88,'Données projet'!$B$88,BD67+BC68-BL67)))</f>
        <v>194.76442307692321</v>
      </c>
      <c r="BE68" s="13">
        <f>BD68*VLOOKUP('Données projet'!$B$11,Paramètres!$A$1:$I$89,3,0)*VLOOKUP('Données projet'!$B$11,Paramètres!$A$1:$I$89,5,0)</f>
        <v>197.49112500000015</v>
      </c>
      <c r="BF68" s="13">
        <f t="shared" si="37"/>
        <v>49.192388495579841</v>
      </c>
      <c r="BG68" s="20">
        <f t="shared" ref="BG68:BG131" si="61">(BE68+BF68)*0.475*44/12</f>
        <v>429.64045267146849</v>
      </c>
      <c r="BH68" s="59">
        <f t="shared" ref="BH68:BH131" si="62">BG68+(AY68+AZ68)*44/12</f>
        <v>722.97378600480181</v>
      </c>
      <c r="BI68" s="59">
        <f ca="1">AVERAGE(OFFSET($BH$3,0,0,'Données projet'!$E$11+1,1))-AVERAGE(OFFSET($H$3,0,0,'Données projet'!$E$11+1,1))</f>
        <v>312.29056285877169</v>
      </c>
      <c r="BJ68" s="59">
        <f t="shared" si="38"/>
        <v>233.85454224241693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13.531299916411051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13.531299916411051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255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254.99999999999986</v>
      </c>
      <c r="BZ68" s="13">
        <f>BY68*VLOOKUP('Données projet'!$B$12,Paramètres!$A$1:$I$89,3,0)*VLOOKUP('Données projet'!$B$12,Paramètres!$A$1:$I$89,5,0)</f>
        <v>202.8779999999999</v>
      </c>
      <c r="CA68" s="13">
        <f t="shared" si="39"/>
        <v>50.376138116990084</v>
      </c>
      <c r="CB68" s="20">
        <f t="shared" ref="CB68:CB131" si="64">(BZ68+CA68)*0.475*44/12</f>
        <v>441.08429055375751</v>
      </c>
      <c r="CC68" s="59">
        <f t="shared" ref="CC68:CC131" si="65">CB68+(BT68+BU68)*44/12</f>
        <v>734.41762388709083</v>
      </c>
      <c r="CD68" s="59">
        <f ca="1">AVERAGE(OFFSET($CC$3,0,0,'Données projet'!$E$12+1,1))-AVERAGE(OFFSET($H$3,0,0,'Données projet'!$E$12+1,1))</f>
        <v>219.43439115440339</v>
      </c>
      <c r="CE68" s="59">
        <f t="shared" si="40"/>
        <v>217.8880462742099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11</v>
      </c>
      <c r="CH68" s="16">
        <f>IF(ISNA(VLOOKUP(A68,'Données projet'!$A$113:$I$133,5,0)),0%,VLOOKUP(A68,'Données projet'!$A$113:$I$133,5,0)*VLOOKUP('Données projet'!$B$12,Paramètres!$A$1:$I$89,7,0))</f>
        <v>0.43459999999999999</v>
      </c>
      <c r="CI68" s="16">
        <f>IF(ISNA(VLOOKUP(A68,'Données projet'!$A$113:$I$133,6,0)),0%,VLOOKUP(A68,'Données projet'!$A$113:$I$133,6,0)*VLOOKUP('Données projet'!$B$12,Paramètres!$A$1:$I$89,7,0))</f>
        <v>4.7699999999999999E-2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25.149989039157767</v>
      </c>
      <c r="CL68" s="21">
        <f>EXP(-LN(2)/25)*CL67+(1-EXP(-LN(2)/25))/(LN(2)/25)*Calculateur!CG68*Calculateur!CI68*VLOOKUP('Données projet'!$B$12,Paramètres!$A$1:$I$89,3,0)*0.475*44/12</f>
        <v>10.75249894597793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35.902487985135693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261.10917418234862</v>
      </c>
      <c r="T69" s="59">
        <f t="shared" ref="T69:T132" si="88">$T$3</f>
        <v>327.65691162938418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8.1001602564102626</v>
      </c>
      <c r="AI69" s="13">
        <f>IF('Données projet'!$A$62&gt;35,AI68+AH69-AQ68,IF(A69&lt;'Données projet'!$A$62,$AF$205^A69,IF(A69='Données projet'!$A$62,'Données projet'!$B$62,AI68+AH69-AQ68)))</f>
        <v>202.86458333333348</v>
      </c>
      <c r="AJ69" s="13">
        <f>AI69*VLOOKUP('Données projet'!$B$10,Paramètres!$A$1:$I$89,3,0)*VLOOKUP('Données projet'!$B$10,Paramètres!$A$1:$I$89,5,0)</f>
        <v>202.54000000000016</v>
      </c>
      <c r="AK69" s="13">
        <f t="shared" ref="AK69:AK132" si="89">EXP(-1.0587+0.8836*LN(AJ69)+0.284)</f>
        <v>50.301972185087102</v>
      </c>
      <c r="AL69" s="20">
        <f t="shared" si="58"/>
        <v>440.366434889027</v>
      </c>
      <c r="AM69" s="59">
        <f t="shared" si="59"/>
        <v>733.69976822236026</v>
      </c>
      <c r="AN69" s="59">
        <f ca="1">AVERAGE(OFFSET($AM$3,0,0,'Données projet'!$E$10+1,1))-AVERAGE(OFFSET($H$3,0,0,'Données projet'!$E$10+1,1))</f>
        <v>306.38046634523579</v>
      </c>
      <c r="AO69" s="59">
        <f t="shared" ref="AO69:AO132" si="90">$AO$3</f>
        <v>229.77251296097705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13.061867695584725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13.061867695584725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8.1001602564102626</v>
      </c>
      <c r="BD69" s="12">
        <f>IF('Données projet'!$A$88&gt;35,BD68+BC69-BL68,IF(A69&lt;'Données projet'!$A$88,$BA$205^A69,IF(A69='Données projet'!$A$88,'Données projet'!$B$88,BD68+BC69-BL68)))</f>
        <v>202.86458333333348</v>
      </c>
      <c r="BE69" s="13">
        <f>BD69*VLOOKUP('Données projet'!$B$11,Paramètres!$A$1:$I$89,3,0)*VLOOKUP('Données projet'!$B$11,Paramètres!$A$1:$I$89,5,0)</f>
        <v>205.70468750000018</v>
      </c>
      <c r="BF69" s="13">
        <f t="shared" ref="BF69:BF132" si="91">EXP(-1.0587+0.8836*LN(BE69)+0.284)</f>
        <v>50.995825886459762</v>
      </c>
      <c r="BG69" s="20">
        <f t="shared" si="61"/>
        <v>447.08672748141771</v>
      </c>
      <c r="BH69" s="59">
        <f t="shared" si="62"/>
        <v>740.42006081475097</v>
      </c>
      <c r="BI69" s="59">
        <f ca="1">AVERAGE(OFFSET($BH$3,0,0,'Données projet'!$E$11+1,1))-AVERAGE(OFFSET($H$3,0,0,'Données projet'!$E$11+1,1))</f>
        <v>312.29056285877169</v>
      </c>
      <c r="BJ69" s="59">
        <f t="shared" ref="BJ69:BJ132" si="92">$BJ$3</f>
        <v>233.85454224241693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13.265959378328235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13.265959378328235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3.8</v>
      </c>
      <c r="BY69" s="12">
        <f>IF('Données projet'!$A$114&gt;35,BY68+BX69-CG68,IF(A69&lt;'Données projet'!$A$114,$BV$205^A69,IF(A69='Données projet'!$A$114,'Données projet'!$B$114,BY68+BX69-CG68)))</f>
        <v>247.79999999999984</v>
      </c>
      <c r="BZ69" s="13">
        <f>BY69*VLOOKUP('Données projet'!$B$12,Paramètres!$A$1:$I$89,3,0)*VLOOKUP('Données projet'!$B$12,Paramètres!$A$1:$I$89,5,0)</f>
        <v>197.14967999999988</v>
      </c>
      <c r="CA69" s="13">
        <f t="shared" ref="CA69:CA132" si="93">EXP(-1.0587+0.8836*LN(BZ69)+0.284)</f>
        <v>49.11723130862363</v>
      </c>
      <c r="CB69" s="20">
        <f t="shared" si="64"/>
        <v>428.91487052918592</v>
      </c>
      <c r="CC69" s="59">
        <f t="shared" si="65"/>
        <v>722.24820386251918</v>
      </c>
      <c r="CD69" s="59">
        <f ca="1">AVERAGE(OFFSET($CC$3,0,0,'Données projet'!$E$12+1,1))-AVERAGE(OFFSET($H$3,0,0,'Données projet'!$E$12+1,1))</f>
        <v>219.43439115440339</v>
      </c>
      <c r="CE69" s="59">
        <f t="shared" ref="CE69:CE132" si="94">$CE$3</f>
        <v>217.8880462742099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24.656813094078501</v>
      </c>
      <c r="CL69" s="21">
        <f>EXP(-LN(2)/25)*CL68+(1-EXP(-LN(2)/25))/(LN(2)/25)*Calculateur!CG69*Calculateur!CI69*VLOOKUP('Données projet'!$B$12,Paramètres!$A$1:$I$89,3,0)*0.475*44/12</f>
        <v>10.458471296850819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35.115284390929318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261.10917418234862</v>
      </c>
      <c r="T70" s="59">
        <f t="shared" si="88"/>
        <v>327.65691162938418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8.1001602564102626</v>
      </c>
      <c r="AI70" s="13">
        <f>IF('Données projet'!$A$62&gt;35,AI69+AH70-AQ69,IF(A70&lt;'Données projet'!$A$62,$AF$205^A70,IF(A70='Données projet'!$A$62,'Données projet'!$B$62,AI69+AH70-AQ69)))</f>
        <v>210.96474358974376</v>
      </c>
      <c r="AJ70" s="13">
        <f>AI70*VLOOKUP('Données projet'!$B$10,Paramètres!$A$1:$I$89,3,0)*VLOOKUP('Données projet'!$B$10,Paramètres!$A$1:$I$89,5,0)</f>
        <v>210.62720000000016</v>
      </c>
      <c r="AK70" s="13">
        <f t="shared" si="89"/>
        <v>52.072620880720208</v>
      </c>
      <c r="AL70" s="20">
        <f t="shared" si="58"/>
        <v>457.53552136725466</v>
      </c>
      <c r="AM70" s="59">
        <f t="shared" si="59"/>
        <v>750.86885470058792</v>
      </c>
      <c r="AN70" s="59">
        <f ca="1">AVERAGE(OFFSET($AM$3,0,0,'Données projet'!$E$10+1,1))-AVERAGE(OFFSET($H$3,0,0,'Données projet'!$E$10+1,1))</f>
        <v>306.38046634523579</v>
      </c>
      <c r="AO70" s="59">
        <f t="shared" si="90"/>
        <v>229.77251296097705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12.805732437026933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12.805732437026933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8.1001602564102626</v>
      </c>
      <c r="BD70" s="12">
        <f>IF('Données projet'!$A$88&gt;35,BD69+BC70-BL69,IF(A70&lt;'Données projet'!$A$88,$BA$205^A70,IF(A70='Données projet'!$A$88,'Données projet'!$B$88,BD69+BC70-BL69)))</f>
        <v>210.96474358974376</v>
      </c>
      <c r="BE70" s="13">
        <f>BD70*VLOOKUP('Données projet'!$B$11,Paramètres!$A$1:$I$89,3,0)*VLOOKUP('Données projet'!$B$11,Paramètres!$A$1:$I$89,5,0)</f>
        <v>213.91825000000017</v>
      </c>
      <c r="BF70" s="13">
        <f t="shared" si="91"/>
        <v>52.790898498252169</v>
      </c>
      <c r="BG70" s="20">
        <f t="shared" si="61"/>
        <v>464.51843363445613</v>
      </c>
      <c r="BH70" s="59">
        <f t="shared" si="62"/>
        <v>757.85176696778944</v>
      </c>
      <c r="BI70" s="59">
        <f ca="1">AVERAGE(OFFSET($BH$3,0,0,'Données projet'!$E$11+1,1))-AVERAGE(OFFSET($H$3,0,0,'Données projet'!$E$11+1,1))</f>
        <v>312.29056285877169</v>
      </c>
      <c r="BJ70" s="59">
        <f t="shared" si="92"/>
        <v>233.85454224241693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13.005822006355476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13.005822006355476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3.8</v>
      </c>
      <c r="BY70" s="12">
        <f>IF('Données projet'!$A$114&gt;35,BY69+BX70-CG69,IF(A70&lt;'Données projet'!$A$114,$BV$205^A70,IF(A70='Données projet'!$A$114,'Données projet'!$B$114,BY69+BX70-CG69)))</f>
        <v>251.59999999999985</v>
      </c>
      <c r="BZ70" s="13">
        <f>BY70*VLOOKUP('Données projet'!$B$12,Paramètres!$A$1:$I$89,3,0)*VLOOKUP('Données projet'!$B$12,Paramètres!$A$1:$I$89,5,0)</f>
        <v>200.17295999999988</v>
      </c>
      <c r="CA70" s="13">
        <f t="shared" si="93"/>
        <v>49.782177185855986</v>
      </c>
      <c r="CB70" s="20">
        <f t="shared" si="64"/>
        <v>435.33853059869892</v>
      </c>
      <c r="CC70" s="59">
        <f t="shared" si="65"/>
        <v>728.67186393203224</v>
      </c>
      <c r="CD70" s="59">
        <f ca="1">AVERAGE(OFFSET($CC$3,0,0,'Données projet'!$E$12+1,1))-AVERAGE(OFFSET($H$3,0,0,'Données projet'!$E$12+1,1))</f>
        <v>219.43439115440339</v>
      </c>
      <c r="CE70" s="59">
        <f t="shared" si="94"/>
        <v>217.8880462742099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24.173308028474615</v>
      </c>
      <c r="CL70" s="21">
        <f>EXP(-LN(2)/25)*CL69+(1-EXP(-LN(2)/25))/(LN(2)/25)*Calculateur!CG70*Calculateur!CI70*VLOOKUP('Données projet'!$B$12,Paramètres!$A$1:$I$89,3,0)*0.475*44/12</f>
        <v>10.17248384925133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34.345791877725944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261.10917418234862</v>
      </c>
      <c r="T71" s="59">
        <f t="shared" si="88"/>
        <v>327.65691162938418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8.1001602564102626</v>
      </c>
      <c r="AI71" s="13">
        <f>IF('Données projet'!$A$62&gt;35,AI70+AH71-AQ70,IF(A71&lt;'Données projet'!$A$62,$AF$205^A71,IF(A71='Données projet'!$A$62,'Données projet'!$B$62,AI70+AH71-AQ70)))</f>
        <v>219.06490384615404</v>
      </c>
      <c r="AJ71" s="13">
        <f>AI71*VLOOKUP('Données projet'!$B$10,Paramètres!$A$1:$I$89,3,0)*VLOOKUP('Données projet'!$B$10,Paramètres!$A$1:$I$89,5,0)</f>
        <v>218.71440000000018</v>
      </c>
      <c r="AK71" s="13">
        <f t="shared" si="89"/>
        <v>53.835371674965792</v>
      </c>
      <c r="AL71" s="20">
        <f t="shared" si="58"/>
        <v>474.6908523338991</v>
      </c>
      <c r="AM71" s="59">
        <f t="shared" si="59"/>
        <v>768.02418566723236</v>
      </c>
      <c r="AN71" s="59">
        <f ca="1">AVERAGE(OFFSET($AM$3,0,0,'Données projet'!$E$10+1,1))-AVERAGE(OFFSET($H$3,0,0,'Données projet'!$E$10+1,1))</f>
        <v>306.38046634523579</v>
      </c>
      <c r="AO71" s="59">
        <f t="shared" si="90"/>
        <v>229.77251296097705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12.554619834662375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12.554619834662375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8.1001602564102626</v>
      </c>
      <c r="BD71" s="12">
        <f>IF('Données projet'!$A$88&gt;35,BD70+BC71-BL70,IF(A71&lt;'Données projet'!$A$88,$BA$205^A71,IF(A71='Données projet'!$A$88,'Données projet'!$B$88,BD70+BC71-BL70)))</f>
        <v>219.06490384615404</v>
      </c>
      <c r="BE71" s="13">
        <f>BD71*VLOOKUP('Données projet'!$B$11,Paramètres!$A$1:$I$89,3,0)*VLOOKUP('Données projet'!$B$11,Paramètres!$A$1:$I$89,5,0)</f>
        <v>222.13181250000019</v>
      </c>
      <c r="BF71" s="13">
        <f t="shared" si="91"/>
        <v>54.577964266842784</v>
      </c>
      <c r="BG71" s="20">
        <f t="shared" si="61"/>
        <v>481.93619453558489</v>
      </c>
      <c r="BH71" s="59">
        <f t="shared" si="62"/>
        <v>775.2695278689182</v>
      </c>
      <c r="BI71" s="59">
        <f ca="1">AVERAGE(OFFSET($BH$3,0,0,'Données projet'!$E$11+1,1))-AVERAGE(OFFSET($H$3,0,0,'Données projet'!$E$11+1,1))</f>
        <v>312.29056285877169</v>
      </c>
      <c r="BJ71" s="59">
        <f t="shared" si="92"/>
        <v>233.85454224241693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12.750785769578973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12.750785769578973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3.8</v>
      </c>
      <c r="BY71" s="12">
        <f>IF('Données projet'!$A$114&gt;35,BY70+BX71-CG70,IF(A71&lt;'Données projet'!$A$114,$BV$205^A71,IF(A71='Données projet'!$A$114,'Données projet'!$B$114,BY70+BX71-CG70)))</f>
        <v>255.39999999999986</v>
      </c>
      <c r="BZ71" s="13">
        <f>BY71*VLOOKUP('Données projet'!$B$12,Paramètres!$A$1:$I$89,3,0)*VLOOKUP('Données projet'!$B$12,Paramètres!$A$1:$I$89,5,0)</f>
        <v>203.1962399999999</v>
      </c>
      <c r="CA71" s="13">
        <f t="shared" si="93"/>
        <v>50.445955049216174</v>
      </c>
      <c r="CB71" s="20">
        <f t="shared" si="64"/>
        <v>441.76015637738465</v>
      </c>
      <c r="CC71" s="59">
        <f t="shared" si="65"/>
        <v>735.0934897107179</v>
      </c>
      <c r="CD71" s="59">
        <f ca="1">AVERAGE(OFFSET($CC$3,0,0,'Données projet'!$E$12+1,1))-AVERAGE(OFFSET($H$3,0,0,'Données projet'!$E$12+1,1))</f>
        <v>219.43439115440339</v>
      </c>
      <c r="CE71" s="59">
        <f t="shared" si="94"/>
        <v>217.8880462742099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23.699284202298252</v>
      </c>
      <c r="CL71" s="21">
        <f>EXP(-LN(2)/25)*CL70+(1-EXP(-LN(2)/25))/(LN(2)/25)*Calculateur!CG71*Calculateur!CI71*VLOOKUP('Données projet'!$B$12,Paramètres!$A$1:$I$89,3,0)*0.475*44/12</f>
        <v>9.8943167434458772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33.593600945744129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261.10917418234862</v>
      </c>
      <c r="T72" s="59">
        <f t="shared" si="88"/>
        <v>327.65691162938418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8.1001602564102626</v>
      </c>
      <c r="AI72" s="13">
        <f>IF('Données projet'!$A$62&gt;35,AI71+AH72-AQ71,IF(A72&lt;'Données projet'!$A$62,$AF$205^A72,IF(A72='Données projet'!$A$62,'Données projet'!$B$62,AI71+AH72-AQ71)))</f>
        <v>227.16506410256432</v>
      </c>
      <c r="AJ72" s="13">
        <f>AI72*VLOOKUP('Données projet'!$B$10,Paramètres!$A$1:$I$89,3,0)*VLOOKUP('Données projet'!$B$10,Paramètres!$A$1:$I$89,5,0)</f>
        <v>226.80160000000024</v>
      </c>
      <c r="AK72" s="13">
        <f t="shared" si="89"/>
        <v>55.590550044211973</v>
      </c>
      <c r="AL72" s="20">
        <f t="shared" si="58"/>
        <v>491.83299466033623</v>
      </c>
      <c r="AM72" s="59">
        <f t="shared" si="59"/>
        <v>785.16632799366948</v>
      </c>
      <c r="AN72" s="59">
        <f ca="1">AVERAGE(OFFSET($AM$3,0,0,'Données projet'!$E$10+1,1))-AVERAGE(OFFSET($H$3,0,0,'Données projet'!$E$10+1,1))</f>
        <v>306.38046634523579</v>
      </c>
      <c r="AO72" s="59">
        <f t="shared" si="90"/>
        <v>229.77251296097705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12.308431397266624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12.308431397266624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8.1001602564102626</v>
      </c>
      <c r="BD72" s="12">
        <f>IF('Données projet'!$A$88&gt;35,BD71+BC72-BL71,IF(A72&lt;'Données projet'!$A$88,$BA$205^A72,IF(A72='Données projet'!$A$88,'Données projet'!$B$88,BD71+BC72-BL71)))</f>
        <v>227.16506410256432</v>
      </c>
      <c r="BE72" s="13">
        <f>BD72*VLOOKUP('Données projet'!$B$11,Paramètres!$A$1:$I$89,3,0)*VLOOKUP('Données projet'!$B$11,Paramètres!$A$1:$I$89,5,0)</f>
        <v>230.34537500000025</v>
      </c>
      <c r="BF72" s="13">
        <f t="shared" si="91"/>
        <v>56.35735315816531</v>
      </c>
      <c r="BG72" s="20">
        <f t="shared" si="61"/>
        <v>499.34058487547162</v>
      </c>
      <c r="BH72" s="59">
        <f t="shared" si="62"/>
        <v>792.67391820880493</v>
      </c>
      <c r="BI72" s="59">
        <f ca="1">AVERAGE(OFFSET($BH$3,0,0,'Données projet'!$E$11+1,1))-AVERAGE(OFFSET($H$3,0,0,'Données projet'!$E$11+1,1))</f>
        <v>312.29056285877169</v>
      </c>
      <c r="BJ72" s="59">
        <f t="shared" si="92"/>
        <v>233.85454224241693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12.500750637848913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12.500750637848913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3.8</v>
      </c>
      <c r="BY72" s="12">
        <f>IF('Données projet'!$A$114&gt;35,BY71+BX72-CG71,IF(A72&lt;'Données projet'!$A$114,$BV$205^A72,IF(A72='Données projet'!$A$114,'Données projet'!$B$114,BY71+BX72-CG71)))</f>
        <v>259.19999999999987</v>
      </c>
      <c r="BZ72" s="13">
        <f>BY72*VLOOKUP('Données projet'!$B$12,Paramètres!$A$1:$I$89,3,0)*VLOOKUP('Données projet'!$B$12,Paramètres!$A$1:$I$89,5,0)</f>
        <v>206.21951999999993</v>
      </c>
      <c r="CA72" s="13">
        <f t="shared" si="93"/>
        <v>51.10858428464028</v>
      </c>
      <c r="CB72" s="20">
        <f t="shared" si="64"/>
        <v>448.17978162908167</v>
      </c>
      <c r="CC72" s="59">
        <f t="shared" si="65"/>
        <v>741.51311496241499</v>
      </c>
      <c r="CD72" s="59">
        <f ca="1">AVERAGE(OFFSET($CC$3,0,0,'Données projet'!$E$12+1,1))-AVERAGE(OFFSET($H$3,0,0,'Données projet'!$E$12+1,1))</f>
        <v>219.43439115440339</v>
      </c>
      <c r="CE72" s="59">
        <f t="shared" si="94"/>
        <v>217.8880462742099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23.234555694227222</v>
      </c>
      <c r="CL72" s="21">
        <f>EXP(-LN(2)/25)*CL71+(1-EXP(-LN(2)/25))/(LN(2)/25)*Calculateur!CG72*Calculateur!CI72*VLOOKUP('Données projet'!$B$12,Paramètres!$A$1:$I$89,3,0)*0.475*44/12</f>
        <v>9.6237561317768456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32.858311826004069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261.10917418234862</v>
      </c>
      <c r="T73" s="59">
        <f t="shared" si="88"/>
        <v>327.65691162938418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8.1001602564102626</v>
      </c>
      <c r="AI73" s="13">
        <f>IF('Données projet'!$A$62&gt;35,AI72+AH73-AQ72,IF(A73&lt;'Données projet'!$A$62,$AF$205^A73,IF(A73='Données projet'!$A$62,'Données projet'!$B$62,AI72+AH73-AQ72)))</f>
        <v>235.26522435897459</v>
      </c>
      <c r="AJ73" s="13">
        <f>AI73*VLOOKUP('Données projet'!$B$10,Paramètres!$A$1:$I$89,3,0)*VLOOKUP('Données projet'!$B$10,Paramètres!$A$1:$I$89,5,0)</f>
        <v>234.88880000000026</v>
      </c>
      <c r="AK73" s="13">
        <f t="shared" si="89"/>
        <v>57.338456937590408</v>
      </c>
      <c r="AL73" s="20">
        <f t="shared" si="58"/>
        <v>508.96247249963699</v>
      </c>
      <c r="AM73" s="59">
        <f t="shared" si="59"/>
        <v>802.29580583297025</v>
      </c>
      <c r="AN73" s="59">
        <f ca="1">AVERAGE(OFFSET($AM$3,0,0,'Données projet'!$E$10+1,1))-AVERAGE(OFFSET($H$3,0,0,'Données projet'!$E$10+1,1))</f>
        <v>306.38046634523579</v>
      </c>
      <c r="AO73" s="59">
        <f t="shared" si="90"/>
        <v>229.77251296097705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12.067070564968084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12.067070564968084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8.1001602564102626</v>
      </c>
      <c r="BD73" s="12">
        <f>IF('Données projet'!$A$88&gt;35,BD72+BC73-BL72,IF(A73&lt;'Données projet'!$A$88,$BA$205^A73,IF(A73='Données projet'!$A$88,'Données projet'!$B$88,BD72+BC73-BL72)))</f>
        <v>235.26522435897459</v>
      </c>
      <c r="BE73" s="13">
        <f>BD73*VLOOKUP('Données projet'!$B$11,Paramètres!$A$1:$I$89,3,0)*VLOOKUP('Données projet'!$B$11,Paramètres!$A$1:$I$89,5,0)</f>
        <v>238.55893750000027</v>
      </c>
      <c r="BF73" s="13">
        <f t="shared" si="91"/>
        <v>58.129370272573652</v>
      </c>
      <c r="BG73" s="20">
        <f t="shared" si="61"/>
        <v>516.73213603723286</v>
      </c>
      <c r="BH73" s="59">
        <f t="shared" si="62"/>
        <v>810.06546937056623</v>
      </c>
      <c r="BI73" s="59">
        <f ca="1">AVERAGE(OFFSET($BH$3,0,0,'Données projet'!$E$11+1,1))-AVERAGE(OFFSET($H$3,0,0,'Données projet'!$E$11+1,1))</f>
        <v>312.29056285877169</v>
      </c>
      <c r="BJ73" s="59">
        <f t="shared" si="92"/>
        <v>233.85454224241693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12.255618542545708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12.255618542545708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263</v>
      </c>
      <c r="BW73" s="12">
        <f>VLOOKUP(A73,'Données projet'!$A$113:$I$133,9,0)</f>
        <v>3.8</v>
      </c>
      <c r="BX73" s="12">
        <f t="array" ref="BX73">INDEX(BW:BW,MIN(IF(ISNUMBER(BW73:BW269),ROW(BW73:BW269),"")))</f>
        <v>3.8</v>
      </c>
      <c r="BY73" s="12">
        <f>IF('Données projet'!$A$114&gt;35,BY72+BX73-CG72,IF(A73&lt;'Données projet'!$A$114,$BV$205^A73,IF(A73='Données projet'!$A$114,'Données projet'!$B$114,BY72+BX73-CG72)))</f>
        <v>262.99999999999989</v>
      </c>
      <c r="BZ73" s="13">
        <f>BY73*VLOOKUP('Données projet'!$B$12,Paramètres!$A$1:$I$89,3,0)*VLOOKUP('Données projet'!$B$12,Paramètres!$A$1:$I$89,5,0)</f>
        <v>209.2427999999999</v>
      </c>
      <c r="CA73" s="13">
        <f t="shared" si="93"/>
        <v>51.770083677016814</v>
      </c>
      <c r="CB73" s="20">
        <f t="shared" si="64"/>
        <v>454.59743907080406</v>
      </c>
      <c r="CC73" s="59">
        <f t="shared" si="65"/>
        <v>747.93077240413731</v>
      </c>
      <c r="CD73" s="59">
        <f ca="1">AVERAGE(OFFSET($CC$3,0,0,'Données projet'!$E$12+1,1))-AVERAGE(OFFSET($H$3,0,0,'Données projet'!$E$12+1,1))</f>
        <v>219.43439115440339</v>
      </c>
      <c r="CE73" s="59">
        <f t="shared" si="94"/>
        <v>217.8880462742099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10</v>
      </c>
      <c r="CH73" s="16">
        <f>IF(ISNA(VLOOKUP(A73,'Données projet'!$A$113:$I$133,5,0)),0%,VLOOKUP(A73,'Données projet'!$A$113:$I$133,5,0)*VLOOKUP('Données projet'!$B$12,Paramètres!$A$1:$I$89,7,0))</f>
        <v>0.47700000000000004</v>
      </c>
      <c r="CI73" s="16">
        <f>IF(ISNA(VLOOKUP(A73,'Données projet'!$A$113:$I$133,6,0)),0%,VLOOKUP(A73,'Données projet'!$A$113:$I$133,6,0)*VLOOKUP('Données projet'!$B$12,Paramètres!$A$1:$I$89,7,0))</f>
        <v>5.3000000000000005E-2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26.974213584715166</v>
      </c>
      <c r="CL73" s="21">
        <f>EXP(-LN(2)/25)*CL72+(1-EXP(-LN(2)/25))/(LN(2)/25)*Calculateur!CG73*Calculateur!CI73*VLOOKUP('Données projet'!$B$12,Paramètres!$A$1:$I$89,3,0)*0.475*44/12</f>
        <v>9.8249001216226421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36.799113706337806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261.10917418234862</v>
      </c>
      <c r="T74" s="59">
        <f t="shared" si="88"/>
        <v>327.65691162938418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243.36538461538464</v>
      </c>
      <c r="AG74" s="12">
        <f>VLOOKUP(A74,'Données projet'!$A$61:$I$81,9,0)</f>
        <v>8.1001602564102626</v>
      </c>
      <c r="AH74" s="12">
        <f t="array" ref="AH74">INDEX(AG:AG,MIN(IF(ISNUMBER(AG74:AG270),ROW(AG74:AG270),"")))</f>
        <v>8.1001602564102626</v>
      </c>
      <c r="AI74" s="13">
        <f>IF('Données projet'!$A$62&gt;35,AI73+AH74-AQ73,IF(A74&lt;'Données projet'!$A$62,$AF$205^A74,IF(A74='Données projet'!$A$62,'Données projet'!$B$62,AI73+AH74-AQ73)))</f>
        <v>243.36538461538487</v>
      </c>
      <c r="AJ74" s="13">
        <f>AI74*VLOOKUP('Données projet'!$B$10,Paramètres!$A$1:$I$89,3,0)*VLOOKUP('Données projet'!$B$10,Paramètres!$A$1:$I$89,5,0)</f>
        <v>242.97600000000028</v>
      </c>
      <c r="AK74" s="13">
        <f t="shared" si="89"/>
        <v>59.079371405546802</v>
      </c>
      <c r="AL74" s="20">
        <f t="shared" si="58"/>
        <v>526.07977186466121</v>
      </c>
      <c r="AM74" s="59">
        <f t="shared" si="59"/>
        <v>819.41310519799458</v>
      </c>
      <c r="AN74" s="59">
        <f ca="1">AVERAGE(OFFSET($AM$3,0,0,'Données projet'!$E$10+1,1))-AVERAGE(OFFSET($H$3,0,0,'Données projet'!$E$10+1,1))</f>
        <v>306.38046634523579</v>
      </c>
      <c r="AO74" s="59">
        <f t="shared" si="90"/>
        <v>229.77251296097705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39.935897435897431</v>
      </c>
      <c r="AR74" s="16">
        <f>IF(ISNA(VLOOKUP(A74,'Données projet'!$A$61:$I$81,5,0)),0%,VLOOKUP(A74,'Données projet'!$A$61:$I$81,5,0)*VLOOKUP('Données projet'!$B$10,Paramètres!$A$1:$I$89,7,0))</f>
        <v>0.30099999999999999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25.097714478169415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25.097714478169415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243.36538461538464</v>
      </c>
      <c r="BB74" s="12">
        <f>VLOOKUP(A74,'Données projet'!$A$87:$I$107,9,0)</f>
        <v>8.1001602564102626</v>
      </c>
      <c r="BC74" s="12">
        <f t="array" ref="BC74">INDEX(BB:BB,MIN(IF(ISNUMBER(BB74:BB270),ROW(BB74:BB270),"")))</f>
        <v>8.1001602564102626</v>
      </c>
      <c r="BD74" s="12">
        <f>IF('Données projet'!$A$88&gt;35,BD73+BC74-BL73,IF(A74&lt;'Données projet'!$A$88,$BA$205^A74,IF(A74='Données projet'!$A$88,'Données projet'!$B$88,BD73+BC74-BL73)))</f>
        <v>243.36538461538487</v>
      </c>
      <c r="BE74" s="13">
        <f>BD74*VLOOKUP('Données projet'!$B$11,Paramètres!$A$1:$I$89,3,0)*VLOOKUP('Données projet'!$B$11,Paramètres!$A$1:$I$89,5,0)</f>
        <v>246.77250000000026</v>
      </c>
      <c r="BF74" s="13">
        <f t="shared" si="91"/>
        <v>59.894298509670598</v>
      </c>
      <c r="BG74" s="20">
        <f t="shared" si="61"/>
        <v>534.11134073767676</v>
      </c>
      <c r="BH74" s="59">
        <f t="shared" si="62"/>
        <v>827.44467407101001</v>
      </c>
      <c r="BI74" s="59">
        <f ca="1">AVERAGE(OFFSET($BH$3,0,0,'Données projet'!$E$11+1,1))-AVERAGE(OFFSET($H$3,0,0,'Données projet'!$E$11+1,1))</f>
        <v>312.29056285877169</v>
      </c>
      <c r="BJ74" s="59">
        <f t="shared" si="92"/>
        <v>233.85454224241693</v>
      </c>
      <c r="BK74" s="15">
        <f>IF(ISNA(VLOOKUP(A74,'Données projet'!$A$87:$I$107,3,0)),0,VLOOKUP(A74,'Données projet'!$A$87:$I$107,3,0))</f>
        <v>6</v>
      </c>
      <c r="BL74" s="15">
        <f>IF(ISNA(VLOOKUP(A74,'Données projet'!$A$87:$I$107,4,0)),0,VLOOKUP(A74,'Données projet'!$A$87:$I$107,4,0))</f>
        <v>39.935897435897431</v>
      </c>
      <c r="BM74" s="16">
        <f>IF(ISNA(VLOOKUP(A74,'Données projet'!$A$87:$I$107,5,0)),0%,VLOOKUP(A74,'Données projet'!$A$87:$I$107,5,0)*VLOOKUP('Données projet'!$B$11,Paramètres!$A$1:$I$89,7,0))</f>
        <v>0.30099999999999999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25.489866266890814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25.489866266890814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256.39999999999986</v>
      </c>
      <c r="BZ74" s="13">
        <f>BY74*VLOOKUP('Données projet'!$B$12,Paramètres!$A$1:$I$89,3,0)*VLOOKUP('Données projet'!$B$12,Paramètres!$A$1:$I$89,5,0)</f>
        <v>203.99183999999988</v>
      </c>
      <c r="CA74" s="13">
        <f t="shared" si="93"/>
        <v>50.620441749347997</v>
      </c>
      <c r="CB74" s="20">
        <f t="shared" si="64"/>
        <v>443.44972404678083</v>
      </c>
      <c r="CC74" s="59">
        <f t="shared" si="65"/>
        <v>736.78305738011409</v>
      </c>
      <c r="CD74" s="59">
        <f ca="1">AVERAGE(OFFSET($CC$3,0,0,'Données projet'!$E$12+1,1))-AVERAGE(OFFSET($H$3,0,0,'Données projet'!$E$12+1,1))</f>
        <v>219.43439115440339</v>
      </c>
      <c r="CE74" s="59">
        <f t="shared" si="94"/>
        <v>217.8880462742099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26.445265708964623</v>
      </c>
      <c r="CL74" s="21">
        <f>EXP(-LN(2)/25)*CL73+(1-EXP(-LN(2)/25))/(LN(2)/25)*Calculateur!CG74*Calculateur!CI74*VLOOKUP('Données projet'!$B$12,Paramètres!$A$1:$I$89,3,0)*0.475*44/12</f>
        <v>9.556237711127828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36.001503420092448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261.10917418234862</v>
      </c>
      <c r="T75" s="59">
        <f t="shared" si="88"/>
        <v>327.65691162938418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7.8425925925925934</v>
      </c>
      <c r="AI75" s="13">
        <f>IF('Données projet'!$A$62&gt;35,AI74+AH75-AQ74,IF(A75&lt;'Données projet'!$A$62,$AF$205^A75,IF(A75='Données projet'!$A$62,'Données projet'!$B$62,AI74+AH75-AQ74)))</f>
        <v>211.27207977208002</v>
      </c>
      <c r="AJ75" s="13">
        <f>AI75*VLOOKUP('Données projet'!$B$10,Paramètres!$A$1:$I$89,3,0)*VLOOKUP('Données projet'!$B$10,Paramètres!$A$1:$I$89,5,0)</f>
        <v>210.93404444444468</v>
      </c>
      <c r="AK75" s="13">
        <f t="shared" si="89"/>
        <v>52.139645159626504</v>
      </c>
      <c r="AL75" s="20">
        <f t="shared" si="58"/>
        <v>458.18667606042396</v>
      </c>
      <c r="AM75" s="59">
        <f t="shared" si="59"/>
        <v>751.52000939375728</v>
      </c>
      <c r="AN75" s="59">
        <f ca="1">AVERAGE(OFFSET($AM$3,0,0,'Données projet'!$E$10+1,1))-AVERAGE(OFFSET($H$3,0,0,'Données projet'!$E$10+1,1))</f>
        <v>306.38046634523579</v>
      </c>
      <c r="AO75" s="59">
        <f t="shared" si="90"/>
        <v>229.77251296097705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24.605563605346795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24.605563605346795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7.8425925925925934</v>
      </c>
      <c r="BD75" s="12">
        <f>IF('Données projet'!$A$88&gt;35,BD74+BC75-BL74,IF(A75&lt;'Données projet'!$A$88,$BA$205^A75,IF(A75='Données projet'!$A$88,'Données projet'!$B$88,BD74+BC75-BL74)))</f>
        <v>211.27207977208002</v>
      </c>
      <c r="BE75" s="13">
        <f>BD75*VLOOKUP('Données projet'!$B$11,Paramètres!$A$1:$I$89,3,0)*VLOOKUP('Données projet'!$B$11,Paramètres!$A$1:$I$89,5,0)</f>
        <v>214.22988888888915</v>
      </c>
      <c r="BF75" s="13">
        <f t="shared" si="91"/>
        <v>52.858847294468234</v>
      </c>
      <c r="BG75" s="20">
        <f t="shared" si="61"/>
        <v>465.17954885268068</v>
      </c>
      <c r="BH75" s="59">
        <f t="shared" si="62"/>
        <v>758.51288218601394</v>
      </c>
      <c r="BI75" s="59">
        <f ca="1">AVERAGE(OFFSET($BH$3,0,0,'Données projet'!$E$11+1,1))-AVERAGE(OFFSET($H$3,0,0,'Données projet'!$E$11+1,1))</f>
        <v>312.29056285877169</v>
      </c>
      <c r="BJ75" s="59">
        <f t="shared" si="92"/>
        <v>233.85454224241693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24.990025536680342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24.990025536680342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259.79999999999984</v>
      </c>
      <c r="BZ75" s="13">
        <f>BY75*VLOOKUP('Données projet'!$B$12,Paramètres!$A$1:$I$89,3,0)*VLOOKUP('Données projet'!$B$12,Paramètres!$A$1:$I$89,5,0)</f>
        <v>206.69687999999991</v>
      </c>
      <c r="CA75" s="13">
        <f t="shared" si="93"/>
        <v>51.213106197404436</v>
      </c>
      <c r="CB75" s="20">
        <f t="shared" si="64"/>
        <v>449.1932259604792</v>
      </c>
      <c r="CC75" s="59">
        <f t="shared" si="65"/>
        <v>742.52655929381251</v>
      </c>
      <c r="CD75" s="59">
        <f ca="1">AVERAGE(OFFSET($CC$3,0,0,'Données projet'!$E$12+1,1))-AVERAGE(OFFSET($H$3,0,0,'Données projet'!$E$12+1,1))</f>
        <v>219.43439115440339</v>
      </c>
      <c r="CE75" s="59">
        <f t="shared" si="94"/>
        <v>217.8880462742099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25.926690178431201</v>
      </c>
      <c r="CL75" s="21">
        <f>EXP(-LN(2)/25)*CL74+(1-EXP(-LN(2)/25))/(LN(2)/25)*Calculateur!CG75*Calculateur!CI75*VLOOKUP('Données projet'!$B$12,Paramètres!$A$1:$I$89,3,0)*0.475*44/12</f>
        <v>9.2949218883763383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35.221612066807538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261.10917418234862</v>
      </c>
      <c r="T76" s="59">
        <f t="shared" si="88"/>
        <v>327.65691162938418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7.8425925925925934</v>
      </c>
      <c r="AI76" s="13">
        <f>IF('Données projet'!$A$62&gt;35,AI75+AH76-AQ75,IF(A76&lt;'Données projet'!$A$62,$AF$205^A76,IF(A76='Données projet'!$A$62,'Données projet'!$B$62,AI75+AH76-AQ75)))</f>
        <v>219.1146723646726</v>
      </c>
      <c r="AJ76" s="13">
        <f>AI76*VLOOKUP('Données projet'!$B$10,Paramètres!$A$1:$I$89,3,0)*VLOOKUP('Données projet'!$B$10,Paramètres!$A$1:$I$89,5,0)</f>
        <v>218.76408888888912</v>
      </c>
      <c r="AK76" s="13">
        <f t="shared" si="89"/>
        <v>53.846178536546475</v>
      </c>
      <c r="AL76" s="20">
        <f t="shared" si="58"/>
        <v>474.79621576596702</v>
      </c>
      <c r="AM76" s="59">
        <f t="shared" si="59"/>
        <v>768.12954909930033</v>
      </c>
      <c r="AN76" s="59">
        <f ca="1">AVERAGE(OFFSET($AM$3,0,0,'Données projet'!$E$10+1,1))-AVERAGE(OFFSET($H$3,0,0,'Données projet'!$E$10+1,1))</f>
        <v>306.38046634523579</v>
      </c>
      <c r="AO76" s="59">
        <f t="shared" si="90"/>
        <v>229.77251296097705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24.123063510957834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24.123063510957834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7.8425925925925934</v>
      </c>
      <c r="BD76" s="12">
        <f>IF('Données projet'!$A$88&gt;35,BD75+BC76-BL75,IF(A76&lt;'Données projet'!$A$88,$BA$205^A76,IF(A76='Données projet'!$A$88,'Données projet'!$B$88,BD75+BC76-BL75)))</f>
        <v>219.1146723646726</v>
      </c>
      <c r="BE76" s="13">
        <f>BD76*VLOOKUP('Données projet'!$B$11,Paramètres!$A$1:$I$89,3,0)*VLOOKUP('Données projet'!$B$11,Paramètres!$A$1:$I$89,5,0)</f>
        <v>222.18227777777804</v>
      </c>
      <c r="BF76" s="13">
        <f t="shared" si="91"/>
        <v>54.588920195757851</v>
      </c>
      <c r="BG76" s="20">
        <f t="shared" si="61"/>
        <v>482.04316980390831</v>
      </c>
      <c r="BH76" s="59">
        <f t="shared" si="62"/>
        <v>775.37650313724157</v>
      </c>
      <c r="BI76" s="59">
        <f ca="1">AVERAGE(OFFSET($BH$3,0,0,'Données projet'!$E$11+1,1))-AVERAGE(OFFSET($H$3,0,0,'Données projet'!$E$11+1,1))</f>
        <v>312.29056285877169</v>
      </c>
      <c r="BJ76" s="59">
        <f t="shared" si="92"/>
        <v>233.85454224241693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24.499986378316557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24.499986378316557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263.19999999999982</v>
      </c>
      <c r="BZ76" s="13">
        <f>BY76*VLOOKUP('Données projet'!$B$12,Paramètres!$A$1:$I$89,3,0)*VLOOKUP('Données projet'!$B$12,Paramètres!$A$1:$I$89,5,0)</f>
        <v>209.40191999999988</v>
      </c>
      <c r="CA76" s="13">
        <f t="shared" si="93"/>
        <v>51.804868484579039</v>
      </c>
      <c r="CB76" s="20">
        <f t="shared" si="64"/>
        <v>454.93515661064157</v>
      </c>
      <c r="CC76" s="59">
        <f t="shared" si="65"/>
        <v>748.26848994397483</v>
      </c>
      <c r="CD76" s="59">
        <f ca="1">AVERAGE(OFFSET($CC$3,0,0,'Données projet'!$E$12+1,1))-AVERAGE(OFFSET($H$3,0,0,'Données projet'!$E$12+1,1))</f>
        <v>219.43439115440339</v>
      </c>
      <c r="CE76" s="59">
        <f t="shared" si="94"/>
        <v>217.8880462742099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25.418283597751699</v>
      </c>
      <c r="CL76" s="21">
        <f>EXP(-LN(2)/25)*CL75+(1-EXP(-LN(2)/25))/(LN(2)/25)*Calculateur!CG76*Calculateur!CI76*VLOOKUP('Données projet'!$B$12,Paramètres!$A$1:$I$89,3,0)*0.475*44/12</f>
        <v>9.0407517605399885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34.459035358291686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261.10917418234862</v>
      </c>
      <c r="T77" s="59">
        <f t="shared" si="88"/>
        <v>327.65691162938418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7.8425925925925934</v>
      </c>
      <c r="AI77" s="13">
        <f>IF('Données projet'!$A$62&gt;35,AI76+AH77-AQ76,IF(A77&lt;'Données projet'!$A$62,$AF$205^A77,IF(A77='Données projet'!$A$62,'Données projet'!$B$62,AI76+AH77-AQ76)))</f>
        <v>226.95726495726518</v>
      </c>
      <c r="AJ77" s="13">
        <f>AI77*VLOOKUP('Données projet'!$B$10,Paramètres!$A$1:$I$89,3,0)*VLOOKUP('Données projet'!$B$10,Paramètres!$A$1:$I$89,5,0)</f>
        <v>226.59413333333356</v>
      </c>
      <c r="AK77" s="13">
        <f t="shared" si="89"/>
        <v>55.545615326049543</v>
      </c>
      <c r="AL77" s="20">
        <f t="shared" si="58"/>
        <v>491.39339558175885</v>
      </c>
      <c r="AM77" s="59">
        <f t="shared" si="59"/>
        <v>784.72672891509217</v>
      </c>
      <c r="AN77" s="59">
        <f ca="1">AVERAGE(OFFSET($AM$3,0,0,'Données projet'!$E$10+1,1))-AVERAGE(OFFSET($H$3,0,0,'Données projet'!$E$10+1,1))</f>
        <v>306.38046634523579</v>
      </c>
      <c r="AO77" s="59">
        <f t="shared" si="90"/>
        <v>229.77251296097705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23.650024949123843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23.650024949123843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7.8425925925925934</v>
      </c>
      <c r="BD77" s="12">
        <f>IF('Données projet'!$A$88&gt;35,BD76+BC77-BL76,IF(A77&lt;'Données projet'!$A$88,$BA$205^A77,IF(A77='Données projet'!$A$88,'Données projet'!$B$88,BD76+BC77-BL76)))</f>
        <v>226.95726495726518</v>
      </c>
      <c r="BE77" s="13">
        <f>BD77*VLOOKUP('Données projet'!$B$11,Paramètres!$A$1:$I$89,3,0)*VLOOKUP('Données projet'!$B$11,Paramètres!$A$1:$I$89,5,0)</f>
        <v>230.13466666666693</v>
      </c>
      <c r="BF77" s="13">
        <f t="shared" si="91"/>
        <v>56.311798620954782</v>
      </c>
      <c r="BG77" s="20">
        <f t="shared" si="61"/>
        <v>498.89426037594109</v>
      </c>
      <c r="BH77" s="59">
        <f t="shared" si="62"/>
        <v>792.2275937092744</v>
      </c>
      <c r="BI77" s="59">
        <f ca="1">AVERAGE(OFFSET($BH$3,0,0,'Données projet'!$E$11+1,1))-AVERAGE(OFFSET($H$3,0,0,'Données projet'!$E$11+1,1))</f>
        <v>312.29056285877169</v>
      </c>
      <c r="BJ77" s="59">
        <f t="shared" si="92"/>
        <v>233.85454224241693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24.019556588953911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24.019556588953911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266.5999999999998</v>
      </c>
      <c r="BZ77" s="13">
        <f>BY77*VLOOKUP('Données projet'!$B$12,Paramètres!$A$1:$I$89,3,0)*VLOOKUP('Données projet'!$B$12,Paramètres!$A$1:$I$89,5,0)</f>
        <v>212.10695999999984</v>
      </c>
      <c r="CA77" s="13">
        <f t="shared" si="93"/>
        <v>52.395741612408194</v>
      </c>
      <c r="CB77" s="20">
        <f t="shared" si="64"/>
        <v>460.67553864161067</v>
      </c>
      <c r="CC77" s="59">
        <f t="shared" si="65"/>
        <v>754.00887197494399</v>
      </c>
      <c r="CD77" s="59">
        <f ca="1">AVERAGE(OFFSET($CC$3,0,0,'Données projet'!$E$12+1,1))-AVERAGE(OFFSET($H$3,0,0,'Données projet'!$E$12+1,1))</f>
        <v>219.43439115440339</v>
      </c>
      <c r="CE77" s="59">
        <f t="shared" si="94"/>
        <v>217.8880462742099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24.919846560021927</v>
      </c>
      <c r="CL77" s="21">
        <f>EXP(-LN(2)/25)*CL76+(1-EXP(-LN(2)/25))/(LN(2)/25)*Calculateur!CG77*Calculateur!CI77*VLOOKUP('Données projet'!$B$12,Paramètres!$A$1:$I$89,3,0)*0.475*44/12</f>
        <v>8.7935319282155504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33.713378488237481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261.10917418234862</v>
      </c>
      <c r="T78" s="59">
        <f t="shared" si="88"/>
        <v>327.65691162938418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7.8425925925925934</v>
      </c>
      <c r="AI78" s="13">
        <f>IF('Données projet'!$A$62&gt;35,AI77+AH78-AQ77,IF(A78&lt;'Données projet'!$A$62,$AF$205^A78,IF(A78='Données projet'!$A$62,'Données projet'!$B$62,AI77+AH78-AQ77)))</f>
        <v>234.79985754985776</v>
      </c>
      <c r="AJ78" s="13">
        <f>AI78*VLOOKUP('Données projet'!$B$10,Paramètres!$A$1:$I$89,3,0)*VLOOKUP('Données projet'!$B$10,Paramètres!$A$1:$I$89,5,0)</f>
        <v>234.424177777778</v>
      </c>
      <c r="AK78" s="13">
        <f t="shared" si="89"/>
        <v>57.238228858271476</v>
      </c>
      <c r="AL78" s="20">
        <f t="shared" si="58"/>
        <v>507.97869155778614</v>
      </c>
      <c r="AM78" s="59">
        <f t="shared" si="59"/>
        <v>801.31202489111945</v>
      </c>
      <c r="AN78" s="59">
        <f ca="1">AVERAGE(OFFSET($AM$3,0,0,'Données projet'!$E$10+1,1))-AVERAGE(OFFSET($H$3,0,0,'Données projet'!$E$10+1,1))</f>
        <v>306.38046634523579</v>
      </c>
      <c r="AO78" s="59">
        <f t="shared" si="90"/>
        <v>229.77251296097705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23.186262384962383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23.186262384962383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7.8425925925925934</v>
      </c>
      <c r="BD78" s="12">
        <f>IF('Données projet'!$A$88&gt;35,BD77+BC78-BL77,IF(A78&lt;'Données projet'!$A$88,$BA$205^A78,IF(A78='Données projet'!$A$88,'Données projet'!$B$88,BD77+BC78-BL77)))</f>
        <v>234.79985754985776</v>
      </c>
      <c r="BE78" s="13">
        <f>BD78*VLOOKUP('Données projet'!$B$11,Paramètres!$A$1:$I$89,3,0)*VLOOKUP('Données projet'!$B$11,Paramètres!$A$1:$I$89,5,0)</f>
        <v>238.08705555555576</v>
      </c>
      <c r="BF78" s="13">
        <f t="shared" si="91"/>
        <v>58.027759670447097</v>
      </c>
      <c r="BG78" s="20">
        <f t="shared" si="61"/>
        <v>515.73330318528826</v>
      </c>
      <c r="BH78" s="59">
        <f t="shared" si="62"/>
        <v>809.06663651862164</v>
      </c>
      <c r="BI78" s="59">
        <f ca="1">AVERAGE(OFFSET($BH$3,0,0,'Données projet'!$E$11+1,1))-AVERAGE(OFFSET($H$3,0,0,'Données projet'!$E$11+1,1))</f>
        <v>312.29056285877169</v>
      </c>
      <c r="BJ78" s="59">
        <f t="shared" si="92"/>
        <v>233.85454224241693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23.548547734727428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23.548547734727428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270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269.99999999999977</v>
      </c>
      <c r="BZ78" s="13">
        <f>BY78*VLOOKUP('Données projet'!$B$12,Paramètres!$A$1:$I$89,3,0)*VLOOKUP('Données projet'!$B$12,Paramètres!$A$1:$I$89,5,0)</f>
        <v>214.81199999999981</v>
      </c>
      <c r="CA78" s="13">
        <f t="shared" si="93"/>
        <v>52.985738231738011</v>
      </c>
      <c r="CB78" s="20">
        <f t="shared" si="64"/>
        <v>466.41439408694333</v>
      </c>
      <c r="CC78" s="59">
        <f t="shared" si="65"/>
        <v>759.74772742027665</v>
      </c>
      <c r="CD78" s="59">
        <f ca="1">AVERAGE(OFFSET($CC$3,0,0,'Données projet'!$E$12+1,1))-AVERAGE(OFFSET($H$3,0,0,'Données projet'!$E$12+1,1))</f>
        <v>219.43439115440339</v>
      </c>
      <c r="CE78" s="59">
        <f t="shared" si="94"/>
        <v>217.8880462742099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9</v>
      </c>
      <c r="CH78" s="16">
        <f>IF(ISNA(VLOOKUP(A78,'Données projet'!$A$113:$I$133,5,0)),0%,VLOOKUP(A78,'Données projet'!$A$113:$I$133,5,0)*VLOOKUP('Données projet'!$B$12,Paramètres!$A$1:$I$89,7,0))</f>
        <v>0.47170000000000001</v>
      </c>
      <c r="CI78" s="16">
        <f>IF(ISNA(VLOOKUP(A78,'Données projet'!$A$113:$I$133,6,0)),0%,VLOOKUP(A78,'Données projet'!$A$113:$I$133,6,0)*VLOOKUP('Données projet'!$B$12,Paramètres!$A$1:$I$89,7,0))</f>
        <v>5.8300000000000005E-2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28.164976855400631</v>
      </c>
      <c r="CL78" s="21">
        <f>EXP(-LN(2)/25)*CL77+(1-EXP(-LN(2)/25))/(LN(2)/25)*Calculateur!CG78*Calculateur!CI78*VLOOKUP('Données projet'!$B$12,Paramètres!$A$1:$I$89,3,0)*0.475*44/12</f>
        <v>9.0127353814937177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37.177712236894351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261.10917418234862</v>
      </c>
      <c r="T79" s="59">
        <f t="shared" si="88"/>
        <v>327.65691162938418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7.8425925925925934</v>
      </c>
      <c r="AI79" s="13">
        <f>IF('Données projet'!$A$62&gt;35,AI78+AH79-AQ78,IF(A79&lt;'Données projet'!$A$62,$AF$205^A79,IF(A79='Données projet'!$A$62,'Données projet'!$B$62,AI78+AH79-AQ78)))</f>
        <v>242.64245014245034</v>
      </c>
      <c r="AJ79" s="13">
        <f>AI79*VLOOKUP('Données projet'!$B$10,Paramètres!$A$1:$I$89,3,0)*VLOOKUP('Données projet'!$B$10,Paramètres!$A$1:$I$89,5,0)</f>
        <v>242.25422222222244</v>
      </c>
      <c r="AK79" s="13">
        <f t="shared" si="89"/>
        <v>58.924273168171219</v>
      </c>
      <c r="AL79" s="20">
        <f t="shared" si="58"/>
        <v>524.55254613826889</v>
      </c>
      <c r="AM79" s="59">
        <f t="shared" si="59"/>
        <v>817.88587947160227</v>
      </c>
      <c r="AN79" s="59">
        <f ca="1">AVERAGE(OFFSET($AM$3,0,0,'Données projet'!$E$10+1,1))-AVERAGE(OFFSET($H$3,0,0,'Données projet'!$E$10+1,1))</f>
        <v>306.38046634523579</v>
      </c>
      <c r="AO79" s="59">
        <f t="shared" si="90"/>
        <v>229.77251296097705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22.731593921816899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22.731593921816899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7.8425925925925934</v>
      </c>
      <c r="BD79" s="12">
        <f>IF('Données projet'!$A$88&gt;35,BD78+BC79-BL78,IF(A79&lt;'Données projet'!$A$88,$BA$205^A79,IF(A79='Données projet'!$A$88,'Données projet'!$B$88,BD78+BC79-BL78)))</f>
        <v>242.64245014245034</v>
      </c>
      <c r="BE79" s="13">
        <f>BD79*VLOOKUP('Données projet'!$B$11,Paramètres!$A$1:$I$89,3,0)*VLOOKUP('Données projet'!$B$11,Paramètres!$A$1:$I$89,5,0)</f>
        <v>246.03944444444465</v>
      </c>
      <c r="BF79" s="13">
        <f t="shared" si="91"/>
        <v>59.737060883292813</v>
      </c>
      <c r="BG79" s="20">
        <f t="shared" si="61"/>
        <v>532.56074677914273</v>
      </c>
      <c r="BH79" s="59">
        <f t="shared" si="62"/>
        <v>825.8940801124761</v>
      </c>
      <c r="BI79" s="59">
        <f ca="1">AVERAGE(OFFSET($BH$3,0,0,'Données projet'!$E$11+1,1))-AVERAGE(OFFSET($H$3,0,0,'Données projet'!$E$11+1,1))</f>
        <v>312.29056285877169</v>
      </c>
      <c r="BJ79" s="59">
        <f t="shared" si="92"/>
        <v>233.85454224241693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23.086775076845292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23.086775076845292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2.8</v>
      </c>
      <c r="BY79" s="12">
        <f>IF('Données projet'!$A$114&gt;35,BY78+BX79-CG78,IF(A79&lt;'Données projet'!$A$114,$BV$205^A79,IF(A79='Données projet'!$A$114,'Données projet'!$B$114,BY78+BX79-CG78)))</f>
        <v>263.79999999999978</v>
      </c>
      <c r="BZ79" s="13">
        <f>BY79*VLOOKUP('Données projet'!$B$12,Paramètres!$A$1:$I$89,3,0)*VLOOKUP('Données projet'!$B$12,Paramètres!$A$1:$I$89,5,0)</f>
        <v>209.87927999999985</v>
      </c>
      <c r="CA79" s="13">
        <f t="shared" si="93"/>
        <v>51.909204458241767</v>
      </c>
      <c r="CB79" s="20">
        <f t="shared" si="64"/>
        <v>455.94827709810414</v>
      </c>
      <c r="CC79" s="59">
        <f t="shared" si="65"/>
        <v>749.28161043143746</v>
      </c>
      <c r="CD79" s="59">
        <f ca="1">AVERAGE(OFFSET($CC$3,0,0,'Données projet'!$E$12+1,1))-AVERAGE(OFFSET($H$3,0,0,'Données projet'!$E$12+1,1))</f>
        <v>219.43439115440339</v>
      </c>
      <c r="CE79" s="59">
        <f t="shared" si="94"/>
        <v>217.8880462742099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27.612678838205827</v>
      </c>
      <c r="CL79" s="21">
        <f>EXP(-LN(2)/25)*CL78+(1-EXP(-LN(2)/25))/(LN(2)/25)*Calculateur!CG79*Calculateur!CI79*VLOOKUP('Données projet'!$B$12,Paramètres!$A$1:$I$89,3,0)*0.475*44/12</f>
        <v>8.7662816585276175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36.378960496733441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261.10917418234862</v>
      </c>
      <c r="T80" s="59">
        <f t="shared" si="88"/>
        <v>327.65691162938418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7.8425925925925934</v>
      </c>
      <c r="AI80" s="13">
        <f>IF('Données projet'!$A$62&gt;35,AI79+AH80-AQ79,IF(A80&lt;'Données projet'!$A$62,$AF$205^A80,IF(A80='Données projet'!$A$62,'Données projet'!$B$62,AI79+AH80-AQ79)))</f>
        <v>250.48504273504292</v>
      </c>
      <c r="AJ80" s="13">
        <f>AI80*VLOOKUP('Données projet'!$B$10,Paramètres!$A$1:$I$89,3,0)*VLOOKUP('Données projet'!$B$10,Paramètres!$A$1:$I$89,5,0)</f>
        <v>250.08426666666688</v>
      </c>
      <c r="AK80" s="13">
        <f t="shared" si="89"/>
        <v>60.603984936804828</v>
      </c>
      <c r="AL80" s="20">
        <f t="shared" si="58"/>
        <v>541.11537154271321</v>
      </c>
      <c r="AM80" s="59">
        <f t="shared" si="59"/>
        <v>834.44870487604658</v>
      </c>
      <c r="AN80" s="59">
        <f ca="1">AVERAGE(OFFSET($AM$3,0,0,'Données projet'!$E$10+1,1))-AVERAGE(OFFSET($H$3,0,0,'Données projet'!$E$10+1,1))</f>
        <v>306.38046634523579</v>
      </c>
      <c r="AO80" s="59">
        <f t="shared" si="90"/>
        <v>229.77251296097705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22.285841229913316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22.285841229913316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7.8425925925925934</v>
      </c>
      <c r="BD80" s="12">
        <f>IF('Données projet'!$A$88&gt;35,BD79+BC80-BL79,IF(A80&lt;'Données projet'!$A$88,$BA$205^A80,IF(A80='Données projet'!$A$88,'Données projet'!$B$88,BD79+BC80-BL79)))</f>
        <v>250.48504273504292</v>
      </c>
      <c r="BE80" s="13">
        <f>BD80*VLOOKUP('Données projet'!$B$11,Paramètres!$A$1:$I$89,3,0)*VLOOKUP('Données projet'!$B$11,Paramètres!$A$1:$I$89,5,0)</f>
        <v>253.99183333333355</v>
      </c>
      <c r="BF80" s="13">
        <f t="shared" si="91"/>
        <v>61.439942205271571</v>
      </c>
      <c r="BG80" s="20">
        <f t="shared" si="61"/>
        <v>549.37700906307055</v>
      </c>
      <c r="BH80" s="59">
        <f t="shared" si="62"/>
        <v>842.7103423964038</v>
      </c>
      <c r="BI80" s="59">
        <f ca="1">AVERAGE(OFFSET($BH$3,0,0,'Données projet'!$E$11+1,1))-AVERAGE(OFFSET($H$3,0,0,'Données projet'!$E$11+1,1))</f>
        <v>312.29056285877169</v>
      </c>
      <c r="BJ80" s="59">
        <f t="shared" si="92"/>
        <v>233.85454224241693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22.634057499130716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22.634057499130716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2.8</v>
      </c>
      <c r="BY80" s="12">
        <f>IF('Données projet'!$A$114&gt;35,BY79+BX80-CG79,IF(A80&lt;'Données projet'!$A$114,$BV$205^A80,IF(A80='Données projet'!$A$114,'Données projet'!$B$114,BY79+BX80-CG79)))</f>
        <v>266.5999999999998</v>
      </c>
      <c r="BZ80" s="13">
        <f>BY80*VLOOKUP('Données projet'!$B$12,Paramètres!$A$1:$I$89,3,0)*VLOOKUP('Données projet'!$B$12,Paramètres!$A$1:$I$89,5,0)</f>
        <v>212.10695999999984</v>
      </c>
      <c r="CA80" s="13">
        <f t="shared" si="93"/>
        <v>52.395741612408194</v>
      </c>
      <c r="CB80" s="20">
        <f t="shared" si="64"/>
        <v>460.67553864161067</v>
      </c>
      <c r="CC80" s="59">
        <f t="shared" si="65"/>
        <v>754.00887197494399</v>
      </c>
      <c r="CD80" s="59">
        <f ca="1">AVERAGE(OFFSET($CC$3,0,0,'Données projet'!$E$12+1,1))-AVERAGE(OFFSET($H$3,0,0,'Données projet'!$E$12+1,1))</f>
        <v>219.43439115440339</v>
      </c>
      <c r="CE80" s="59">
        <f t="shared" si="94"/>
        <v>217.8880462742099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27.071211048259684</v>
      </c>
      <c r="CL80" s="21">
        <f>EXP(-LN(2)/25)*CL79+(1-EXP(-LN(2)/25))/(LN(2)/25)*Calculateur!CG80*Calculateur!CI80*VLOOKUP('Données projet'!$B$12,Paramètres!$A$1:$I$89,3,0)*0.475*44/12</f>
        <v>8.5265672255764624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35.597778273836148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261.10917418234862</v>
      </c>
      <c r="T81" s="59">
        <f t="shared" si="88"/>
        <v>327.65691162938418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7.8425925925925934</v>
      </c>
      <c r="AI81" s="13">
        <f>IF('Données projet'!$A$62&gt;35,AI80+AH81-AQ80,IF(A81&lt;'Données projet'!$A$62,$AF$205^A81,IF(A81='Données projet'!$A$62,'Données projet'!$B$62,AI80+AH81-AQ80)))</f>
        <v>258.32763532763551</v>
      </c>
      <c r="AJ81" s="13">
        <f>AI81*VLOOKUP('Données projet'!$B$10,Paramètres!$A$1:$I$89,3,0)*VLOOKUP('Données projet'!$B$10,Paramètres!$A$1:$I$89,5,0)</f>
        <v>257.91431111111126</v>
      </c>
      <c r="AK81" s="13">
        <f t="shared" si="89"/>
        <v>62.277585182647542</v>
      </c>
      <c r="AL81" s="20">
        <f t="shared" si="58"/>
        <v>557.66755271162992</v>
      </c>
      <c r="AM81" s="59">
        <f t="shared" si="59"/>
        <v>851.00088604496318</v>
      </c>
      <c r="AN81" s="59">
        <f ca="1">AVERAGE(OFFSET($AM$3,0,0,'Données projet'!$E$10+1,1))-AVERAGE(OFFSET($H$3,0,0,'Données projet'!$E$10+1,1))</f>
        <v>306.38046634523579</v>
      </c>
      <c r="AO81" s="59">
        <f t="shared" si="90"/>
        <v>229.77251296097705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21.848829476415666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21.848829476415666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7.8425925925925934</v>
      </c>
      <c r="BD81" s="12">
        <f>IF('Données projet'!$A$88&gt;35,BD80+BC81-BL80,IF(A81&lt;'Données projet'!$A$88,$BA$205^A81,IF(A81='Données projet'!$A$88,'Données projet'!$B$88,BD80+BC81-BL80)))</f>
        <v>258.32763532763551</v>
      </c>
      <c r="BE81" s="13">
        <f>BD81*VLOOKUP('Données projet'!$B$11,Paramètres!$A$1:$I$89,3,0)*VLOOKUP('Données projet'!$B$11,Paramètres!$A$1:$I$89,5,0)</f>
        <v>261.94422222222244</v>
      </c>
      <c r="BF81" s="13">
        <f t="shared" si="91"/>
        <v>63.136627703535865</v>
      </c>
      <c r="BG81" s="20">
        <f t="shared" si="61"/>
        <v>566.18248028736241</v>
      </c>
      <c r="BH81" s="59">
        <f t="shared" si="62"/>
        <v>859.51581362069578</v>
      </c>
      <c r="BI81" s="59">
        <f ca="1">AVERAGE(OFFSET($BH$3,0,0,'Données projet'!$E$11+1,1))-AVERAGE(OFFSET($H$3,0,0,'Données projet'!$E$11+1,1))</f>
        <v>312.29056285877169</v>
      </c>
      <c r="BJ81" s="59">
        <f t="shared" si="92"/>
        <v>233.85454224241693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22.190217436984664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22.190217436984664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2.8</v>
      </c>
      <c r="BY81" s="12">
        <f>IF('Données projet'!$A$114&gt;35,BY80+BX81-CG80,IF(A81&lt;'Données projet'!$A$114,$BV$205^A81,IF(A81='Données projet'!$A$114,'Données projet'!$B$114,BY80+BX81-CG80)))</f>
        <v>269.39999999999981</v>
      </c>
      <c r="BZ81" s="13">
        <f>BY81*VLOOKUP('Données projet'!$B$12,Paramètres!$A$1:$I$89,3,0)*VLOOKUP('Données projet'!$B$12,Paramètres!$A$1:$I$89,5,0)</f>
        <v>214.33463999999984</v>
      </c>
      <c r="CA81" s="13">
        <f t="shared" si="93"/>
        <v>52.881684324030282</v>
      </c>
      <c r="CB81" s="20">
        <f t="shared" si="64"/>
        <v>465.40176486435234</v>
      </c>
      <c r="CC81" s="59">
        <f t="shared" si="65"/>
        <v>758.7350981976856</v>
      </c>
      <c r="CD81" s="59">
        <f ca="1">AVERAGE(OFFSET($CC$3,0,0,'Données projet'!$E$12+1,1))-AVERAGE(OFFSET($H$3,0,0,'Données projet'!$E$12+1,1))</f>
        <v>219.43439115440339</v>
      </c>
      <c r="CE81" s="59">
        <f t="shared" si="94"/>
        <v>217.8880462742099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26.540361111411645</v>
      </c>
      <c r="CL81" s="21">
        <f>EXP(-LN(2)/25)*CL80+(1-EXP(-LN(2)/25))/(LN(2)/25)*Calculateur!CG81*Calculateur!CI81*VLOOKUP('Données projet'!$B$12,Paramètres!$A$1:$I$89,3,0)*0.475*44/12</f>
        <v>8.2934077964003912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34.833768907812036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261.10917418234862</v>
      </c>
      <c r="T82" s="59">
        <f t="shared" si="88"/>
        <v>327.65691162938418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7.8425925925925934</v>
      </c>
      <c r="AI82" s="13">
        <f>IF('Données projet'!$A$62&gt;35,AI81+AH82-AQ81,IF(A82&lt;'Données projet'!$A$62,$AF$205^A82,IF(A82='Données projet'!$A$62,'Données projet'!$B$62,AI81+AH82-AQ81)))</f>
        <v>266.17022792022811</v>
      </c>
      <c r="AJ82" s="13">
        <f>AI82*VLOOKUP('Données projet'!$B$10,Paramètres!$A$1:$I$89,3,0)*VLOOKUP('Données projet'!$B$10,Paramètres!$A$1:$I$89,5,0)</f>
        <v>265.74435555555579</v>
      </c>
      <c r="AK82" s="13">
        <f t="shared" si="89"/>
        <v>63.945280741757003</v>
      </c>
      <c r="AL82" s="20">
        <f t="shared" si="58"/>
        <v>574.20944988448639</v>
      </c>
      <c r="AM82" s="59">
        <f t="shared" si="59"/>
        <v>867.54278321781976</v>
      </c>
      <c r="AN82" s="59">
        <f ca="1">AVERAGE(OFFSET($AM$3,0,0,'Données projet'!$E$10+1,1))-AVERAGE(OFFSET($H$3,0,0,'Données projet'!$E$10+1,1))</f>
        <v>306.38046634523579</v>
      </c>
      <c r="AO82" s="59">
        <f t="shared" si="90"/>
        <v>229.77251296097705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21.420387256853257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21.420387256853257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7.8425925925925934</v>
      </c>
      <c r="BD82" s="12">
        <f>IF('Données projet'!$A$88&gt;35,BD81+BC82-BL81,IF(A82&lt;'Données projet'!$A$88,$BA$205^A82,IF(A82='Données projet'!$A$88,'Données projet'!$B$88,BD81+BC82-BL81)))</f>
        <v>266.17022792022811</v>
      </c>
      <c r="BE82" s="13">
        <f>BD82*VLOOKUP('Données projet'!$B$11,Paramètres!$A$1:$I$89,3,0)*VLOOKUP('Données projet'!$B$11,Paramètres!$A$1:$I$89,5,0)</f>
        <v>269.89661111111133</v>
      </c>
      <c r="BF82" s="13">
        <f t="shared" si="91"/>
        <v>64.82732706719186</v>
      </c>
      <c r="BG82" s="20">
        <f t="shared" si="61"/>
        <v>582.97752566054464</v>
      </c>
      <c r="BH82" s="59">
        <f t="shared" si="62"/>
        <v>876.3108589938779</v>
      </c>
      <c r="BI82" s="59">
        <f ca="1">AVERAGE(OFFSET($BH$3,0,0,'Données projet'!$E$11+1,1))-AVERAGE(OFFSET($H$3,0,0,'Données projet'!$E$11+1,1))</f>
        <v>312.29056285877169</v>
      </c>
      <c r="BJ82" s="59">
        <f t="shared" si="92"/>
        <v>233.85454224241693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21.755080807741592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21.755080807741592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2.8</v>
      </c>
      <c r="BY82" s="12">
        <f>IF('Données projet'!$A$114&gt;35,BY81+BX82-CG81,IF(A82&lt;'Données projet'!$A$114,$BV$205^A82,IF(A82='Données projet'!$A$114,'Données projet'!$B$114,BY81+BX82-CG81)))</f>
        <v>272.19999999999982</v>
      </c>
      <c r="BZ82" s="13">
        <f>BY82*VLOOKUP('Données projet'!$B$12,Paramètres!$A$1:$I$89,3,0)*VLOOKUP('Données projet'!$B$12,Paramètres!$A$1:$I$89,5,0)</f>
        <v>216.56231999999989</v>
      </c>
      <c r="CA82" s="13">
        <f t="shared" si="93"/>
        <v>53.367039486661959</v>
      </c>
      <c r="CB82" s="20">
        <f t="shared" si="64"/>
        <v>470.12696777260271</v>
      </c>
      <c r="CC82" s="59">
        <f t="shared" si="65"/>
        <v>763.46030110593597</v>
      </c>
      <c r="CD82" s="59">
        <f ca="1">AVERAGE(OFFSET($CC$3,0,0,'Données projet'!$E$12+1,1))-AVERAGE(OFFSET($H$3,0,0,'Données projet'!$E$12+1,1))</f>
        <v>219.43439115440339</v>
      </c>
      <c r="CE82" s="59">
        <f t="shared" si="94"/>
        <v>217.8880462742099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26.019920818038706</v>
      </c>
      <c r="CL82" s="21">
        <f>EXP(-LN(2)/25)*CL81+(1-EXP(-LN(2)/25))/(LN(2)/25)*Calculateur!CG82*Calculateur!CI82*VLOOKUP('Données projet'!$B$12,Paramètres!$A$1:$I$89,3,0)*0.475*44/12</f>
        <v>8.066624124076462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34.086544942115168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261.10917418234862</v>
      </c>
      <c r="T83" s="59">
        <f t="shared" si="88"/>
        <v>327.65691162938418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274.01282051282055</v>
      </c>
      <c r="AG83" s="12">
        <f>VLOOKUP(A83,'Données projet'!$A$61:$I$81,9,0)</f>
        <v>7.8425925925925934</v>
      </c>
      <c r="AH83" s="12">
        <f t="array" ref="AH83">INDEX(AG:AG,MIN(IF(ISNUMBER(AG83:AG279),ROW(AG83:AG279),"")))</f>
        <v>7.8425925925925934</v>
      </c>
      <c r="AI83" s="13">
        <f>IF('Données projet'!$A$62&gt;35,AI82+AH83-AQ82,IF(A83&lt;'Données projet'!$A$62,$AF$205^A83,IF(A83='Données projet'!$A$62,'Données projet'!$B$62,AI82+AH83-AQ82)))</f>
        <v>274.01282051282072</v>
      </c>
      <c r="AJ83" s="13">
        <f>AI83*VLOOKUP('Données projet'!$B$10,Paramètres!$A$1:$I$89,3,0)*VLOOKUP('Données projet'!$B$10,Paramètres!$A$1:$I$89,5,0)</f>
        <v>273.5744000000002</v>
      </c>
      <c r="AK83" s="13">
        <f t="shared" si="89"/>
        <v>65.607265568584992</v>
      </c>
      <c r="AL83" s="20">
        <f t="shared" si="58"/>
        <v>590.74140086528587</v>
      </c>
      <c r="AM83" s="59">
        <f t="shared" si="59"/>
        <v>884.07473419861913</v>
      </c>
      <c r="AN83" s="59">
        <f ca="1">AVERAGE(OFFSET($AM$3,0,0,'Données projet'!$E$10+1,1))-AVERAGE(OFFSET($H$3,0,0,'Données projet'!$E$10+1,1))</f>
        <v>306.38046634523579</v>
      </c>
      <c r="AO83" s="59">
        <f t="shared" si="90"/>
        <v>229.77251296097705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45.608974358974358</v>
      </c>
      <c r="AR83" s="16">
        <f>IF(ISNA(VLOOKUP(A83,'Données projet'!$A$61:$I$81,5,0)),0%,VLOOKUP(A83,'Données projet'!$A$61:$I$81,5,0)*VLOOKUP('Données projet'!$B$10,Paramètres!$A$1:$I$89,7,0))</f>
        <v>0.30099999999999999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36.152294987818649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36.152294987818649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274.01282051282055</v>
      </c>
      <c r="BB83" s="12">
        <f>VLOOKUP(A83,'Données projet'!$A$87:$I$107,9,0)</f>
        <v>7.8425925925925934</v>
      </c>
      <c r="BC83" s="12">
        <f t="array" ref="BC83">INDEX(BB:BB,MIN(IF(ISNUMBER(BB83:BB279),ROW(BB83:BB279),"")))</f>
        <v>7.8425925925925934</v>
      </c>
      <c r="BD83" s="12">
        <f>IF('Données projet'!$A$88&gt;35,BD82+BC83-BL82,IF(A83&lt;'Données projet'!$A$88,$BA$205^A83,IF(A83='Données projet'!$A$88,'Données projet'!$B$88,BD82+BC83-BL82)))</f>
        <v>274.01282051282072</v>
      </c>
      <c r="BE83" s="13">
        <f>BD83*VLOOKUP('Données projet'!$B$11,Paramètres!$A$1:$I$89,3,0)*VLOOKUP('Données projet'!$B$11,Paramètres!$A$1:$I$89,5,0)</f>
        <v>277.84900000000027</v>
      </c>
      <c r="BF83" s="13">
        <f t="shared" si="91"/>
        <v>66.512236926053845</v>
      </c>
      <c r="BG83" s="20">
        <f t="shared" si="61"/>
        <v>599.76248764621096</v>
      </c>
      <c r="BH83" s="59">
        <f t="shared" si="62"/>
        <v>893.09582097954421</v>
      </c>
      <c r="BI83" s="59">
        <f ca="1">AVERAGE(OFFSET($BH$3,0,0,'Données projet'!$E$11+1,1))-AVERAGE(OFFSET($H$3,0,0,'Données projet'!$E$11+1,1))</f>
        <v>312.29056285877169</v>
      </c>
      <c r="BJ83" s="59">
        <f t="shared" si="92"/>
        <v>233.85454224241693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45.608974358974358</v>
      </c>
      <c r="BM83" s="16">
        <f>IF(ISNA(VLOOKUP(A83,'Données projet'!$A$87:$I$107,5,0)),0%,VLOOKUP(A83,'Données projet'!$A$87:$I$107,5,0)*VLOOKUP('Données projet'!$B$11,Paramètres!$A$1:$I$89,7,0))</f>
        <v>0.30099999999999999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36.717174597003321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36.717174597003321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275</v>
      </c>
      <c r="BW83" s="12">
        <f>VLOOKUP(A83,'Données projet'!$A$113:$I$133,9,0)</f>
        <v>2.8</v>
      </c>
      <c r="BX83" s="12">
        <f t="array" ref="BX83">INDEX(BW:BW,MIN(IF(ISNUMBER(BW83:BW279),ROW(BW83:BW279),"")))</f>
        <v>2.8</v>
      </c>
      <c r="BY83" s="12">
        <f>IF('Données projet'!$A$114&gt;35,BY82+BX83-CG82,IF(A83&lt;'Données projet'!$A$114,$BV$205^A83,IF(A83='Données projet'!$A$114,'Données projet'!$B$114,BY82+BX83-CG82)))</f>
        <v>274.99999999999983</v>
      </c>
      <c r="BZ83" s="13">
        <f>BY83*VLOOKUP('Données projet'!$B$12,Paramètres!$A$1:$I$89,3,0)*VLOOKUP('Données projet'!$B$12,Paramètres!$A$1:$I$89,5,0)</f>
        <v>218.78999999999988</v>
      </c>
      <c r="CA83" s="13">
        <f t="shared" si="93"/>
        <v>53.851813843863468</v>
      </c>
      <c r="CB83" s="20">
        <f t="shared" si="64"/>
        <v>474.85115911139536</v>
      </c>
      <c r="CC83" s="59">
        <f t="shared" si="65"/>
        <v>768.18449244472868</v>
      </c>
      <c r="CD83" s="59">
        <f ca="1">AVERAGE(OFFSET($CC$3,0,0,'Données projet'!$E$12+1,1))-AVERAGE(OFFSET($H$3,0,0,'Données projet'!$E$12+1,1))</f>
        <v>219.43439115440339</v>
      </c>
      <c r="CE83" s="59">
        <f t="shared" si="94"/>
        <v>217.8880462742099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8</v>
      </c>
      <c r="CH83" s="16">
        <f>IF(ISNA(VLOOKUP(A83,'Données projet'!$A$113:$I$133,5,0)),0%,VLOOKUP(A83,'Données projet'!$A$113:$I$133,5,0)*VLOOKUP('Données projet'!$B$12,Paramètres!$A$1:$I$89,7,0))</f>
        <v>0.46640000000000004</v>
      </c>
      <c r="CI83" s="16">
        <f>IF(ISNA(VLOOKUP(A83,'Données projet'!$A$113:$I$133,6,0)),0%,VLOOKUP(A83,'Données projet'!$A$113:$I$133,6,0)*VLOOKUP('Données projet'!$B$12,Paramètres!$A$1:$I$89,7,0))</f>
        <v>6.8900000000000003E-2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28.791322088719753</v>
      </c>
      <c r="CL83" s="21">
        <f>EXP(-LN(2)/25)*CL82+(1-EXP(-LN(2)/25))/(LN(2)/25)*Calculateur!CG83*Calculateur!CI83*VLOOKUP('Données projet'!$B$12,Paramètres!$A$1:$I$89,3,0)*0.475*44/12</f>
        <v>8.3289202148532624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37.120242303573015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261.10917418234862</v>
      </c>
      <c r="T84" s="59">
        <f t="shared" si="88"/>
        <v>327.65691162938418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7.4950142450142421</v>
      </c>
      <c r="AI84" s="13">
        <f>IF('Données projet'!$A$62&gt;35,AI83+AH84-AQ83,IF(A84&lt;'Données projet'!$A$62,$AF$205^A84,IF(A84='Données projet'!$A$62,'Données projet'!$B$62,AI83+AH84-AQ83)))</f>
        <v>235.89886039886062</v>
      </c>
      <c r="AJ84" s="13">
        <f>AI84*VLOOKUP('Données projet'!$B$10,Paramètres!$A$1:$I$89,3,0)*VLOOKUP('Données projet'!$B$10,Paramètres!$A$1:$I$89,5,0)</f>
        <v>235.52142222222247</v>
      </c>
      <c r="AK84" s="13">
        <f t="shared" si="89"/>
        <v>57.474888807077825</v>
      </c>
      <c r="AL84" s="20">
        <f t="shared" si="58"/>
        <v>510.30190837603124</v>
      </c>
      <c r="AM84" s="59">
        <f t="shared" si="59"/>
        <v>803.63524170936455</v>
      </c>
      <c r="AN84" s="59">
        <f ca="1">AVERAGE(OFFSET($AM$3,0,0,'Données projet'!$E$10+1,1))-AVERAGE(OFFSET($H$3,0,0,'Données projet'!$E$10+1,1))</f>
        <v>306.38046634523579</v>
      </c>
      <c r="AO84" s="59">
        <f t="shared" si="90"/>
        <v>229.77251296097705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35.443370533830141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35.443370533830141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7.4950142450142421</v>
      </c>
      <c r="BD84" s="12">
        <f>IF('Données projet'!$A$88&gt;35,BD83+BC84-BL83,IF(A84&lt;'Données projet'!$A$88,$BA$205^A84,IF(A84='Données projet'!$A$88,'Données projet'!$B$88,BD83+BC84-BL83)))</f>
        <v>235.89886039886062</v>
      </c>
      <c r="BE84" s="13">
        <f>BD84*VLOOKUP('Données projet'!$B$11,Paramètres!$A$1:$I$89,3,0)*VLOOKUP('Données projet'!$B$11,Paramètres!$A$1:$I$89,5,0)</f>
        <v>239.20144444444466</v>
      </c>
      <c r="BF84" s="13">
        <f t="shared" si="91"/>
        <v>58.267684051527382</v>
      </c>
      <c r="BG84" s="20">
        <f t="shared" si="61"/>
        <v>518.0920654638179</v>
      </c>
      <c r="BH84" s="59">
        <f t="shared" si="62"/>
        <v>811.42539879715127</v>
      </c>
      <c r="BI84" s="59">
        <f ca="1">AVERAGE(OFFSET($BH$3,0,0,'Données projet'!$E$11+1,1))-AVERAGE(OFFSET($H$3,0,0,'Données projet'!$E$11+1,1))</f>
        <v>312.29056285877169</v>
      </c>
      <c r="BJ84" s="59">
        <f t="shared" si="92"/>
        <v>233.85454224241693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35.997173198421244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35.997173198421244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266.99999999999983</v>
      </c>
      <c r="BZ84" s="13">
        <f>BY84*VLOOKUP('Données projet'!$B$12,Paramètres!$A$1:$I$89,3,0)*VLOOKUP('Données projet'!$B$12,Paramètres!$A$1:$I$89,5,0)</f>
        <v>212.42519999999985</v>
      </c>
      <c r="CA84" s="13">
        <f t="shared" si="93"/>
        <v>52.465198231787184</v>
      </c>
      <c r="CB84" s="20">
        <f t="shared" si="64"/>
        <v>461.35077692036231</v>
      </c>
      <c r="CC84" s="59">
        <f t="shared" si="65"/>
        <v>754.68411025369562</v>
      </c>
      <c r="CD84" s="59">
        <f ca="1">AVERAGE(OFFSET($CC$3,0,0,'Données projet'!$E$12+1,1))-AVERAGE(OFFSET($H$3,0,0,'Données projet'!$E$12+1,1))</f>
        <v>219.43439115440339</v>
      </c>
      <c r="CE84" s="59">
        <f t="shared" si="94"/>
        <v>217.8880462742099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28.226741823532429</v>
      </c>
      <c r="CL84" s="21">
        <f>EXP(-LN(2)/25)*CL83+(1-EXP(-LN(2)/25))/(LN(2)/25)*Calculateur!CG84*Calculateur!CI84*VLOOKUP('Données projet'!$B$12,Paramètres!$A$1:$I$89,3,0)*0.475*44/12</f>
        <v>8.1011654535792221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36.327907277111649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261.10917418234862</v>
      </c>
      <c r="T85" s="59">
        <f t="shared" si="88"/>
        <v>327.65691162938418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7.4950142450142421</v>
      </c>
      <c r="AI85" s="13">
        <f>IF('Données projet'!$A$62&gt;35,AI84+AH85-AQ84,IF(A85&lt;'Données projet'!$A$62,$AF$205^A85,IF(A85='Données projet'!$A$62,'Données projet'!$B$62,AI84+AH85-AQ84)))</f>
        <v>243.39387464387485</v>
      </c>
      <c r="AJ85" s="13">
        <f>AI85*VLOOKUP('Données projet'!$B$10,Paramètres!$A$1:$I$89,3,0)*VLOOKUP('Données projet'!$B$10,Paramètres!$A$1:$I$89,5,0)</f>
        <v>243.00444444444466</v>
      </c>
      <c r="AK85" s="13">
        <f t="shared" si="89"/>
        <v>59.08548255200251</v>
      </c>
      <c r="AL85" s="20">
        <f t="shared" si="58"/>
        <v>526.1399561854787</v>
      </c>
      <c r="AM85" s="59">
        <f t="shared" si="59"/>
        <v>819.47328951881195</v>
      </c>
      <c r="AN85" s="59">
        <f ca="1">AVERAGE(OFFSET($AM$3,0,0,'Données projet'!$E$10+1,1))-AVERAGE(OFFSET($H$3,0,0,'Données projet'!$E$10+1,1))</f>
        <v>306.38046634523579</v>
      </c>
      <c r="AO85" s="59">
        <f t="shared" si="90"/>
        <v>229.77251296097705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34.748347655983125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34.748347655983125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7.4950142450142421</v>
      </c>
      <c r="BD85" s="12">
        <f>IF('Données projet'!$A$88&gt;35,BD84+BC85-BL84,IF(A85&lt;'Données projet'!$A$88,$BA$205^A85,IF(A85='Données projet'!$A$88,'Données projet'!$B$88,BD84+BC85-BL84)))</f>
        <v>243.39387464387485</v>
      </c>
      <c r="BE85" s="13">
        <f>BD85*VLOOKUP('Données projet'!$B$11,Paramètres!$A$1:$I$89,3,0)*VLOOKUP('Données projet'!$B$11,Paramètres!$A$1:$I$89,5,0)</f>
        <v>246.80138888888911</v>
      </c>
      <c r="BF85" s="13">
        <f t="shared" si="91"/>
        <v>59.900493951858735</v>
      </c>
      <c r="BG85" s="20">
        <f t="shared" si="61"/>
        <v>534.17244594763577</v>
      </c>
      <c r="BH85" s="59">
        <f t="shared" si="62"/>
        <v>827.50577928096914</v>
      </c>
      <c r="BI85" s="59">
        <f ca="1">AVERAGE(OFFSET($BH$3,0,0,'Données projet'!$E$11+1,1))-AVERAGE(OFFSET($H$3,0,0,'Données projet'!$E$11+1,1))</f>
        <v>312.29056285877169</v>
      </c>
      <c r="BJ85" s="59">
        <f t="shared" si="92"/>
        <v>233.85454224241693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35.29129058810787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35.29129058810787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266.99999999999983</v>
      </c>
      <c r="BZ85" s="13">
        <f>BY85*VLOOKUP('Données projet'!$B$12,Paramètres!$A$1:$I$89,3,0)*VLOOKUP('Données projet'!$B$12,Paramètres!$A$1:$I$89,5,0)</f>
        <v>212.42519999999985</v>
      </c>
      <c r="CA85" s="13">
        <f t="shared" si="93"/>
        <v>52.465198231787184</v>
      </c>
      <c r="CB85" s="20">
        <f t="shared" si="64"/>
        <v>461.35077692036231</v>
      </c>
      <c r="CC85" s="59">
        <f t="shared" si="65"/>
        <v>754.68411025369562</v>
      </c>
      <c r="CD85" s="59">
        <f ca="1">AVERAGE(OFFSET($CC$3,0,0,'Données projet'!$E$12+1,1))-AVERAGE(OFFSET($H$3,0,0,'Données projet'!$E$12+1,1))</f>
        <v>219.43439115440339</v>
      </c>
      <c r="CE85" s="59">
        <f t="shared" si="94"/>
        <v>217.8880462742099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27.673232632985471</v>
      </c>
      <c r="CL85" s="21">
        <f>EXP(-LN(2)/25)*CL84+(1-EXP(-LN(2)/25))/(LN(2)/25)*Calculateur!CG85*Calculateur!CI85*VLOOKUP('Données projet'!$B$12,Paramètres!$A$1:$I$89,3,0)*0.475*44/12</f>
        <v>7.8796386582293225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35.552871291214792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261.10917418234862</v>
      </c>
      <c r="T86" s="59">
        <f t="shared" si="88"/>
        <v>327.65691162938418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7.4950142450142421</v>
      </c>
      <c r="AI86" s="13">
        <f>IF('Données projet'!$A$62&gt;35,AI85+AH86-AQ85,IF(A86&lt;'Données projet'!$A$62,$AF$205^A86,IF(A86='Données projet'!$A$62,'Données projet'!$B$62,AI85+AH86-AQ85)))</f>
        <v>250.88888888888908</v>
      </c>
      <c r="AJ86" s="13">
        <f>AI86*VLOOKUP('Données projet'!$B$10,Paramètres!$A$1:$I$89,3,0)*VLOOKUP('Données projet'!$B$10,Paramètres!$A$1:$I$89,5,0)</f>
        <v>250.48746666666685</v>
      </c>
      <c r="AK86" s="13">
        <f t="shared" si="89"/>
        <v>60.690312665216638</v>
      </c>
      <c r="AL86" s="20">
        <f t="shared" si="58"/>
        <v>541.96796566969704</v>
      </c>
      <c r="AM86" s="59">
        <f t="shared" si="59"/>
        <v>835.30129900303041</v>
      </c>
      <c r="AN86" s="59">
        <f ca="1">AVERAGE(OFFSET($AM$3,0,0,'Données projet'!$E$10+1,1))-AVERAGE(OFFSET($H$3,0,0,'Données projet'!$E$10+1,1))</f>
        <v>306.38046634523579</v>
      </c>
      <c r="AO86" s="59">
        <f t="shared" si="90"/>
        <v>229.77251296097705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34.06695375284859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34.06695375284859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7.4950142450142421</v>
      </c>
      <c r="BD86" s="12">
        <f>IF('Données projet'!$A$88&gt;35,BD85+BC86-BL85,IF(A86&lt;'Données projet'!$A$88,$BA$205^A86,IF(A86='Données projet'!$A$88,'Données projet'!$B$88,BD85+BC86-BL85)))</f>
        <v>250.88888888888908</v>
      </c>
      <c r="BE86" s="13">
        <f>BD86*VLOOKUP('Données projet'!$B$11,Paramètres!$A$1:$I$89,3,0)*VLOOKUP('Données projet'!$B$11,Paramètres!$A$1:$I$89,5,0)</f>
        <v>254.40133333333353</v>
      </c>
      <c r="BF86" s="13">
        <f t="shared" si="91"/>
        <v>61.527460718284608</v>
      </c>
      <c r="BG86" s="20">
        <f t="shared" si="61"/>
        <v>550.24264963990152</v>
      </c>
      <c r="BH86" s="59">
        <f t="shared" si="62"/>
        <v>843.57598297323489</v>
      </c>
      <c r="BI86" s="59">
        <f ca="1">AVERAGE(OFFSET($BH$3,0,0,'Données projet'!$E$11+1,1))-AVERAGE(OFFSET($H$3,0,0,'Données projet'!$E$11+1,1))</f>
        <v>312.29056285877169</v>
      </c>
      <c r="BJ86" s="59">
        <f t="shared" si="92"/>
        <v>233.85454224241693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34.59924990523686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34.59924990523686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266.99999999999983</v>
      </c>
      <c r="BZ86" s="13">
        <f>BY86*VLOOKUP('Données projet'!$B$12,Paramètres!$A$1:$I$89,3,0)*VLOOKUP('Données projet'!$B$12,Paramètres!$A$1:$I$89,5,0)</f>
        <v>212.42519999999985</v>
      </c>
      <c r="CA86" s="13">
        <f t="shared" si="93"/>
        <v>52.465198231787184</v>
      </c>
      <c r="CB86" s="20">
        <f t="shared" si="64"/>
        <v>461.35077692036231</v>
      </c>
      <c r="CC86" s="59">
        <f t="shared" si="65"/>
        <v>754.68411025369562</v>
      </c>
      <c r="CD86" s="59">
        <f ca="1">AVERAGE(OFFSET($CC$3,0,0,'Données projet'!$E$12+1,1))-AVERAGE(OFFSET($H$3,0,0,'Données projet'!$E$12+1,1))</f>
        <v>219.43439115440339</v>
      </c>
      <c r="CE86" s="59">
        <f t="shared" si="94"/>
        <v>217.8880462742099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27.130577420057868</v>
      </c>
      <c r="CL86" s="21">
        <f>EXP(-LN(2)/25)*CL85+(1-EXP(-LN(2)/25))/(LN(2)/25)*Calculateur!CG86*Calculateur!CI86*VLOOKUP('Données projet'!$B$12,Paramètres!$A$1:$I$89,3,0)*0.475*44/12</f>
        <v>7.6641695247478534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34.794746944805723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261.10917418234862</v>
      </c>
      <c r="T87" s="59">
        <f t="shared" si="88"/>
        <v>327.65691162938418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7.4950142450142421</v>
      </c>
      <c r="AI87" s="13">
        <f>IF('Données projet'!$A$62&gt;35,AI86+AH87-AQ86,IF(A87&lt;'Données projet'!$A$62,$AF$205^A87,IF(A87='Données projet'!$A$62,'Données projet'!$B$62,AI86+AH87-AQ86)))</f>
        <v>258.38390313390335</v>
      </c>
      <c r="AJ87" s="13">
        <f>AI87*VLOOKUP('Données projet'!$B$10,Paramètres!$A$1:$I$89,3,0)*VLOOKUP('Données projet'!$B$10,Paramètres!$A$1:$I$89,5,0)</f>
        <v>257.97048888888912</v>
      </c>
      <c r="AK87" s="13">
        <f t="shared" si="89"/>
        <v>62.289571094556521</v>
      </c>
      <c r="AL87" s="20">
        <f t="shared" si="58"/>
        <v>557.78627113783455</v>
      </c>
      <c r="AM87" s="59">
        <f t="shared" si="59"/>
        <v>851.1196044711678</v>
      </c>
      <c r="AN87" s="59">
        <f ca="1">AVERAGE(OFFSET($AM$3,0,0,'Données projet'!$E$10+1,1))-AVERAGE(OFFSET($H$3,0,0,'Données projet'!$E$10+1,1))</f>
        <v>306.38046634523579</v>
      </c>
      <c r="AO87" s="59">
        <f t="shared" si="90"/>
        <v>229.77251296097705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33.398921568545283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33.398921568545283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7.4950142450142421</v>
      </c>
      <c r="BD87" s="12">
        <f>IF('Données projet'!$A$88&gt;35,BD86+BC87-BL86,IF(A87&lt;'Données projet'!$A$88,$BA$205^A87,IF(A87='Données projet'!$A$88,'Données projet'!$B$88,BD86+BC87-BL86)))</f>
        <v>258.38390313390335</v>
      </c>
      <c r="BE87" s="13">
        <f>BD87*VLOOKUP('Données projet'!$B$11,Paramètres!$A$1:$I$89,3,0)*VLOOKUP('Données projet'!$B$11,Paramètres!$A$1:$I$89,5,0)</f>
        <v>262.001277777778</v>
      </c>
      <c r="BF87" s="13">
        <f t="shared" si="91"/>
        <v>63.148778946325088</v>
      </c>
      <c r="BG87" s="20">
        <f t="shared" si="61"/>
        <v>566.30301546114617</v>
      </c>
      <c r="BH87" s="59">
        <f t="shared" si="62"/>
        <v>859.63634879447955</v>
      </c>
      <c r="BI87" s="59">
        <f ca="1">AVERAGE(OFFSET($BH$3,0,0,'Données projet'!$E$11+1,1))-AVERAGE(OFFSET($H$3,0,0,'Données projet'!$E$11+1,1))</f>
        <v>312.29056285877169</v>
      </c>
      <c r="BJ87" s="59">
        <f t="shared" si="92"/>
        <v>233.85454224241693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33.920779718053815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33.920779718053815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266.99999999999983</v>
      </c>
      <c r="BZ87" s="13">
        <f>BY87*VLOOKUP('Données projet'!$B$12,Paramètres!$A$1:$I$89,3,0)*VLOOKUP('Données projet'!$B$12,Paramètres!$A$1:$I$89,5,0)</f>
        <v>212.42519999999985</v>
      </c>
      <c r="CA87" s="13">
        <f t="shared" si="93"/>
        <v>52.465198231787184</v>
      </c>
      <c r="CB87" s="20">
        <f t="shared" si="64"/>
        <v>461.35077692036231</v>
      </c>
      <c r="CC87" s="59">
        <f t="shared" si="65"/>
        <v>754.68411025369562</v>
      </c>
      <c r="CD87" s="59">
        <f ca="1">AVERAGE(OFFSET($CC$3,0,0,'Données projet'!$E$12+1,1))-AVERAGE(OFFSET($H$3,0,0,'Données projet'!$E$12+1,1))</f>
        <v>219.43439115440339</v>
      </c>
      <c r="CE87" s="59">
        <f t="shared" si="94"/>
        <v>217.8880462742099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26.598563344868779</v>
      </c>
      <c r="CL87" s="21">
        <f>EXP(-LN(2)/25)*CL86+(1-EXP(-LN(2)/25))/(LN(2)/25)*Calculateur!CG87*Calculateur!CI87*VLOOKUP('Données projet'!$B$12,Paramètres!$A$1:$I$89,3,0)*0.475*44/12</f>
        <v>7.4545924060524644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34.053155750921242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261.10917418234862</v>
      </c>
      <c r="T88" s="59">
        <f t="shared" si="88"/>
        <v>327.65691162938418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7.4950142450142421</v>
      </c>
      <c r="AI88" s="13">
        <f>IF('Données projet'!$A$62&gt;35,AI87+AH88-AQ87,IF(A88&lt;'Données projet'!$A$62,$AF$205^A88,IF(A88='Données projet'!$A$62,'Données projet'!$B$62,AI87+AH88-AQ87)))</f>
        <v>265.87891737891761</v>
      </c>
      <c r="AJ88" s="13">
        <f>AI88*VLOOKUP('Données projet'!$B$10,Paramètres!$A$1:$I$89,3,0)*VLOOKUP('Données projet'!$B$10,Paramètres!$A$1:$I$89,5,0)</f>
        <v>265.45351111111137</v>
      </c>
      <c r="AK88" s="13">
        <f t="shared" si="89"/>
        <v>63.88343801886262</v>
      </c>
      <c r="AL88" s="20">
        <f t="shared" si="58"/>
        <v>573.59518640137128</v>
      </c>
      <c r="AM88" s="59">
        <f t="shared" si="59"/>
        <v>866.92851973470465</v>
      </c>
      <c r="AN88" s="59">
        <f ca="1">AVERAGE(OFFSET($AM$3,0,0,'Données projet'!$E$10+1,1))-AVERAGE(OFFSET($H$3,0,0,'Données projet'!$E$10+1,1))</f>
        <v>306.38046634523579</v>
      </c>
      <c r="AO88" s="59">
        <f t="shared" si="90"/>
        <v>229.77251296097705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32.743989087916766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32.743989087916766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7.4950142450142421</v>
      </c>
      <c r="BD88" s="12">
        <f>IF('Données projet'!$A$88&gt;35,BD87+BC88-BL87,IF(A88&lt;'Données projet'!$A$88,$BA$205^A88,IF(A88='Données projet'!$A$88,'Données projet'!$B$88,BD87+BC88-BL87)))</f>
        <v>265.87891737891761</v>
      </c>
      <c r="BE88" s="13">
        <f>BD88*VLOOKUP('Données projet'!$B$11,Paramètres!$A$1:$I$89,3,0)*VLOOKUP('Données projet'!$B$11,Paramètres!$A$1:$I$89,5,0)</f>
        <v>269.60122222222248</v>
      </c>
      <c r="BF88" s="13">
        <f t="shared" si="91"/>
        <v>64.764631300165817</v>
      </c>
      <c r="BG88" s="20">
        <f t="shared" si="61"/>
        <v>582.35386155149297</v>
      </c>
      <c r="BH88" s="59">
        <f t="shared" si="62"/>
        <v>875.68719488482634</v>
      </c>
      <c r="BI88" s="59">
        <f ca="1">AVERAGE(OFFSET($BH$3,0,0,'Données projet'!$E$11+1,1))-AVERAGE(OFFSET($H$3,0,0,'Données projet'!$E$11+1,1))</f>
        <v>312.29056285877169</v>
      </c>
      <c r="BJ88" s="59">
        <f t="shared" si="92"/>
        <v>233.85454224241693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33.255613917415474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33.255613917415474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266.99999999999983</v>
      </c>
      <c r="BZ88" s="13">
        <f>BY88*VLOOKUP('Données projet'!$B$12,Paramètres!$A$1:$I$89,3,0)*VLOOKUP('Données projet'!$B$12,Paramètres!$A$1:$I$89,5,0)</f>
        <v>212.42519999999985</v>
      </c>
      <c r="CA88" s="13">
        <f t="shared" si="93"/>
        <v>52.465198231787184</v>
      </c>
      <c r="CB88" s="20">
        <f t="shared" si="64"/>
        <v>461.35077692036231</v>
      </c>
      <c r="CC88" s="59">
        <f t="shared" si="65"/>
        <v>754.68411025369562</v>
      </c>
      <c r="CD88" s="59">
        <f ca="1">AVERAGE(OFFSET($CC$3,0,0,'Données projet'!$E$12+1,1))-AVERAGE(OFFSET($H$3,0,0,'Données projet'!$E$12+1,1))</f>
        <v>219.43439115440339</v>
      </c>
      <c r="CE88" s="59">
        <f t="shared" si="94"/>
        <v>217.8880462742099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26.076981741197603</v>
      </c>
      <c r="CL88" s="21">
        <f>EXP(-LN(2)/25)*CL87+(1-EXP(-LN(2)/25))/(LN(2)/25)*Calculateur!CG88*Calculateur!CI88*VLOOKUP('Données projet'!$B$12,Paramètres!$A$1:$I$89,3,0)*0.475*44/12</f>
        <v>7.2507461846889827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33.327727925886585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261.10917418234862</v>
      </c>
      <c r="T89" s="59">
        <f t="shared" si="88"/>
        <v>327.65691162938418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7.4950142450142421</v>
      </c>
      <c r="AI89" s="13">
        <f>IF('Données projet'!$A$62&gt;35,AI88+AH89-AQ88,IF(A89&lt;'Données projet'!$A$62,$AF$205^A89,IF(A89='Données projet'!$A$62,'Données projet'!$B$62,AI88+AH89-AQ88)))</f>
        <v>273.37393162393187</v>
      </c>
      <c r="AJ89" s="13">
        <f>AI89*VLOOKUP('Données projet'!$B$10,Paramètres!$A$1:$I$89,3,0)*VLOOKUP('Données projet'!$B$10,Paramètres!$A$1:$I$89,5,0)</f>
        <v>272.93653333333356</v>
      </c>
      <c r="AK89" s="13">
        <f t="shared" si="89"/>
        <v>65.472082880746228</v>
      </c>
      <c r="AL89" s="20">
        <f t="shared" si="58"/>
        <v>589.39500657285555</v>
      </c>
      <c r="AM89" s="59">
        <f t="shared" si="59"/>
        <v>882.72833990618892</v>
      </c>
      <c r="AN89" s="59">
        <f ca="1">AVERAGE(OFFSET($AM$3,0,0,'Données projet'!$E$10+1,1))-AVERAGE(OFFSET($H$3,0,0,'Données projet'!$E$10+1,1))</f>
        <v>306.38046634523579</v>
      </c>
      <c r="AO89" s="59">
        <f t="shared" si="90"/>
        <v>229.77251296097705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32.101899433764004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32.101899433764004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7.4950142450142421</v>
      </c>
      <c r="BD89" s="12">
        <f>IF('Données projet'!$A$88&gt;35,BD88+BC89-BL88,IF(A89&lt;'Données projet'!$A$88,$BA$205^A89,IF(A89='Données projet'!$A$88,'Données projet'!$B$88,BD88+BC89-BL88)))</f>
        <v>273.37393162393187</v>
      </c>
      <c r="BE89" s="13">
        <f>BD89*VLOOKUP('Données projet'!$B$11,Paramètres!$A$1:$I$89,3,0)*VLOOKUP('Données projet'!$B$11,Paramètres!$A$1:$I$89,5,0)</f>
        <v>277.20116666666695</v>
      </c>
      <c r="BF89" s="13">
        <f t="shared" si="91"/>
        <v>66.37518955966982</v>
      </c>
      <c r="BG89" s="20">
        <f t="shared" si="61"/>
        <v>598.39548709420319</v>
      </c>
      <c r="BH89" s="59">
        <f t="shared" si="62"/>
        <v>891.72882042753645</v>
      </c>
      <c r="BI89" s="59">
        <f ca="1">AVERAGE(OFFSET($BH$3,0,0,'Données projet'!$E$11+1,1))-AVERAGE(OFFSET($H$3,0,0,'Données projet'!$E$11+1,1))</f>
        <v>312.29056285877169</v>
      </c>
      <c r="BJ89" s="59">
        <f t="shared" si="92"/>
        <v>233.85454224241693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32.603491612416576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32.603491612416576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266.99999999999983</v>
      </c>
      <c r="BZ89" s="13">
        <f>BY89*VLOOKUP('Données projet'!$B$12,Paramètres!$A$1:$I$89,3,0)*VLOOKUP('Données projet'!$B$12,Paramètres!$A$1:$I$89,5,0)</f>
        <v>212.42519999999985</v>
      </c>
      <c r="CA89" s="13">
        <f t="shared" si="93"/>
        <v>52.465198231787184</v>
      </c>
      <c r="CB89" s="20">
        <f t="shared" si="64"/>
        <v>461.35077692036231</v>
      </c>
      <c r="CC89" s="59">
        <f t="shared" si="65"/>
        <v>754.68411025369562</v>
      </c>
      <c r="CD89" s="59">
        <f ca="1">AVERAGE(OFFSET($CC$3,0,0,'Données projet'!$E$12+1,1))-AVERAGE(OFFSET($H$3,0,0,'Données projet'!$E$12+1,1))</f>
        <v>219.43439115440339</v>
      </c>
      <c r="CE89" s="59">
        <f t="shared" si="94"/>
        <v>217.8880462742099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25.565628034641055</v>
      </c>
      <c r="CL89" s="21">
        <f>EXP(-LN(2)/25)*CL88+(1-EXP(-LN(2)/25))/(LN(2)/25)*Calculateur!CG89*Calculateur!CI89*VLOOKUP('Données projet'!$B$12,Paramètres!$A$1:$I$89,3,0)*0.475*44/12</f>
        <v>7.0524741489684928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32.618102183609551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261.10917418234862</v>
      </c>
      <c r="T90" s="59">
        <f t="shared" si="88"/>
        <v>327.65691162938418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7.4950142450142421</v>
      </c>
      <c r="AI90" s="13">
        <f>IF('Données projet'!$A$62&gt;35,AI89+AH90-AQ89,IF(A90&lt;'Données projet'!$A$62,$AF$205^A90,IF(A90='Données projet'!$A$62,'Données projet'!$B$62,AI89+AH90-AQ89)))</f>
        <v>280.86894586894613</v>
      </c>
      <c r="AJ90" s="13">
        <f>AI90*VLOOKUP('Données projet'!$B$10,Paramètres!$A$1:$I$89,3,0)*VLOOKUP('Données projet'!$B$10,Paramètres!$A$1:$I$89,5,0)</f>
        <v>280.4195555555558</v>
      </c>
      <c r="AK90" s="13">
        <f t="shared" si="89"/>
        <v>67.055665302910441</v>
      </c>
      <c r="AL90" s="20">
        <f t="shared" si="58"/>
        <v>605.18600966182873</v>
      </c>
      <c r="AM90" s="59">
        <f t="shared" si="59"/>
        <v>898.51934299516211</v>
      </c>
      <c r="AN90" s="59">
        <f ca="1">AVERAGE(OFFSET($AM$3,0,0,'Données projet'!$E$10+1,1))-AVERAGE(OFFSET($H$3,0,0,'Données projet'!$E$10+1,1))</f>
        <v>306.38046634523579</v>
      </c>
      <c r="AO90" s="59">
        <f t="shared" si="90"/>
        <v>229.77251296097705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31.472400766093159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31.472400766093159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7.4950142450142421</v>
      </c>
      <c r="BD90" s="12">
        <f>IF('Données projet'!$A$88&gt;35,BD89+BC90-BL89,IF(A90&lt;'Données projet'!$A$88,$BA$205^A90,IF(A90='Données projet'!$A$88,'Données projet'!$B$88,BD89+BC90-BL89)))</f>
        <v>280.86894586894613</v>
      </c>
      <c r="BE90" s="13">
        <f>BD90*VLOOKUP('Données projet'!$B$11,Paramètres!$A$1:$I$89,3,0)*VLOOKUP('Données projet'!$B$11,Paramètres!$A$1:$I$89,5,0)</f>
        <v>284.80111111111137</v>
      </c>
      <c r="BF90" s="13">
        <f t="shared" si="91"/>
        <v>67.98061554933885</v>
      </c>
      <c r="BG90" s="20">
        <f t="shared" si="61"/>
        <v>614.42817393361736</v>
      </c>
      <c r="BH90" s="59">
        <f t="shared" si="62"/>
        <v>907.76150726695073</v>
      </c>
      <c r="BI90" s="59">
        <f ca="1">AVERAGE(OFFSET($BH$3,0,0,'Données projet'!$E$11+1,1))-AVERAGE(OFFSET($H$3,0,0,'Données projet'!$E$11+1,1))</f>
        <v>312.29056285877169</v>
      </c>
      <c r="BJ90" s="59">
        <f t="shared" si="92"/>
        <v>233.85454224241693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31.964157028063376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31.964157028063376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266.99999999999983</v>
      </c>
      <c r="BZ90" s="13">
        <f>BY90*VLOOKUP('Données projet'!$B$12,Paramètres!$A$1:$I$89,3,0)*VLOOKUP('Données projet'!$B$12,Paramètres!$A$1:$I$89,5,0)</f>
        <v>212.42519999999985</v>
      </c>
      <c r="CA90" s="13">
        <f t="shared" si="93"/>
        <v>52.465198231787184</v>
      </c>
      <c r="CB90" s="20">
        <f t="shared" si="64"/>
        <v>461.35077692036231</v>
      </c>
      <c r="CC90" s="59">
        <f t="shared" si="65"/>
        <v>754.68411025369562</v>
      </c>
      <c r="CD90" s="59">
        <f ca="1">AVERAGE(OFFSET($CC$3,0,0,'Données projet'!$E$12+1,1))-AVERAGE(OFFSET($H$3,0,0,'Données projet'!$E$12+1,1))</f>
        <v>219.43439115440339</v>
      </c>
      <c r="CE90" s="59">
        <f t="shared" si="94"/>
        <v>217.8880462742099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25.064301662375115</v>
      </c>
      <c r="CL90" s="21">
        <f>EXP(-LN(2)/25)*CL89+(1-EXP(-LN(2)/25))/(LN(2)/25)*Calculateur!CG90*Calculateur!CI90*VLOOKUP('Données projet'!$B$12,Paramètres!$A$1:$I$89,3,0)*0.475*44/12</f>
        <v>6.8596238724914524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31.923925534866569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261.10917418234862</v>
      </c>
      <c r="T91" s="59">
        <f t="shared" si="88"/>
        <v>327.65691162938418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7.4950142450142421</v>
      </c>
      <c r="AI91" s="13">
        <f>IF('Données projet'!$A$62&gt;35,AI90+AH91-AQ90,IF(A91&lt;'Données projet'!$A$62,$AF$205^A91,IF(A91='Données projet'!$A$62,'Données projet'!$B$62,AI90+AH91-AQ90)))</f>
        <v>288.36396011396039</v>
      </c>
      <c r="AJ91" s="13">
        <f>AI91*VLOOKUP('Données projet'!$B$10,Paramètres!$A$1:$I$89,3,0)*VLOOKUP('Données projet'!$B$10,Paramètres!$A$1:$I$89,5,0)</f>
        <v>287.90257777777805</v>
      </c>
      <c r="AK91" s="13">
        <f t="shared" si="89"/>
        <v>68.634335903912799</v>
      </c>
      <c r="AL91" s="20">
        <f t="shared" si="58"/>
        <v>620.96845799561152</v>
      </c>
      <c r="AM91" s="59">
        <f t="shared" si="59"/>
        <v>914.30179132894477</v>
      </c>
      <c r="AN91" s="59">
        <f ca="1">AVERAGE(OFFSET($AM$3,0,0,'Données projet'!$E$10+1,1))-AVERAGE(OFFSET($H$3,0,0,'Données projet'!$E$10+1,1))</f>
        <v>306.38046634523579</v>
      </c>
      <c r="AO91" s="59">
        <f t="shared" si="90"/>
        <v>229.77251296097705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30.855246183339066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30.855246183339066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7.4950142450142421</v>
      </c>
      <c r="BD91" s="12">
        <f>IF('Données projet'!$A$88&gt;35,BD90+BC91-BL90,IF(A91&lt;'Données projet'!$A$88,$BA$205^A91,IF(A91='Données projet'!$A$88,'Données projet'!$B$88,BD90+BC91-BL90)))</f>
        <v>288.36396011396039</v>
      </c>
      <c r="BE91" s="13">
        <f>BD91*VLOOKUP('Données projet'!$B$11,Paramètres!$A$1:$I$89,3,0)*VLOOKUP('Données projet'!$B$11,Paramètres!$A$1:$I$89,5,0)</f>
        <v>292.40105555555584</v>
      </c>
      <c r="BF91" s="13">
        <f t="shared" si="91"/>
        <v>69.581061965327606</v>
      </c>
      <c r="BG91" s="20">
        <f t="shared" si="61"/>
        <v>630.45218801553858</v>
      </c>
      <c r="BH91" s="59">
        <f t="shared" si="62"/>
        <v>923.78552134887195</v>
      </c>
      <c r="BI91" s="59">
        <f ca="1">AVERAGE(OFFSET($BH$3,0,0,'Données projet'!$E$11+1,1))-AVERAGE(OFFSET($H$3,0,0,'Données projet'!$E$11+1,1))</f>
        <v>312.29056285877169</v>
      </c>
      <c r="BJ91" s="59">
        <f t="shared" si="92"/>
        <v>233.85454224241693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31.337359404953748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31.337359404953748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266.99999999999983</v>
      </c>
      <c r="BZ91" s="13">
        <f>BY91*VLOOKUP('Données projet'!$B$12,Paramètres!$A$1:$I$89,3,0)*VLOOKUP('Données projet'!$B$12,Paramètres!$A$1:$I$89,5,0)</f>
        <v>212.42519999999985</v>
      </c>
      <c r="CA91" s="13">
        <f t="shared" si="93"/>
        <v>52.465198231787184</v>
      </c>
      <c r="CB91" s="20">
        <f t="shared" si="64"/>
        <v>461.35077692036231</v>
      </c>
      <c r="CC91" s="59">
        <f t="shared" si="65"/>
        <v>754.68411025369562</v>
      </c>
      <c r="CD91" s="59">
        <f ca="1">AVERAGE(OFFSET($CC$3,0,0,'Données projet'!$E$12+1,1))-AVERAGE(OFFSET($H$3,0,0,'Données projet'!$E$12+1,1))</f>
        <v>219.43439115440339</v>
      </c>
      <c r="CE91" s="59">
        <f t="shared" si="94"/>
        <v>217.8880462742099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24.572805994490416</v>
      </c>
      <c r="CL91" s="21">
        <f>EXP(-LN(2)/25)*CL90+(1-EXP(-LN(2)/25))/(LN(2)/25)*Calculateur!CG91*Calculateur!CI91*VLOOKUP('Données projet'!$B$12,Paramètres!$A$1:$I$89,3,0)*0.475*44/12</f>
        <v>6.6720470969662324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31.244853091456648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261.10917418234862</v>
      </c>
      <c r="T92" s="59">
        <f t="shared" si="88"/>
        <v>327.65691162938418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295.85897435897436</v>
      </c>
      <c r="AG92" s="12">
        <f>VLOOKUP(A92,'Données projet'!$A$61:$I$81,9,0)</f>
        <v>7.4950142450142421</v>
      </c>
      <c r="AH92" s="12">
        <f t="array" ref="AH92">INDEX(AG:AG,MIN(IF(ISNUMBER(AG92:AG288),ROW(AG92:AG288),"")))</f>
        <v>7.4950142450142421</v>
      </c>
      <c r="AI92" s="13">
        <f>IF('Données projet'!$A$62&gt;35,AI91+AH92-AQ91,IF(A92&lt;'Données projet'!$A$62,$AF$205^A92,IF(A92='Données projet'!$A$62,'Données projet'!$B$62,AI91+AH92-AQ91)))</f>
        <v>295.85897435897465</v>
      </c>
      <c r="AJ92" s="13">
        <f>AI92*VLOOKUP('Données projet'!$B$10,Paramètres!$A$1:$I$89,3,0)*VLOOKUP('Données projet'!$B$10,Paramètres!$A$1:$I$89,5,0)</f>
        <v>295.3856000000003</v>
      </c>
      <c r="AK92" s="13">
        <f t="shared" si="89"/>
        <v>70.208237026729364</v>
      </c>
      <c r="AL92" s="20">
        <f t="shared" si="58"/>
        <v>636.74259948822078</v>
      </c>
      <c r="AM92" s="59">
        <f t="shared" si="59"/>
        <v>930.07593282155403</v>
      </c>
      <c r="AN92" s="59">
        <f ca="1">AVERAGE(OFFSET($AM$3,0,0,'Données projet'!$E$10+1,1))-AVERAGE(OFFSET($H$3,0,0,'Données projet'!$E$10+1,1))</f>
        <v>306.38046634523579</v>
      </c>
      <c r="AO92" s="59">
        <f t="shared" si="90"/>
        <v>229.77251296097705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49.391025641025635</v>
      </c>
      <c r="AR92" s="16">
        <f>IF(ISNA(VLOOKUP(A92,'Données projet'!$A$61:$I$81,5,0)),0%,VLOOKUP(A92,'Données projet'!$A$61:$I$81,5,0)*VLOOKUP('Données projet'!$B$10,Paramètres!$A$1:$I$89,7,0))</f>
        <v>0.30099999999999999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46.658593187539836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46.658593187539836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>
        <f>VLOOKUP(A92,'Données projet'!$A$87:$I$107,2,0)</f>
        <v>295.85897435897436</v>
      </c>
      <c r="BB92" s="12">
        <f>VLOOKUP(A92,'Données projet'!$A$87:$I$107,9,0)</f>
        <v>7.4950142450142421</v>
      </c>
      <c r="BC92" s="12">
        <f t="array" ref="BC92">INDEX(BB:BB,MIN(IF(ISNUMBER(BB92:BB288),ROW(BB92:BB288),"")))</f>
        <v>7.4950142450142421</v>
      </c>
      <c r="BD92" s="12">
        <f>IF('Données projet'!$A$88&gt;35,BD91+BC92-BL91,IF(A92&lt;'Données projet'!$A$88,$BA$205^A92,IF(A92='Données projet'!$A$88,'Données projet'!$B$88,BD91+BC92-BL91)))</f>
        <v>295.85897435897465</v>
      </c>
      <c r="BE92" s="13">
        <f>BD92*VLOOKUP('Données projet'!$B$11,Paramètres!$A$1:$I$89,3,0)*VLOOKUP('Données projet'!$B$11,Paramètres!$A$1:$I$89,5,0)</f>
        <v>300.00100000000032</v>
      </c>
      <c r="BF92" s="13">
        <f t="shared" si="91"/>
        <v>71.176673114058119</v>
      </c>
      <c r="BG92" s="20">
        <f t="shared" si="61"/>
        <v>646.46778067365187</v>
      </c>
      <c r="BH92" s="59">
        <f t="shared" si="62"/>
        <v>939.80111400698524</v>
      </c>
      <c r="BI92" s="59">
        <f ca="1">AVERAGE(OFFSET($BH$3,0,0,'Données projet'!$E$11+1,1))-AVERAGE(OFFSET($H$3,0,0,'Données projet'!$E$11+1,1))</f>
        <v>312.29056285877169</v>
      </c>
      <c r="BJ92" s="59">
        <f t="shared" si="92"/>
        <v>233.85454224241693</v>
      </c>
      <c r="BK92" s="15">
        <f>IF(ISNA(VLOOKUP(A92,'Données projet'!$A$87:$I$107,3,0)),0,VLOOKUP(A92,'Données projet'!$A$87:$I$107,3,0))</f>
        <v>8</v>
      </c>
      <c r="BL92" s="15">
        <f>IF(ISNA(VLOOKUP(A92,'Données projet'!$A$87:$I$107,4,0)),0,VLOOKUP(A92,'Données projet'!$A$87:$I$107,4,0))</f>
        <v>49.391025641025635</v>
      </c>
      <c r="BM92" s="16">
        <f>IF(ISNA(VLOOKUP(A92,'Données projet'!$A$87:$I$107,5,0)),0%,VLOOKUP(A92,'Données projet'!$A$87:$I$107,5,0)*VLOOKUP('Données projet'!$B$11,Paramètres!$A$1:$I$89,7,0))</f>
        <v>0.30099999999999999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47.387633706095151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47.387633706095151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266.99999999999983</v>
      </c>
      <c r="BZ92" s="13">
        <f>BY92*VLOOKUP('Données projet'!$B$12,Paramètres!$A$1:$I$89,3,0)*VLOOKUP('Données projet'!$B$12,Paramètres!$A$1:$I$89,5,0)</f>
        <v>212.42519999999985</v>
      </c>
      <c r="CA92" s="13">
        <f t="shared" si="93"/>
        <v>52.465198231787184</v>
      </c>
      <c r="CB92" s="20">
        <f t="shared" si="64"/>
        <v>461.35077692036231</v>
      </c>
      <c r="CC92" s="59">
        <f t="shared" si="65"/>
        <v>754.68411025369562</v>
      </c>
      <c r="CD92" s="59">
        <f ca="1">AVERAGE(OFFSET($CC$3,0,0,'Données projet'!$E$12+1,1))-AVERAGE(OFFSET($H$3,0,0,'Données projet'!$E$12+1,1))</f>
        <v>219.43439115440339</v>
      </c>
      <c r="CE92" s="59">
        <f t="shared" si="94"/>
        <v>217.8880462742099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24.090948256870181</v>
      </c>
      <c r="CL92" s="21">
        <f>EXP(-LN(2)/25)*CL91+(1-EXP(-LN(2)/25))/(LN(2)/25)*Calculateur!CG92*Calculateur!CI92*VLOOKUP('Données projet'!$B$12,Paramètres!$A$1:$I$89,3,0)*0.475*44/12</f>
        <v>6.4895996182319831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30.580547875102162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261.10917418234862</v>
      </c>
      <c r="T93" s="59">
        <f t="shared" si="88"/>
        <v>327.65691162938418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7.1782051282051267</v>
      </c>
      <c r="AI93" s="13">
        <f>IF('Données projet'!$A$62&gt;35,AI92+AH93-AQ92,IF(A93&lt;'Données projet'!$A$62,$AF$205^A93,IF(A93='Données projet'!$A$62,'Données projet'!$B$62,AI92+AH93-AQ92)))</f>
        <v>253.64615384615416</v>
      </c>
      <c r="AJ93" s="13">
        <f>AI93*VLOOKUP('Données projet'!$B$10,Paramètres!$A$1:$I$89,3,0)*VLOOKUP('Données projet'!$B$10,Paramètres!$A$1:$I$89,5,0)</f>
        <v>253.24032000000034</v>
      </c>
      <c r="AK93" s="13">
        <f t="shared" si="89"/>
        <v>61.279285703640483</v>
      </c>
      <c r="AL93" s="20">
        <f t="shared" si="58"/>
        <v>547.78831326717443</v>
      </c>
      <c r="AM93" s="59">
        <f t="shared" si="59"/>
        <v>841.1216466005078</v>
      </c>
      <c r="AN93" s="59">
        <f ca="1">AVERAGE(OFFSET($AM$3,0,0,'Données projet'!$E$10+1,1))-AVERAGE(OFFSET($H$3,0,0,'Données projet'!$E$10+1,1))</f>
        <v>306.38046634523579</v>
      </c>
      <c r="AO93" s="59">
        <f t="shared" si="90"/>
        <v>229.77251296097705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45.743646634063936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45.743646634063936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7.1782051282051267</v>
      </c>
      <c r="BD93" s="12">
        <f>IF('Données projet'!$A$88&gt;35,BD92+BC93-BL92,IF(A93&lt;'Données projet'!$A$88,$BA$205^A93,IF(A93='Données projet'!$A$88,'Données projet'!$B$88,BD92+BC93-BL92)))</f>
        <v>253.64615384615416</v>
      </c>
      <c r="BE93" s="13">
        <f>BD93*VLOOKUP('Données projet'!$B$11,Paramètres!$A$1:$I$89,3,0)*VLOOKUP('Données projet'!$B$11,Paramètres!$A$1:$I$89,5,0)</f>
        <v>257.19720000000035</v>
      </c>
      <c r="BF93" s="13">
        <f t="shared" si="91"/>
        <v>62.124557913773614</v>
      </c>
      <c r="BG93" s="20">
        <f t="shared" si="61"/>
        <v>556.15206169982298</v>
      </c>
      <c r="BH93" s="59">
        <f t="shared" si="62"/>
        <v>849.48539503315624</v>
      </c>
      <c r="BI93" s="59">
        <f ca="1">AVERAGE(OFFSET($BH$3,0,0,'Données projet'!$E$11+1,1))-AVERAGE(OFFSET($H$3,0,0,'Données projet'!$E$11+1,1))</f>
        <v>312.29056285877169</v>
      </c>
      <c r="BJ93" s="59">
        <f t="shared" si="92"/>
        <v>233.85454224241693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46.458391112721195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46.458391112721195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266.99999999999983</v>
      </c>
      <c r="BZ93" s="13">
        <f>BY93*VLOOKUP('Données projet'!$B$12,Paramètres!$A$1:$I$89,3,0)*VLOOKUP('Données projet'!$B$12,Paramètres!$A$1:$I$89,5,0)</f>
        <v>212.42519999999985</v>
      </c>
      <c r="CA93" s="13">
        <f t="shared" si="93"/>
        <v>52.465198231787184</v>
      </c>
      <c r="CB93" s="20">
        <f t="shared" si="64"/>
        <v>461.35077692036231</v>
      </c>
      <c r="CC93" s="59">
        <f t="shared" si="65"/>
        <v>754.68411025369562</v>
      </c>
      <c r="CD93" s="59">
        <f ca="1">AVERAGE(OFFSET($CC$3,0,0,'Données projet'!$E$12+1,1))-AVERAGE(OFFSET($H$3,0,0,'Données projet'!$E$12+1,1))</f>
        <v>219.43439115440339</v>
      </c>
      <c r="CE93" s="59">
        <f t="shared" si="94"/>
        <v>217.8880462742099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23.618539455580478</v>
      </c>
      <c r="CL93" s="21">
        <f>EXP(-LN(2)/25)*CL92+(1-EXP(-LN(2)/25))/(LN(2)/25)*Calculateur!CG93*Calculateur!CI93*VLOOKUP('Données projet'!$B$12,Paramètres!$A$1:$I$89,3,0)*0.475*44/12</f>
        <v>6.3121411753982182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29.930680630978696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261.10917418234862</v>
      </c>
      <c r="T94" s="59">
        <f t="shared" si="88"/>
        <v>327.65691162938418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7.1782051282051267</v>
      </c>
      <c r="AI94" s="13">
        <f>IF('Données projet'!$A$62&gt;35,AI93+AH94-AQ93,IF(A94&lt;'Données projet'!$A$62,$AF$205^A94,IF(A94='Données projet'!$A$62,'Données projet'!$B$62,AI93+AH94-AQ93)))</f>
        <v>260.82435897435931</v>
      </c>
      <c r="AJ94" s="13">
        <f>AI94*VLOOKUP('Données projet'!$B$10,Paramètres!$A$1:$I$89,3,0)*VLOOKUP('Données projet'!$B$10,Paramètres!$A$1:$I$89,5,0)</f>
        <v>260.40704000000039</v>
      </c>
      <c r="AK94" s="13">
        <f t="shared" si="89"/>
        <v>62.809134534417609</v>
      </c>
      <c r="AL94" s="20">
        <f t="shared" si="58"/>
        <v>562.93483731411129</v>
      </c>
      <c r="AM94" s="59">
        <f t="shared" si="59"/>
        <v>856.26817064744455</v>
      </c>
      <c r="AN94" s="59">
        <f ca="1">AVERAGE(OFFSET($AM$3,0,0,'Données projet'!$E$10+1,1))-AVERAGE(OFFSET($H$3,0,0,'Données projet'!$E$10+1,1))</f>
        <v>306.38046634523579</v>
      </c>
      <c r="AO94" s="59">
        <f t="shared" si="90"/>
        <v>229.77251296097705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44.846641624439407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44.846641624439407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7.1782051282051267</v>
      </c>
      <c r="BD94" s="12">
        <f>IF('Données projet'!$A$88&gt;35,BD93+BC94-BL93,IF(A94&lt;'Données projet'!$A$88,$BA$205^A94,IF(A94='Données projet'!$A$88,'Données projet'!$B$88,BD93+BC94-BL93)))</f>
        <v>260.82435897435931</v>
      </c>
      <c r="BE94" s="13">
        <f>BD94*VLOOKUP('Données projet'!$B$11,Paramètres!$A$1:$I$89,3,0)*VLOOKUP('Données projet'!$B$11,Paramètres!$A$1:$I$89,5,0)</f>
        <v>264.47590000000037</v>
      </c>
      <c r="BF94" s="13">
        <f t="shared" si="91"/>
        <v>63.675509123397234</v>
      </c>
      <c r="BG94" s="20">
        <f t="shared" si="61"/>
        <v>571.53037088991744</v>
      </c>
      <c r="BH94" s="59">
        <f t="shared" si="62"/>
        <v>864.86370422325081</v>
      </c>
      <c r="BI94" s="59">
        <f ca="1">AVERAGE(OFFSET($BH$3,0,0,'Données projet'!$E$11+1,1))-AVERAGE(OFFSET($H$3,0,0,'Données projet'!$E$11+1,1))</f>
        <v>312.29056285877169</v>
      </c>
      <c r="BJ94" s="59">
        <f t="shared" si="92"/>
        <v>233.85454224241693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45.547370399821283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45.547370399821283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266.99999999999983</v>
      </c>
      <c r="BZ94" s="13">
        <f>BY94*VLOOKUP('Données projet'!$B$12,Paramètres!$A$1:$I$89,3,0)*VLOOKUP('Données projet'!$B$12,Paramètres!$A$1:$I$89,5,0)</f>
        <v>212.42519999999985</v>
      </c>
      <c r="CA94" s="13">
        <f t="shared" si="93"/>
        <v>52.465198231787184</v>
      </c>
      <c r="CB94" s="20">
        <f t="shared" si="64"/>
        <v>461.35077692036231</v>
      </c>
      <c r="CC94" s="59">
        <f t="shared" si="65"/>
        <v>754.68411025369562</v>
      </c>
      <c r="CD94" s="59">
        <f ca="1">AVERAGE(OFFSET($CC$3,0,0,'Données projet'!$E$12+1,1))-AVERAGE(OFFSET($H$3,0,0,'Données projet'!$E$12+1,1))</f>
        <v>219.43439115440339</v>
      </c>
      <c r="CE94" s="59">
        <f t="shared" si="94"/>
        <v>217.8880462742099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23.155394302743151</v>
      </c>
      <c r="CL94" s="21">
        <f>EXP(-LN(2)/25)*CL93+(1-EXP(-LN(2)/25))/(LN(2)/25)*Calculateur!CG94*Calculateur!CI94*VLOOKUP('Données projet'!$B$12,Paramètres!$A$1:$I$89,3,0)*0.475*44/12</f>
        <v>6.1395353430158757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29.294929645759026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261.10917418234862</v>
      </c>
      <c r="T95" s="59">
        <f t="shared" si="88"/>
        <v>327.65691162938418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7.1782051282051267</v>
      </c>
      <c r="AI95" s="13">
        <f>IF('Données projet'!$A$62&gt;35,AI94+AH95-AQ94,IF(A95&lt;'Données projet'!$A$62,$AF$205^A95,IF(A95='Données projet'!$A$62,'Données projet'!$B$62,AI94+AH95-AQ94)))</f>
        <v>268.00256410256446</v>
      </c>
      <c r="AJ95" s="13">
        <f>AI95*VLOOKUP('Données projet'!$B$10,Paramètres!$A$1:$I$89,3,0)*VLOOKUP('Données projet'!$B$10,Paramètres!$A$1:$I$89,5,0)</f>
        <v>267.57376000000039</v>
      </c>
      <c r="AK95" s="13">
        <f t="shared" si="89"/>
        <v>64.334089728631099</v>
      </c>
      <c r="AL95" s="20">
        <f t="shared" si="58"/>
        <v>578.07283827736649</v>
      </c>
      <c r="AM95" s="59">
        <f t="shared" si="59"/>
        <v>871.40617161069986</v>
      </c>
      <c r="AN95" s="59">
        <f ca="1">AVERAGE(OFFSET($AM$3,0,0,'Données projet'!$E$10+1,1))-AVERAGE(OFFSET($H$3,0,0,'Données projet'!$E$10+1,1))</f>
        <v>306.38046634523579</v>
      </c>
      <c r="AO95" s="59">
        <f t="shared" si="90"/>
        <v>229.77251296097705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43.967226335934583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43.967226335934583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7.1782051282051267</v>
      </c>
      <c r="BD95" s="12">
        <f>IF('Données projet'!$A$88&gt;35,BD94+BC95-BL94,IF(A95&lt;'Données projet'!$A$88,$BA$205^A95,IF(A95='Données projet'!$A$88,'Données projet'!$B$88,BD94+BC95-BL94)))</f>
        <v>268.00256410256446</v>
      </c>
      <c r="BE95" s="13">
        <f>BD95*VLOOKUP('Données projet'!$B$11,Paramètres!$A$1:$I$89,3,0)*VLOOKUP('Données projet'!$B$11,Paramètres!$A$1:$I$89,5,0)</f>
        <v>271.75460000000038</v>
      </c>
      <c r="BF95" s="13">
        <f t="shared" si="91"/>
        <v>65.221499194772917</v>
      </c>
      <c r="BG95" s="20">
        <f t="shared" si="61"/>
        <v>586.90003943089675</v>
      </c>
      <c r="BH95" s="59">
        <f t="shared" si="62"/>
        <v>880.23337276423013</v>
      </c>
      <c r="BI95" s="59">
        <f ca="1">AVERAGE(OFFSET($BH$3,0,0,'Données projet'!$E$11+1,1))-AVERAGE(OFFSET($H$3,0,0,'Données projet'!$E$11+1,1))</f>
        <v>312.29056285877169</v>
      </c>
      <c r="BJ95" s="59">
        <f t="shared" si="92"/>
        <v>233.85454224241693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44.654214247433572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44.654214247433572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266.99999999999983</v>
      </c>
      <c r="BZ95" s="13">
        <f>BY95*VLOOKUP('Données projet'!$B$12,Paramètres!$A$1:$I$89,3,0)*VLOOKUP('Données projet'!$B$12,Paramètres!$A$1:$I$89,5,0)</f>
        <v>212.42519999999985</v>
      </c>
      <c r="CA95" s="13">
        <f t="shared" si="93"/>
        <v>52.465198231787184</v>
      </c>
      <c r="CB95" s="20">
        <f t="shared" si="64"/>
        <v>461.35077692036231</v>
      </c>
      <c r="CC95" s="59">
        <f t="shared" si="65"/>
        <v>754.68411025369562</v>
      </c>
      <c r="CD95" s="59">
        <f ca="1">AVERAGE(OFFSET($CC$3,0,0,'Données projet'!$E$12+1,1))-AVERAGE(OFFSET($H$3,0,0,'Données projet'!$E$12+1,1))</f>
        <v>219.43439115440339</v>
      </c>
      <c r="CE95" s="59">
        <f t="shared" si="94"/>
        <v>217.8880462742099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22.701331143862312</v>
      </c>
      <c r="CL95" s="21">
        <f>EXP(-LN(2)/25)*CL94+(1-EXP(-LN(2)/25))/(LN(2)/25)*Calculateur!CG95*Calculateur!CI95*VLOOKUP('Données projet'!$B$12,Paramètres!$A$1:$I$89,3,0)*0.475*44/12</f>
        <v>5.9716494261969748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28.672980570059288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261.10917418234862</v>
      </c>
      <c r="T96" s="59">
        <f t="shared" si="88"/>
        <v>327.65691162938418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7.1782051282051267</v>
      </c>
      <c r="AI96" s="13">
        <f>IF('Données projet'!$A$62&gt;35,AI95+AH96-AQ95,IF(A96&lt;'Données projet'!$A$62,$AF$205^A96,IF(A96='Données projet'!$A$62,'Données projet'!$B$62,AI95+AH96-AQ95)))</f>
        <v>275.18076923076961</v>
      </c>
      <c r="AJ96" s="13">
        <f>AI96*VLOOKUP('Données projet'!$B$10,Paramètres!$A$1:$I$89,3,0)*VLOOKUP('Données projet'!$B$10,Paramètres!$A$1:$I$89,5,0)</f>
        <v>274.74048000000045</v>
      </c>
      <c r="AK96" s="13">
        <f t="shared" si="89"/>
        <v>65.854297422137222</v>
      </c>
      <c r="AL96" s="20">
        <f t="shared" si="58"/>
        <v>593.20257067688976</v>
      </c>
      <c r="AM96" s="59">
        <f t="shared" si="59"/>
        <v>886.53590401022302</v>
      </c>
      <c r="AN96" s="59">
        <f ca="1">AVERAGE(OFFSET($AM$3,0,0,'Données projet'!$E$10+1,1))-AVERAGE(OFFSET($H$3,0,0,'Données projet'!$E$10+1,1))</f>
        <v>306.38046634523579</v>
      </c>
      <c r="AO96" s="59">
        <f t="shared" si="90"/>
        <v>229.77251296097705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43.10505584484698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43.10505584484698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7.1782051282051267</v>
      </c>
      <c r="BD96" s="12">
        <f>IF('Données projet'!$A$88&gt;35,BD95+BC96-BL95,IF(A96&lt;'Données projet'!$A$88,$BA$205^A96,IF(A96='Données projet'!$A$88,'Données projet'!$B$88,BD95+BC96-BL95)))</f>
        <v>275.18076923076961</v>
      </c>
      <c r="BE96" s="13">
        <f>BD96*VLOOKUP('Données projet'!$B$11,Paramètres!$A$1:$I$89,3,0)*VLOOKUP('Données projet'!$B$11,Paramètres!$A$1:$I$89,5,0)</f>
        <v>279.03330000000039</v>
      </c>
      <c r="BF96" s="13">
        <f t="shared" si="91"/>
        <v>66.762676279521131</v>
      </c>
      <c r="BG96" s="20">
        <f t="shared" si="61"/>
        <v>602.26132535349996</v>
      </c>
      <c r="BH96" s="59">
        <f t="shared" si="62"/>
        <v>895.59465868683333</v>
      </c>
      <c r="BI96" s="59">
        <f ca="1">AVERAGE(OFFSET($BH$3,0,0,'Données projet'!$E$11+1,1))-AVERAGE(OFFSET($H$3,0,0,'Données projet'!$E$11+1,1))</f>
        <v>312.29056285877169</v>
      </c>
      <c r="BJ96" s="59">
        <f t="shared" si="92"/>
        <v>233.85454224241693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43.77857234242272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43.77857234242272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266.99999999999983</v>
      </c>
      <c r="BZ96" s="13">
        <f>BY96*VLOOKUP('Données projet'!$B$12,Paramètres!$A$1:$I$89,3,0)*VLOOKUP('Données projet'!$B$12,Paramètres!$A$1:$I$89,5,0)</f>
        <v>212.42519999999985</v>
      </c>
      <c r="CA96" s="13">
        <f t="shared" si="93"/>
        <v>52.465198231787184</v>
      </c>
      <c r="CB96" s="20">
        <f t="shared" si="64"/>
        <v>461.35077692036231</v>
      </c>
      <c r="CC96" s="59">
        <f t="shared" si="65"/>
        <v>754.68411025369562</v>
      </c>
      <c r="CD96" s="59">
        <f ca="1">AVERAGE(OFFSET($CC$3,0,0,'Données projet'!$E$12+1,1))-AVERAGE(OFFSET($H$3,0,0,'Données projet'!$E$12+1,1))</f>
        <v>219.43439115440339</v>
      </c>
      <c r="CE96" s="59">
        <f t="shared" si="94"/>
        <v>217.8880462742099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22.256171886575945</v>
      </c>
      <c r="CL96" s="21">
        <f>EXP(-LN(2)/25)*CL95+(1-EXP(-LN(2)/25))/(LN(2)/25)*Calculateur!CG96*Calculateur!CI96*VLOOKUP('Données projet'!$B$12,Paramètres!$A$1:$I$89,3,0)*0.475*44/12</f>
        <v>5.8083543586022239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28.064526245178168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261.10917418234862</v>
      </c>
      <c r="T97" s="59">
        <f t="shared" si="88"/>
        <v>327.65691162938418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7.1782051282051267</v>
      </c>
      <c r="AI97" s="13">
        <f>IF('Données projet'!$A$62&gt;35,AI96+AH97-AQ96,IF(A97&lt;'Données projet'!$A$62,$AF$205^A97,IF(A97='Données projet'!$A$62,'Données projet'!$B$62,AI96+AH97-AQ96)))</f>
        <v>282.35897435897476</v>
      </c>
      <c r="AJ97" s="13">
        <f>AI97*VLOOKUP('Données projet'!$B$10,Paramètres!$A$1:$I$89,3,0)*VLOOKUP('Données projet'!$B$10,Paramètres!$A$1:$I$89,5,0)</f>
        <v>281.90720000000044</v>
      </c>
      <c r="AK97" s="13">
        <f t="shared" si="89"/>
        <v>67.369895692521965</v>
      </c>
      <c r="AL97" s="20">
        <f t="shared" si="58"/>
        <v>608.32427499780977</v>
      </c>
      <c r="AM97" s="59">
        <f t="shared" si="59"/>
        <v>901.65760833114314</v>
      </c>
      <c r="AN97" s="59">
        <f ca="1">AVERAGE(OFFSET($AM$3,0,0,'Données projet'!$E$10+1,1))-AVERAGE(OFFSET($H$3,0,0,'Données projet'!$E$10+1,1))</f>
        <v>306.38046634523579</v>
      </c>
      <c r="AO97" s="59">
        <f t="shared" si="90"/>
        <v>229.77251296097705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42.259791991217526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42.259791991217526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7.1782051282051267</v>
      </c>
      <c r="BD97" s="12">
        <f>IF('Données projet'!$A$88&gt;35,BD96+BC97-BL96,IF(A97&lt;'Données projet'!$A$88,$BA$205^A97,IF(A97='Données projet'!$A$88,'Données projet'!$B$88,BD96+BC97-BL96)))</f>
        <v>282.35897435897476</v>
      </c>
      <c r="BE97" s="13">
        <f>BD97*VLOOKUP('Données projet'!$B$11,Paramètres!$A$1:$I$89,3,0)*VLOOKUP('Données projet'!$B$11,Paramètres!$A$1:$I$89,5,0)</f>
        <v>286.31200000000047</v>
      </c>
      <c r="BF97" s="13">
        <f t="shared" si="91"/>
        <v>68.299180359837749</v>
      </c>
      <c r="BG97" s="20">
        <f t="shared" si="61"/>
        <v>617.6144724600515</v>
      </c>
      <c r="BH97" s="59">
        <f t="shared" si="62"/>
        <v>910.94780579338476</v>
      </c>
      <c r="BI97" s="59">
        <f ca="1">AVERAGE(OFFSET($BH$3,0,0,'Données projet'!$E$11+1,1))-AVERAGE(OFFSET($H$3,0,0,'Données projet'!$E$11+1,1))</f>
        <v>312.29056285877169</v>
      </c>
      <c r="BJ97" s="59">
        <f t="shared" si="92"/>
        <v>233.85454224241693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42.92010124108031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42.92010124108031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266.99999999999983</v>
      </c>
      <c r="BZ97" s="13">
        <f>BY97*VLOOKUP('Données projet'!$B$12,Paramètres!$A$1:$I$89,3,0)*VLOOKUP('Données projet'!$B$12,Paramètres!$A$1:$I$89,5,0)</f>
        <v>212.42519999999985</v>
      </c>
      <c r="CA97" s="13">
        <f t="shared" si="93"/>
        <v>52.465198231787184</v>
      </c>
      <c r="CB97" s="20">
        <f t="shared" si="64"/>
        <v>461.35077692036231</v>
      </c>
      <c r="CC97" s="59">
        <f t="shared" si="65"/>
        <v>754.68411025369562</v>
      </c>
      <c r="CD97" s="59">
        <f ca="1">AVERAGE(OFFSET($CC$3,0,0,'Données projet'!$E$12+1,1))-AVERAGE(OFFSET($H$3,0,0,'Données projet'!$E$12+1,1))</f>
        <v>219.43439115440339</v>
      </c>
      <c r="CE97" s="59">
        <f t="shared" si="94"/>
        <v>217.8880462742099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21.819741930804629</v>
      </c>
      <c r="CL97" s="21">
        <f>EXP(-LN(2)/25)*CL96+(1-EXP(-LN(2)/25))/(LN(2)/25)*Calculateur!CG97*Calculateur!CI97*VLOOKUP('Données projet'!$B$12,Paramètres!$A$1:$I$89,3,0)*0.475*44/12</f>
        <v>5.6495246032181656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27.469266534022793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261.10917418234862</v>
      </c>
      <c r="T98" s="59">
        <f t="shared" si="88"/>
        <v>327.65691162938418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7.1782051282051267</v>
      </c>
      <c r="AI98" s="13">
        <f>IF('Données projet'!$A$62&gt;35,AI97+AH98-AQ97,IF(A98&lt;'Données projet'!$A$62,$AF$205^A98,IF(A98='Données projet'!$A$62,'Données projet'!$B$62,AI97+AH98-AQ97)))</f>
        <v>289.53717948717991</v>
      </c>
      <c r="AJ98" s="13">
        <f>AI98*VLOOKUP('Données projet'!$B$10,Paramètres!$A$1:$I$89,3,0)*VLOOKUP('Données projet'!$B$10,Paramètres!$A$1:$I$89,5,0)</f>
        <v>289.07392000000044</v>
      </c>
      <c r="AK98" s="13">
        <f t="shared" si="89"/>
        <v>68.881015196858769</v>
      </c>
      <c r="AL98" s="20">
        <f t="shared" si="58"/>
        <v>623.43817880119639</v>
      </c>
      <c r="AM98" s="59">
        <f t="shared" si="59"/>
        <v>916.77151213452976</v>
      </c>
      <c r="AN98" s="59">
        <f ca="1">AVERAGE(OFFSET($AM$3,0,0,'Données projet'!$E$10+1,1))-AVERAGE(OFFSET($H$3,0,0,'Données projet'!$E$10+1,1))</f>
        <v>306.38046634523579</v>
      </c>
      <c r="AO98" s="59">
        <f t="shared" si="90"/>
        <v>229.77251296097705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41.431103246197701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41.431103246197701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7.1782051282051267</v>
      </c>
      <c r="BD98" s="12">
        <f>IF('Données projet'!$A$88&gt;35,BD97+BC98-BL97,IF(A98&lt;'Données projet'!$A$88,$BA$205^A98,IF(A98='Données projet'!$A$88,'Données projet'!$B$88,BD97+BC98-BL97)))</f>
        <v>289.53717948717991</v>
      </c>
      <c r="BE98" s="13">
        <f>BD98*VLOOKUP('Données projet'!$B$11,Paramètres!$A$1:$I$89,3,0)*VLOOKUP('Données projet'!$B$11,Paramètres!$A$1:$I$89,5,0)</f>
        <v>293.59070000000042</v>
      </c>
      <c r="BF98" s="13">
        <f t="shared" si="91"/>
        <v>69.831143895049522</v>
      </c>
      <c r="BG98" s="20">
        <f t="shared" si="61"/>
        <v>632.95971145054534</v>
      </c>
      <c r="BH98" s="59">
        <f t="shared" si="62"/>
        <v>926.29304478387871</v>
      </c>
      <c r="BI98" s="59">
        <f ca="1">AVERAGE(OFFSET($BH$3,0,0,'Données projet'!$E$11+1,1))-AVERAGE(OFFSET($H$3,0,0,'Données projet'!$E$11+1,1))</f>
        <v>312.29056285877169</v>
      </c>
      <c r="BJ98" s="59">
        <f t="shared" si="92"/>
        <v>233.85454224241693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42.078464234419556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42.078464234419556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266.99999999999983</v>
      </c>
      <c r="BZ98" s="13">
        <f>BY98*VLOOKUP('Données projet'!$B$12,Paramètres!$A$1:$I$89,3,0)*VLOOKUP('Données projet'!$B$12,Paramètres!$A$1:$I$89,5,0)</f>
        <v>212.42519999999985</v>
      </c>
      <c r="CA98" s="13">
        <f t="shared" si="93"/>
        <v>52.465198231787184</v>
      </c>
      <c r="CB98" s="20">
        <f t="shared" si="64"/>
        <v>461.35077692036231</v>
      </c>
      <c r="CC98" s="59">
        <f t="shared" si="65"/>
        <v>754.68411025369562</v>
      </c>
      <c r="CD98" s="59">
        <f ca="1">AVERAGE(OFFSET($CC$3,0,0,'Données projet'!$E$12+1,1))-AVERAGE(OFFSET($H$3,0,0,'Données projet'!$E$12+1,1))</f>
        <v>219.43439115440339</v>
      </c>
      <c r="CE98" s="59">
        <f t="shared" si="94"/>
        <v>217.8880462742099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21.391870100270001</v>
      </c>
      <c r="CL98" s="21">
        <f>EXP(-LN(2)/25)*CL97+(1-EXP(-LN(2)/25))/(LN(2)/25)*Calculateur!CG98*Calculateur!CI98*VLOOKUP('Données projet'!$B$12,Paramètres!$A$1:$I$89,3,0)*0.475*44/12</f>
        <v>5.4950380558475782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26.886908156117578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261.10917418234862</v>
      </c>
      <c r="T99" s="59">
        <f t="shared" si="88"/>
        <v>327.65691162938418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7.1782051282051267</v>
      </c>
      <c r="AI99" s="13">
        <f>IF('Données projet'!$A$62&gt;35,AI98+AH99-AQ98,IF(A99&lt;'Données projet'!$A$62,$AF$205^A99,IF(A99='Données projet'!$A$62,'Données projet'!$B$62,AI98+AH99-AQ98)))</f>
        <v>296.71538461538506</v>
      </c>
      <c r="AJ99" s="13">
        <f>AI99*VLOOKUP('Données projet'!$B$10,Paramètres!$A$1:$I$89,3,0)*VLOOKUP('Données projet'!$B$10,Paramètres!$A$1:$I$89,5,0)</f>
        <v>296.24064000000044</v>
      </c>
      <c r="AK99" s="13">
        <f t="shared" si="89"/>
        <v>70.387779744440394</v>
      </c>
      <c r="AL99" s="20">
        <f t="shared" si="58"/>
        <v>638.54449772156784</v>
      </c>
      <c r="AM99" s="59">
        <f t="shared" si="59"/>
        <v>931.87783105490121</v>
      </c>
      <c r="AN99" s="59">
        <f ca="1">AVERAGE(OFFSET($AM$3,0,0,'Données projet'!$E$10+1,1))-AVERAGE(OFFSET($H$3,0,0,'Données projet'!$E$10+1,1))</f>
        <v>306.38046634523579</v>
      </c>
      <c r="AO99" s="59">
        <f t="shared" si="90"/>
        <v>229.77251296097705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40.618664582017495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40.618664582017495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7.1782051282051267</v>
      </c>
      <c r="BD99" s="12">
        <f>IF('Données projet'!$A$88&gt;35,BD98+BC99-BL98,IF(A99&lt;'Données projet'!$A$88,$BA$205^A99,IF(A99='Données projet'!$A$88,'Données projet'!$B$88,BD98+BC99-BL98)))</f>
        <v>296.71538461538506</v>
      </c>
      <c r="BE99" s="13">
        <f>BD99*VLOOKUP('Données projet'!$B$11,Paramètres!$A$1:$I$89,3,0)*VLOOKUP('Données projet'!$B$11,Paramètres!$A$1:$I$89,5,0)</f>
        <v>300.8694000000005</v>
      </c>
      <c r="BF99" s="13">
        <f t="shared" si="91"/>
        <v>71.35869240224595</v>
      </c>
      <c r="BG99" s="20">
        <f t="shared" si="61"/>
        <v>648.29726093391253</v>
      </c>
      <c r="BH99" s="59">
        <f t="shared" si="62"/>
        <v>941.6305942672459</v>
      </c>
      <c r="BI99" s="59">
        <f ca="1">AVERAGE(OFFSET($BH$3,0,0,'Données projet'!$E$11+1,1))-AVERAGE(OFFSET($H$3,0,0,'Données projet'!$E$11+1,1))</f>
        <v>312.29056285877169</v>
      </c>
      <c r="BJ99" s="59">
        <f t="shared" si="92"/>
        <v>233.85454224241693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41.253331216111533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41.253331216111533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266.99999999999983</v>
      </c>
      <c r="BZ99" s="13">
        <f>BY99*VLOOKUP('Données projet'!$B$12,Paramètres!$A$1:$I$89,3,0)*VLOOKUP('Données projet'!$B$12,Paramètres!$A$1:$I$89,5,0)</f>
        <v>212.42519999999985</v>
      </c>
      <c r="CA99" s="13">
        <f t="shared" si="93"/>
        <v>52.465198231787184</v>
      </c>
      <c r="CB99" s="20">
        <f t="shared" si="64"/>
        <v>461.35077692036231</v>
      </c>
      <c r="CC99" s="59">
        <f t="shared" si="65"/>
        <v>754.68411025369562</v>
      </c>
      <c r="CD99" s="59">
        <f ca="1">AVERAGE(OFFSET($CC$3,0,0,'Données projet'!$E$12+1,1))-AVERAGE(OFFSET($H$3,0,0,'Données projet'!$E$12+1,1))</f>
        <v>219.43439115440339</v>
      </c>
      <c r="CE99" s="59">
        <f t="shared" si="94"/>
        <v>217.8880462742099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20.97238857535611</v>
      </c>
      <c r="CL99" s="21">
        <f>EXP(-LN(2)/25)*CL98+(1-EXP(-LN(2)/25))/(LN(2)/25)*Calculateur!CG99*Calculateur!CI99*VLOOKUP('Données projet'!$B$12,Paramètres!$A$1:$I$89,3,0)*0.475*44/12</f>
        <v>5.3447759512389341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26.317164526595043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261.10917418234862</v>
      </c>
      <c r="T100" s="59">
        <f t="shared" si="88"/>
        <v>327.65691162938418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7.1782051282051267</v>
      </c>
      <c r="AI100" s="13">
        <f>IF('Données projet'!$A$62&gt;35,AI99+AH100-AQ99,IF(A100&lt;'Données projet'!$A$62,$AF$205^A100,IF(A100='Données projet'!$A$62,'Données projet'!$B$62,AI99+AH100-AQ99)))</f>
        <v>303.89358974359021</v>
      </c>
      <c r="AJ100" s="13">
        <f>AI100*VLOOKUP('Données projet'!$B$10,Paramètres!$A$1:$I$89,3,0)*VLOOKUP('Données projet'!$B$10,Paramètres!$A$1:$I$89,5,0)</f>
        <v>303.40736000000044</v>
      </c>
      <c r="AK100" s="13">
        <f t="shared" si="89"/>
        <v>71.890306812528195</v>
      </c>
      <c r="AL100" s="20">
        <f t="shared" si="58"/>
        <v>653.643436365154</v>
      </c>
      <c r="AM100" s="59">
        <f t="shared" si="59"/>
        <v>946.97676969848726</v>
      </c>
      <c r="AN100" s="59">
        <f ca="1">AVERAGE(OFFSET($AM$3,0,0,'Données projet'!$E$10+1,1))-AVERAGE(OFFSET($H$3,0,0,'Données projet'!$E$10+1,1))</f>
        <v>306.38046634523579</v>
      </c>
      <c r="AO100" s="59">
        <f t="shared" si="90"/>
        <v>229.77251296097705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39.822157344503204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39.822157344503204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7.1782051282051267</v>
      </c>
      <c r="BD100" s="12">
        <f>IF('Données projet'!$A$88&gt;35,BD99+BC100-BL99,IF(A100&lt;'Données projet'!$A$88,$BA$205^A100,IF(A100='Données projet'!$A$88,'Données projet'!$B$88,BD99+BC100-BL99)))</f>
        <v>303.89358974359021</v>
      </c>
      <c r="BE100" s="13">
        <f>BD100*VLOOKUP('Données projet'!$B$11,Paramètres!$A$1:$I$89,3,0)*VLOOKUP('Données projet'!$B$11,Paramètres!$A$1:$I$89,5,0)</f>
        <v>308.14810000000051</v>
      </c>
      <c r="BF100" s="13">
        <f t="shared" si="91"/>
        <v>72.881944979142219</v>
      </c>
      <c r="BG100" s="20">
        <f t="shared" si="61"/>
        <v>663.62732833867358</v>
      </c>
      <c r="BH100" s="59">
        <f t="shared" si="62"/>
        <v>956.96066167200684</v>
      </c>
      <c r="BI100" s="59">
        <f ca="1">AVERAGE(OFFSET($BH$3,0,0,'Données projet'!$E$11+1,1))-AVERAGE(OFFSET($H$3,0,0,'Données projet'!$E$11+1,1))</f>
        <v>312.29056285877169</v>
      </c>
      <c r="BJ100" s="59">
        <f t="shared" si="92"/>
        <v>233.85454224241693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40.444378553011084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40.444378553011084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266.99999999999983</v>
      </c>
      <c r="BZ100" s="13">
        <f>BY100*VLOOKUP('Données projet'!$B$12,Paramètres!$A$1:$I$89,3,0)*VLOOKUP('Données projet'!$B$12,Paramètres!$A$1:$I$89,5,0)</f>
        <v>212.42519999999985</v>
      </c>
      <c r="CA100" s="13">
        <f t="shared" si="93"/>
        <v>52.465198231787184</v>
      </c>
      <c r="CB100" s="20">
        <f t="shared" si="64"/>
        <v>461.35077692036231</v>
      </c>
      <c r="CC100" s="59">
        <f t="shared" si="65"/>
        <v>754.68411025369562</v>
      </c>
      <c r="CD100" s="59">
        <f ca="1">AVERAGE(OFFSET($CC$3,0,0,'Données projet'!$E$12+1,1))-AVERAGE(OFFSET($H$3,0,0,'Données projet'!$E$12+1,1))</f>
        <v>219.43439115440339</v>
      </c>
      <c r="CE100" s="59">
        <f t="shared" si="94"/>
        <v>217.8880462742099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20.561132827287313</v>
      </c>
      <c r="CL100" s="21">
        <f>EXP(-LN(2)/25)*CL99+(1-EXP(-LN(2)/25))/(LN(2)/25)*Calculateur!CG100*Calculateur!CI100*VLOOKUP('Données projet'!$B$12,Paramètres!$A$1:$I$89,3,0)*0.475*44/12</f>
        <v>5.1986227717827536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25.759755599070068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261.10917418234862</v>
      </c>
      <c r="T101" s="59">
        <f t="shared" si="88"/>
        <v>327.65691162938418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7.1782051282051267</v>
      </c>
      <c r="AI101" s="13">
        <f>IF('Données projet'!$A$62&gt;35,AI100+AH101-AQ100,IF(A101&lt;'Données projet'!$A$62,$AF$205^A101,IF(A101='Données projet'!$A$62,'Données projet'!$B$62,AI100+AH101-AQ100)))</f>
        <v>311.07179487179536</v>
      </c>
      <c r="AJ101" s="13">
        <f>AI101*VLOOKUP('Données projet'!$B$10,Paramètres!$A$1:$I$89,3,0)*VLOOKUP('Données projet'!$B$10,Paramètres!$A$1:$I$89,5,0)</f>
        <v>310.57408000000049</v>
      </c>
      <c r="AK101" s="13">
        <f t="shared" si="89"/>
        <v>73.388708011997949</v>
      </c>
      <c r="AL101" s="20">
        <f t="shared" si="58"/>
        <v>668.7351891208973</v>
      </c>
      <c r="AM101" s="59">
        <f t="shared" si="59"/>
        <v>962.06852245423056</v>
      </c>
      <c r="AN101" s="59">
        <f ca="1">AVERAGE(OFFSET($AM$3,0,0,'Données projet'!$E$10+1,1))-AVERAGE(OFFSET($H$3,0,0,'Données projet'!$E$10+1,1))</f>
        <v>306.38046634523579</v>
      </c>
      <c r="AO101" s="59">
        <f t="shared" si="90"/>
        <v>229.77251296097705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39.041269128095124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39.041269128095124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7.1782051282051267</v>
      </c>
      <c r="BD101" s="12">
        <f>IF('Données projet'!$A$88&gt;35,BD100+BC101-BL100,IF(A101&lt;'Données projet'!$A$88,$BA$205^A101,IF(A101='Données projet'!$A$88,'Données projet'!$B$88,BD100+BC101-BL100)))</f>
        <v>311.07179487179536</v>
      </c>
      <c r="BE101" s="13">
        <f>BD101*VLOOKUP('Données projet'!$B$11,Paramètres!$A$1:$I$89,3,0)*VLOOKUP('Données projet'!$B$11,Paramètres!$A$1:$I$89,5,0)</f>
        <v>315.42680000000053</v>
      </c>
      <c r="BF101" s="13">
        <f t="shared" si="91"/>
        <v>74.401014776148614</v>
      </c>
      <c r="BG101" s="20">
        <f t="shared" si="61"/>
        <v>678.95011073512637</v>
      </c>
      <c r="BH101" s="59">
        <f t="shared" si="62"/>
        <v>972.28344406845963</v>
      </c>
      <c r="BI101" s="59">
        <f ca="1">AVERAGE(OFFSET($BH$3,0,0,'Données projet'!$E$11+1,1))-AVERAGE(OFFSET($H$3,0,0,'Données projet'!$E$11+1,1))</f>
        <v>312.29056285877169</v>
      </c>
      <c r="BJ101" s="59">
        <f t="shared" si="92"/>
        <v>233.85454224241693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39.651288958221627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39.651288958221627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266.99999999999983</v>
      </c>
      <c r="BZ101" s="13">
        <f>BY101*VLOOKUP('Données projet'!$B$12,Paramètres!$A$1:$I$89,3,0)*VLOOKUP('Données projet'!$B$12,Paramètres!$A$1:$I$89,5,0)</f>
        <v>212.42519999999985</v>
      </c>
      <c r="CA101" s="13">
        <f t="shared" si="93"/>
        <v>52.465198231787184</v>
      </c>
      <c r="CB101" s="20">
        <f t="shared" si="64"/>
        <v>461.35077692036231</v>
      </c>
      <c r="CC101" s="59">
        <f t="shared" si="65"/>
        <v>754.68411025369562</v>
      </c>
      <c r="CD101" s="59">
        <f ca="1">AVERAGE(OFFSET($CC$3,0,0,'Données projet'!$E$12+1,1))-AVERAGE(OFFSET($H$3,0,0,'Données projet'!$E$12+1,1))</f>
        <v>219.43439115440339</v>
      </c>
      <c r="CE101" s="59">
        <f t="shared" si="94"/>
        <v>217.8880462742099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20.157941553596906</v>
      </c>
      <c r="CL101" s="21">
        <f>EXP(-LN(2)/25)*CL100+(1-EXP(-LN(2)/25))/(LN(2)/25)*Calculateur!CG101*Calculateur!CI101*VLOOKUP('Données projet'!$B$12,Paramètres!$A$1:$I$89,3,0)*0.475*44/12</f>
        <v>5.056466158704664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25.214407712301572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261.10917418234862</v>
      </c>
      <c r="T102" s="59">
        <f t="shared" si="88"/>
        <v>327.65691162938418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318.25</v>
      </c>
      <c r="AG102" s="12">
        <f>VLOOKUP(A102,'Données projet'!$A$61:$I$81,9,0)</f>
        <v>7.1782051282051267</v>
      </c>
      <c r="AH102" s="12">
        <f t="array" ref="AH102">INDEX(AG:AG,MIN(IF(ISNUMBER(AG102:AG298),ROW(AG102:AG298),"")))</f>
        <v>7.1782051282051267</v>
      </c>
      <c r="AI102" s="13">
        <f>IF('Données projet'!$A$62&gt;35,AI101+AH102-AQ101,IF(A102&lt;'Données projet'!$A$62,$AF$205^A102,IF(A102='Données projet'!$A$62,'Données projet'!$B$62,AI101+AH102-AQ101)))</f>
        <v>318.25000000000051</v>
      </c>
      <c r="AJ102" s="13">
        <f>AI102*VLOOKUP('Données projet'!$B$10,Paramètres!$A$1:$I$89,3,0)*VLOOKUP('Données projet'!$B$10,Paramètres!$A$1:$I$89,5,0)</f>
        <v>317.74080000000049</v>
      </c>
      <c r="AK102" s="13">
        <f t="shared" si="89"/>
        <v>74.883089508794953</v>
      </c>
      <c r="AL102" s="20">
        <f t="shared" si="58"/>
        <v>683.81994089448551</v>
      </c>
      <c r="AM102" s="59">
        <f t="shared" si="59"/>
        <v>977.15327422781888</v>
      </c>
      <c r="AN102" s="59">
        <f ca="1">AVERAGE(OFFSET($AM$3,0,0,'Données projet'!$E$10+1,1))-AVERAGE(OFFSET($H$3,0,0,'Données projet'!$E$10+1,1))</f>
        <v>306.38046634523579</v>
      </c>
      <c r="AO102" s="59">
        <f t="shared" si="90"/>
        <v>229.77251296097705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48.019230769230766</v>
      </c>
      <c r="AR102" s="16">
        <f>IF(ISNA(VLOOKUP(A102,'Données projet'!$A$61:$I$81,5,0)),0%,VLOOKUP(A102,'Données projet'!$A$61:$I$81,5,0)*VLOOKUP('Données projet'!$B$10,Paramètres!$A$1:$I$89,7,0))</f>
        <v>0.30099999999999999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54.228363493555904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54.228363493555904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318.25</v>
      </c>
      <c r="BB102" s="12">
        <f>VLOOKUP(A102,'Données projet'!$A$87:$I$107,9,0)</f>
        <v>7.1782051282051267</v>
      </c>
      <c r="BC102" s="12">
        <f t="array" ref="BC102">INDEX(BB:BB,MIN(IF(ISNUMBER(BB102:BB298),ROW(BB102:BB298),"")))</f>
        <v>7.1782051282051267</v>
      </c>
      <c r="BD102" s="12">
        <f>IF('Données projet'!$A$88&gt;35,BD101+BC102-BL101,IF(A102&lt;'Données projet'!$A$88,$BA$205^A102,IF(A102='Données projet'!$A$88,'Données projet'!$B$88,BD101+BC102-BL101)))</f>
        <v>318.25000000000051</v>
      </c>
      <c r="BE102" s="13">
        <f>BD102*VLOOKUP('Données projet'!$B$11,Paramètres!$A$1:$I$89,3,0)*VLOOKUP('Données projet'!$B$11,Paramètres!$A$1:$I$89,5,0)</f>
        <v>322.70550000000054</v>
      </c>
      <c r="BF102" s="13">
        <f t="shared" si="91"/>
        <v>75.916009423638798</v>
      </c>
      <c r="BG102" s="20">
        <f t="shared" si="61"/>
        <v>694.26579557950515</v>
      </c>
      <c r="BH102" s="59">
        <f t="shared" si="62"/>
        <v>987.59912891283852</v>
      </c>
      <c r="BI102" s="59">
        <f ca="1">AVERAGE(OFFSET($BH$3,0,0,'Données projet'!$E$11+1,1))-AVERAGE(OFFSET($H$3,0,0,'Données projet'!$E$11+1,1))</f>
        <v>312.29056285877169</v>
      </c>
      <c r="BJ102" s="59">
        <f t="shared" si="92"/>
        <v>233.85454224241693</v>
      </c>
      <c r="BK102" s="15">
        <f>IF(ISNA(VLOOKUP(A102,'Données projet'!$A$87:$I$107,3,0)),0,VLOOKUP(A102,'Données projet'!$A$87:$I$107,3,0))</f>
        <v>9</v>
      </c>
      <c r="BL102" s="15">
        <f>IF(ISNA(VLOOKUP(A102,'Données projet'!$A$87:$I$107,4,0)),0,VLOOKUP(A102,'Données projet'!$A$87:$I$107,4,0))</f>
        <v>48.019230769230766</v>
      </c>
      <c r="BM102" s="16">
        <f>IF(ISNA(VLOOKUP(A102,'Données projet'!$A$87:$I$107,5,0)),0%,VLOOKUP(A102,'Données projet'!$A$87:$I$107,5,0)*VLOOKUP('Données projet'!$B$11,Paramètres!$A$1:$I$89,7,0))</f>
        <v>0.30099999999999999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55.075681673142725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55.075681673142725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266.99999999999983</v>
      </c>
      <c r="BZ102" s="13">
        <f>BY102*VLOOKUP('Données projet'!$B$12,Paramètres!$A$1:$I$89,3,0)*VLOOKUP('Données projet'!$B$12,Paramètres!$A$1:$I$89,5,0)</f>
        <v>212.42519999999985</v>
      </c>
      <c r="CA102" s="13">
        <f t="shared" si="93"/>
        <v>52.465198231787184</v>
      </c>
      <c r="CB102" s="20">
        <f t="shared" si="64"/>
        <v>461.35077692036231</v>
      </c>
      <c r="CC102" s="59">
        <f t="shared" si="65"/>
        <v>754.68411025369562</v>
      </c>
      <c r="CD102" s="59">
        <f ca="1">AVERAGE(OFFSET($CC$3,0,0,'Données projet'!$E$12+1,1))-AVERAGE(OFFSET($H$3,0,0,'Données projet'!$E$12+1,1))</f>
        <v>219.43439115440339</v>
      </c>
      <c r="CE102" s="59">
        <f t="shared" si="94"/>
        <v>217.8880462742099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19.762656614861175</v>
      </c>
      <c r="CL102" s="21">
        <f>EXP(-LN(2)/25)*CL101+(1-EXP(-LN(2)/25))/(LN(2)/25)*Calculateur!CG102*Calculateur!CI102*VLOOKUP('Données projet'!$B$12,Paramètres!$A$1:$I$89,3,0)*0.475*44/12</f>
        <v>4.918196825686886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24.680853440548063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261.10917418234862</v>
      </c>
      <c r="T103" s="59">
        <f t="shared" si="88"/>
        <v>327.65691162938418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6.9935897435897401</v>
      </c>
      <c r="AI103" s="13">
        <f>IF('Données projet'!$A$62&gt;35,AI102+AH103-AQ102,IF(A103&lt;'Données projet'!$A$62,$AF$205^A103,IF(A103='Données projet'!$A$62,'Données projet'!$B$62,AI102+AH103-AQ102)))</f>
        <v>277.22435897435946</v>
      </c>
      <c r="AJ103" s="13">
        <f>AI103*VLOOKUP('Données projet'!$B$10,Paramètres!$A$1:$I$89,3,0)*VLOOKUP('Données projet'!$B$10,Paramètres!$A$1:$I$89,5,0)</f>
        <v>276.78080000000051</v>
      </c>
      <c r="AK103" s="13">
        <f t="shared" si="89"/>
        <v>66.286242202467591</v>
      </c>
      <c r="AL103" s="20">
        <f t="shared" si="58"/>
        <v>597.50843183596521</v>
      </c>
      <c r="AM103" s="59">
        <f t="shared" si="59"/>
        <v>890.84176516929847</v>
      </c>
      <c r="AN103" s="59">
        <f ca="1">AVERAGE(OFFSET($AM$3,0,0,'Données projet'!$E$10+1,1))-AVERAGE(OFFSET($H$3,0,0,'Données projet'!$E$10+1,1))</f>
        <v>306.38046634523579</v>
      </c>
      <c r="AO103" s="59">
        <f t="shared" si="90"/>
        <v>229.77251296097705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53.164978361483016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53.164978361483016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6.9935897435897401</v>
      </c>
      <c r="BD103" s="12">
        <f>IF('Données projet'!$A$88&gt;35,BD102+BC103-BL102,IF(A103&lt;'Données projet'!$A$88,$BA$205^A103,IF(A103='Données projet'!$A$88,'Données projet'!$B$88,BD102+BC103-BL102)))</f>
        <v>277.22435897435946</v>
      </c>
      <c r="BE103" s="13">
        <f>BD103*VLOOKUP('Données projet'!$B$11,Paramètres!$A$1:$I$89,3,0)*VLOOKUP('Données projet'!$B$11,Paramètres!$A$1:$I$89,5,0)</f>
        <v>281.10550000000052</v>
      </c>
      <c r="BF103" s="13">
        <f t="shared" si="91"/>
        <v>67.200579205657675</v>
      </c>
      <c r="BG103" s="20">
        <f t="shared" si="61"/>
        <v>606.63308794985471</v>
      </c>
      <c r="BH103" s="59">
        <f t="shared" si="62"/>
        <v>899.96642128318808</v>
      </c>
      <c r="BI103" s="59">
        <f ca="1">AVERAGE(OFFSET($BH$3,0,0,'Données projet'!$E$11+1,1))-AVERAGE(OFFSET($H$3,0,0,'Données projet'!$E$11+1,1))</f>
        <v>312.29056285877169</v>
      </c>
      <c r="BJ103" s="59">
        <f t="shared" si="92"/>
        <v>233.85454224241693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53.995681148381202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53.995681148381202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266.99999999999983</v>
      </c>
      <c r="BZ103" s="13">
        <f>BY103*VLOOKUP('Données projet'!$B$12,Paramètres!$A$1:$I$89,3,0)*VLOOKUP('Données projet'!$B$12,Paramètres!$A$1:$I$89,5,0)</f>
        <v>212.42519999999985</v>
      </c>
      <c r="CA103" s="13">
        <f t="shared" si="93"/>
        <v>52.465198231787184</v>
      </c>
      <c r="CB103" s="20">
        <f t="shared" si="64"/>
        <v>461.35077692036231</v>
      </c>
      <c r="CC103" s="59">
        <f t="shared" si="65"/>
        <v>754.68411025369562</v>
      </c>
      <c r="CD103" s="59">
        <f ca="1">AVERAGE(OFFSET($CC$3,0,0,'Données projet'!$E$12+1,1))-AVERAGE(OFFSET($H$3,0,0,'Données projet'!$E$12+1,1))</f>
        <v>219.43439115440339</v>
      </c>
      <c r="CE103" s="59">
        <f t="shared" si="94"/>
        <v>217.8880462742099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19.375122972674045</v>
      </c>
      <c r="CL103" s="21">
        <f>EXP(-LN(2)/25)*CL102+(1-EXP(-LN(2)/25))/(LN(2)/25)*Calculateur!CG103*Calculateur!CI103*VLOOKUP('Données projet'!$B$12,Paramètres!$A$1:$I$89,3,0)*0.475*44/12</f>
        <v>4.783708474851748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24.158831447525792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261.10917418234862</v>
      </c>
      <c r="T104" s="59">
        <f t="shared" si="88"/>
        <v>327.65691162938418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6.9935897435897401</v>
      </c>
      <c r="AI104" s="13">
        <f>IF('Données projet'!$A$62&gt;35,AI103+AH104-AQ103,IF(A104&lt;'Données projet'!$A$62,$AF$205^A104,IF(A104='Données projet'!$A$62,'Données projet'!$B$62,AI103+AH104-AQ103)))</f>
        <v>284.21794871794918</v>
      </c>
      <c r="AJ104" s="13">
        <f>AI104*VLOOKUP('Données projet'!$B$10,Paramètres!$A$1:$I$89,3,0)*VLOOKUP('Données projet'!$B$10,Paramètres!$A$1:$I$89,5,0)</f>
        <v>283.7632000000005</v>
      </c>
      <c r="AK104" s="13">
        <f t="shared" si="89"/>
        <v>67.761662241235356</v>
      </c>
      <c r="AL104" s="20">
        <f t="shared" si="58"/>
        <v>612.23913507015232</v>
      </c>
      <c r="AM104" s="59">
        <f t="shared" si="59"/>
        <v>905.57246840348557</v>
      </c>
      <c r="AN104" s="59">
        <f ca="1">AVERAGE(OFFSET($AM$3,0,0,'Données projet'!$E$10+1,1))-AVERAGE(OFFSET($H$3,0,0,'Données projet'!$E$10+1,1))</f>
        <v>306.38046634523579</v>
      </c>
      <c r="AO104" s="59">
        <f t="shared" si="90"/>
        <v>229.77251296097705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52.122445563249194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52.122445563249194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6.9935897435897401</v>
      </c>
      <c r="BD104" s="12">
        <f>IF('Données projet'!$A$88&gt;35,BD103+BC104-BL103,IF(A104&lt;'Données projet'!$A$88,$BA$205^A104,IF(A104='Données projet'!$A$88,'Données projet'!$B$88,BD103+BC104-BL103)))</f>
        <v>284.21794871794918</v>
      </c>
      <c r="BE104" s="13">
        <f>BD104*VLOOKUP('Données projet'!$B$11,Paramètres!$A$1:$I$89,3,0)*VLOOKUP('Données projet'!$B$11,Paramètres!$A$1:$I$89,5,0)</f>
        <v>288.19700000000051</v>
      </c>
      <c r="BF104" s="13">
        <f t="shared" si="91"/>
        <v>68.696350845178046</v>
      </c>
      <c r="BG104" s="20">
        <f t="shared" si="61"/>
        <v>621.5892527220193</v>
      </c>
      <c r="BH104" s="59">
        <f t="shared" si="62"/>
        <v>914.92258605535267</v>
      </c>
      <c r="BI104" s="59">
        <f ca="1">AVERAGE(OFFSET($BH$3,0,0,'Données projet'!$E$11+1,1))-AVERAGE(OFFSET($H$3,0,0,'Données projet'!$E$11+1,1))</f>
        <v>312.29056285877169</v>
      </c>
      <c r="BJ104" s="59">
        <f t="shared" si="92"/>
        <v>233.85454224241693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52.936858775174976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52.936858775174976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266.99999999999983</v>
      </c>
      <c r="BZ104" s="13">
        <f>BY104*VLOOKUP('Données projet'!$B$12,Paramètres!$A$1:$I$89,3,0)*VLOOKUP('Données projet'!$B$12,Paramètres!$A$1:$I$89,5,0)</f>
        <v>212.42519999999985</v>
      </c>
      <c r="CA104" s="13">
        <f t="shared" si="93"/>
        <v>52.465198231787184</v>
      </c>
      <c r="CB104" s="20">
        <f t="shared" si="64"/>
        <v>461.35077692036231</v>
      </c>
      <c r="CC104" s="59">
        <f t="shared" si="65"/>
        <v>754.68411025369562</v>
      </c>
      <c r="CD104" s="59">
        <f ca="1">AVERAGE(OFFSET($CC$3,0,0,'Données projet'!$E$12+1,1))-AVERAGE(OFFSET($H$3,0,0,'Données projet'!$E$12+1,1))</f>
        <v>219.43439115440339</v>
      </c>
      <c r="CE104" s="59">
        <f t="shared" si="94"/>
        <v>217.8880462742099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18.995188628838022</v>
      </c>
      <c r="CL104" s="21">
        <f>EXP(-LN(2)/25)*CL103+(1-EXP(-LN(2)/25))/(LN(2)/25)*Calculateur!CG104*Calculateur!CI104*VLOOKUP('Données projet'!$B$12,Paramètres!$A$1:$I$89,3,0)*0.475*44/12</f>
        <v>4.6528977150426316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23.648086343880653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261.10917418234862</v>
      </c>
      <c r="T105" s="59">
        <f t="shared" si="88"/>
        <v>327.65691162938418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6.9935897435897401</v>
      </c>
      <c r="AI105" s="13">
        <f>IF('Données projet'!$A$62&gt;35,AI104+AH105-AQ104,IF(A105&lt;'Données projet'!$A$62,$AF$205^A105,IF(A105='Données projet'!$A$62,'Données projet'!$B$62,AI104+AH105-AQ104)))</f>
        <v>291.21153846153891</v>
      </c>
      <c r="AJ105" s="13">
        <f>AI105*VLOOKUP('Données projet'!$B$10,Paramètres!$A$1:$I$89,3,0)*VLOOKUP('Données projet'!$B$10,Paramètres!$A$1:$I$89,5,0)</f>
        <v>290.74560000000048</v>
      </c>
      <c r="AK105" s="13">
        <f t="shared" si="89"/>
        <v>69.232861994552493</v>
      </c>
      <c r="AL105" s="20">
        <f t="shared" si="58"/>
        <v>626.96248797384635</v>
      </c>
      <c r="AM105" s="59">
        <f t="shared" si="59"/>
        <v>920.29582130717972</v>
      </c>
      <c r="AN105" s="59">
        <f ca="1">AVERAGE(OFFSET($AM$3,0,0,'Données projet'!$E$10+1,1))-AVERAGE(OFFSET($H$3,0,0,'Données projet'!$E$10+1,1))</f>
        <v>306.38046634523579</v>
      </c>
      <c r="AO105" s="59">
        <f t="shared" si="90"/>
        <v>229.77251296097705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51.100356197306517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51.100356197306517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6.9935897435897401</v>
      </c>
      <c r="BD105" s="12">
        <f>IF('Données projet'!$A$88&gt;35,BD104+BC105-BL104,IF(A105&lt;'Données projet'!$A$88,$BA$205^A105,IF(A105='Données projet'!$A$88,'Données projet'!$B$88,BD104+BC105-BL104)))</f>
        <v>291.21153846153891</v>
      </c>
      <c r="BE105" s="13">
        <f>BD105*VLOOKUP('Données projet'!$B$11,Paramètres!$A$1:$I$89,3,0)*VLOOKUP('Données projet'!$B$11,Paramètres!$A$1:$I$89,5,0)</f>
        <v>295.28850000000051</v>
      </c>
      <c r="BF105" s="13">
        <f t="shared" si="91"/>
        <v>70.187843985612119</v>
      </c>
      <c r="BG105" s="20">
        <f t="shared" si="61"/>
        <v>636.53796577494199</v>
      </c>
      <c r="BH105" s="59">
        <f t="shared" si="62"/>
        <v>929.87129910827525</v>
      </c>
      <c r="BI105" s="59">
        <f ca="1">AVERAGE(OFFSET($BH$3,0,0,'Données projet'!$E$11+1,1))-AVERAGE(OFFSET($H$3,0,0,'Données projet'!$E$11+1,1))</f>
        <v>312.29056285877169</v>
      </c>
      <c r="BJ105" s="59">
        <f t="shared" si="92"/>
        <v>233.85454224241693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51.89879926288944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51.89879926288944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266.99999999999983</v>
      </c>
      <c r="BZ105" s="13">
        <f>BY105*VLOOKUP('Données projet'!$B$12,Paramètres!$A$1:$I$89,3,0)*VLOOKUP('Données projet'!$B$12,Paramètres!$A$1:$I$89,5,0)</f>
        <v>212.42519999999985</v>
      </c>
      <c r="CA105" s="13">
        <f t="shared" si="93"/>
        <v>52.465198231787184</v>
      </c>
      <c r="CB105" s="20">
        <f t="shared" si="64"/>
        <v>461.35077692036231</v>
      </c>
      <c r="CC105" s="59">
        <f t="shared" si="65"/>
        <v>754.68411025369562</v>
      </c>
      <c r="CD105" s="59">
        <f ca="1">AVERAGE(OFFSET($CC$3,0,0,'Données projet'!$E$12+1,1))-AVERAGE(OFFSET($H$3,0,0,'Données projet'!$E$12+1,1))</f>
        <v>219.43439115440339</v>
      </c>
      <c r="CE105" s="59">
        <f t="shared" si="94"/>
        <v>217.8880462742099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18.622704565747558</v>
      </c>
      <c r="CL105" s="21">
        <f>EXP(-LN(2)/25)*CL104+(1-EXP(-LN(2)/25))/(LN(2)/25)*Calculateur!CG105*Calculateur!CI105*VLOOKUP('Données projet'!$B$12,Paramètres!$A$1:$I$89,3,0)*0.475*44/12</f>
        <v>4.5256639823395339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23.148368548087092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261.10917418234862</v>
      </c>
      <c r="T106" s="59">
        <f t="shared" si="88"/>
        <v>327.65691162938418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6.9935897435897401</v>
      </c>
      <c r="AI106" s="13">
        <f>IF('Données projet'!$A$62&gt;35,AI105+AH106-AQ105,IF(A106&lt;'Données projet'!$A$62,$AF$205^A106,IF(A106='Données projet'!$A$62,'Données projet'!$B$62,AI105+AH106-AQ105)))</f>
        <v>298.20512820512863</v>
      </c>
      <c r="AJ106" s="13">
        <f>AI106*VLOOKUP('Données projet'!$B$10,Paramètres!$A$1:$I$89,3,0)*VLOOKUP('Données projet'!$B$10,Paramètres!$A$1:$I$89,5,0)</f>
        <v>297.72800000000046</v>
      </c>
      <c r="AK106" s="13">
        <f t="shared" si="89"/>
        <v>70.699954476036638</v>
      </c>
      <c r="AL106" s="20">
        <f t="shared" si="58"/>
        <v>641.67868737909782</v>
      </c>
      <c r="AM106" s="59">
        <f t="shared" si="59"/>
        <v>935.01202071243119</v>
      </c>
      <c r="AN106" s="59">
        <f ca="1">AVERAGE(OFFSET($AM$3,0,0,'Données projet'!$E$10+1,1))-AVERAGE(OFFSET($H$3,0,0,'Données projet'!$E$10+1,1))</f>
        <v>306.38046634523579</v>
      </c>
      <c r="AO106" s="59">
        <f t="shared" si="90"/>
        <v>229.77251296097705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50.098309380417021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50.098309380417021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6.9935897435897401</v>
      </c>
      <c r="BD106" s="12">
        <f>IF('Données projet'!$A$88&gt;35,BD105+BC106-BL105,IF(A106&lt;'Données projet'!$A$88,$BA$205^A106,IF(A106='Données projet'!$A$88,'Données projet'!$B$88,BD105+BC106-BL105)))</f>
        <v>298.20512820512863</v>
      </c>
      <c r="BE106" s="13">
        <f>BD106*VLOOKUP('Données projet'!$B$11,Paramètres!$A$1:$I$89,3,0)*VLOOKUP('Données projet'!$B$11,Paramètres!$A$1:$I$89,5,0)</f>
        <v>302.38000000000045</v>
      </c>
      <c r="BF106" s="13">
        <f t="shared" si="91"/>
        <v>71.67517319946117</v>
      </c>
      <c r="BG106" s="20">
        <f t="shared" si="61"/>
        <v>651.47942665572896</v>
      </c>
      <c r="BH106" s="59">
        <f t="shared" si="62"/>
        <v>944.81275998906222</v>
      </c>
      <c r="BI106" s="59">
        <f ca="1">AVERAGE(OFFSET($BH$3,0,0,'Données projet'!$E$11+1,1))-AVERAGE(OFFSET($H$3,0,0,'Données projet'!$E$11+1,1))</f>
        <v>312.29056285877169</v>
      </c>
      <c r="BJ106" s="59">
        <f t="shared" si="92"/>
        <v>233.85454224241693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50.881095464486044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50.881095464486044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266.99999999999983</v>
      </c>
      <c r="BZ106" s="13">
        <f>BY106*VLOOKUP('Données projet'!$B$12,Paramètres!$A$1:$I$89,3,0)*VLOOKUP('Données projet'!$B$12,Paramètres!$A$1:$I$89,5,0)</f>
        <v>212.42519999999985</v>
      </c>
      <c r="CA106" s="13">
        <f t="shared" si="93"/>
        <v>52.465198231787184</v>
      </c>
      <c r="CB106" s="20">
        <f t="shared" si="64"/>
        <v>461.35077692036231</v>
      </c>
      <c r="CC106" s="59">
        <f t="shared" si="65"/>
        <v>754.68411025369562</v>
      </c>
      <c r="CD106" s="59">
        <f ca="1">AVERAGE(OFFSET($CC$3,0,0,'Données projet'!$E$12+1,1))-AVERAGE(OFFSET($H$3,0,0,'Données projet'!$E$12+1,1))</f>
        <v>219.43439115440339</v>
      </c>
      <c r="CE106" s="59">
        <f t="shared" si="94"/>
        <v>217.8880462742099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18.257524687941451</v>
      </c>
      <c r="CL106" s="21">
        <f>EXP(-LN(2)/25)*CL105+(1-EXP(-LN(2)/25))/(LN(2)/25)*Calculateur!CG106*Calculateur!CI106*VLOOKUP('Données projet'!$B$12,Paramètres!$A$1:$I$89,3,0)*0.475*44/12</f>
        <v>4.4019094627481339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22.659434150689584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261.10917418234862</v>
      </c>
      <c r="T107" s="59">
        <f t="shared" si="88"/>
        <v>327.65691162938418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6.9935897435897401</v>
      </c>
      <c r="AI107" s="13">
        <f>IF('Données projet'!$A$62&gt;35,AI106+AH107-AQ106,IF(A107&lt;'Données projet'!$A$62,$AF$205^A107,IF(A107='Données projet'!$A$62,'Données projet'!$B$62,AI106+AH107-AQ106)))</f>
        <v>305.19871794871835</v>
      </c>
      <c r="AJ107" s="13">
        <f>AI107*VLOOKUP('Données projet'!$B$10,Paramètres!$A$1:$I$89,3,0)*VLOOKUP('Données projet'!$B$10,Paramètres!$A$1:$I$89,5,0)</f>
        <v>304.71040000000045</v>
      </c>
      <c r="AK107" s="13">
        <f t="shared" si="89"/>
        <v>72.163047096045261</v>
      </c>
      <c r="AL107" s="20">
        <f t="shared" si="58"/>
        <v>656.38792035894619</v>
      </c>
      <c r="AM107" s="59">
        <f t="shared" si="59"/>
        <v>949.72125369227956</v>
      </c>
      <c r="AN107" s="59">
        <f ca="1">AVERAGE(OFFSET($AM$3,0,0,'Données projet'!$E$10+1,1))-AVERAGE(OFFSET($H$3,0,0,'Données projet'!$E$10+1,1))</f>
        <v>306.38046634523579</v>
      </c>
      <c r="AO107" s="59">
        <f t="shared" si="90"/>
        <v>229.77251296097705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49.115912090418519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49.115912090418519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6.9935897435897401</v>
      </c>
      <c r="BD107" s="12">
        <f>IF('Données projet'!$A$88&gt;35,BD106+BC107-BL106,IF(A107&lt;'Données projet'!$A$88,$BA$205^A107,IF(A107='Données projet'!$A$88,'Données projet'!$B$88,BD106+BC107-BL106)))</f>
        <v>305.19871794871835</v>
      </c>
      <c r="BE107" s="13">
        <f>BD107*VLOOKUP('Données projet'!$B$11,Paramètres!$A$1:$I$89,3,0)*VLOOKUP('Données projet'!$B$11,Paramètres!$A$1:$I$89,5,0)</f>
        <v>309.47150000000045</v>
      </c>
      <c r="BF107" s="13">
        <f t="shared" si="91"/>
        <v>73.15844737867603</v>
      </c>
      <c r="BG107" s="20">
        <f t="shared" si="61"/>
        <v>666.41382501786154</v>
      </c>
      <c r="BH107" s="59">
        <f t="shared" si="62"/>
        <v>959.74715835119491</v>
      </c>
      <c r="BI107" s="59">
        <f ca="1">AVERAGE(OFFSET($BH$3,0,0,'Données projet'!$E$11+1,1))-AVERAGE(OFFSET($H$3,0,0,'Données projet'!$E$11+1,1))</f>
        <v>312.29056285877169</v>
      </c>
      <c r="BJ107" s="59">
        <f t="shared" si="92"/>
        <v>233.85454224241693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49.883348216831315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49.883348216831315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266.99999999999983</v>
      </c>
      <c r="BZ107" s="13">
        <f>BY107*VLOOKUP('Données projet'!$B$12,Paramètres!$A$1:$I$89,3,0)*VLOOKUP('Données projet'!$B$12,Paramètres!$A$1:$I$89,5,0)</f>
        <v>212.42519999999985</v>
      </c>
      <c r="CA107" s="13">
        <f t="shared" si="93"/>
        <v>52.465198231787184</v>
      </c>
      <c r="CB107" s="20">
        <f t="shared" si="64"/>
        <v>461.35077692036231</v>
      </c>
      <c r="CC107" s="59">
        <f t="shared" si="65"/>
        <v>754.68411025369562</v>
      </c>
      <c r="CD107" s="59">
        <f ca="1">AVERAGE(OFFSET($CC$3,0,0,'Données projet'!$E$12+1,1))-AVERAGE(OFFSET($H$3,0,0,'Données projet'!$E$12+1,1))</f>
        <v>219.43439115440339</v>
      </c>
      <c r="CE107" s="59">
        <f t="shared" si="94"/>
        <v>217.8880462742099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17.89950576480139</v>
      </c>
      <c r="CL107" s="21">
        <f>EXP(-LN(2)/25)*CL106+(1-EXP(-LN(2)/25))/(LN(2)/25)*Calculateur!CG107*Calculateur!CI107*VLOOKUP('Données projet'!$B$12,Paramètres!$A$1:$I$89,3,0)*0.475*44/12</f>
        <v>4.2815390170029284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22.181044781804317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261.10917418234862</v>
      </c>
      <c r="T108" s="59">
        <f t="shared" si="88"/>
        <v>327.65691162938418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6.9935897435897401</v>
      </c>
      <c r="AI108" s="13">
        <f>IF('Données projet'!$A$62&gt;35,AI107+AH108-AQ107,IF(A108&lt;'Données projet'!$A$62,$AF$205^A108,IF(A108='Données projet'!$A$62,'Données projet'!$B$62,AI107+AH108-AQ107)))</f>
        <v>312.19230769230808</v>
      </c>
      <c r="AJ108" s="13">
        <f>AI108*VLOOKUP('Données projet'!$B$10,Paramètres!$A$1:$I$89,3,0)*VLOOKUP('Données projet'!$B$10,Paramètres!$A$1:$I$89,5,0)</f>
        <v>311.69280000000043</v>
      </c>
      <c r="AK108" s="13">
        <f t="shared" si="89"/>
        <v>73.62224206142308</v>
      </c>
      <c r="AL108" s="20">
        <f t="shared" si="58"/>
        <v>671.09036492364601</v>
      </c>
      <c r="AM108" s="59">
        <f t="shared" si="59"/>
        <v>964.42369825697938</v>
      </c>
      <c r="AN108" s="59">
        <f ca="1">AVERAGE(OFFSET($AM$3,0,0,'Données projet'!$E$10+1,1))-AVERAGE(OFFSET($H$3,0,0,'Données projet'!$E$10+1,1))</f>
        <v>306.38046634523579</v>
      </c>
      <c r="AO108" s="59">
        <f t="shared" si="90"/>
        <v>229.77251296097705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48.152779012073708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48.152779012073708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6.9935897435897401</v>
      </c>
      <c r="BD108" s="12">
        <f>IF('Données projet'!$A$88&gt;35,BD107+BC108-BL107,IF(A108&lt;'Données projet'!$A$88,$BA$205^A108,IF(A108='Données projet'!$A$88,'Données projet'!$B$88,BD107+BC108-BL107)))</f>
        <v>312.19230769230808</v>
      </c>
      <c r="BE108" s="13">
        <f>BD108*VLOOKUP('Données projet'!$B$11,Paramètres!$A$1:$I$89,3,0)*VLOOKUP('Données projet'!$B$11,Paramètres!$A$1:$I$89,5,0)</f>
        <v>316.56300000000044</v>
      </c>
      <c r="BF108" s="13">
        <f t="shared" si="91"/>
        <v>74.637770139918928</v>
      </c>
      <c r="BG108" s="20">
        <f t="shared" si="61"/>
        <v>681.34134132702627</v>
      </c>
      <c r="BH108" s="59">
        <f t="shared" si="62"/>
        <v>974.67467466035964</v>
      </c>
      <c r="BI108" s="59">
        <f ca="1">AVERAGE(OFFSET($BH$3,0,0,'Données projet'!$E$11+1,1))-AVERAGE(OFFSET($H$3,0,0,'Données projet'!$E$11+1,1))</f>
        <v>312.29056285877169</v>
      </c>
      <c r="BJ108" s="59">
        <f t="shared" si="92"/>
        <v>233.85454224241693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48.905166184137364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48.905166184137364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266.99999999999983</v>
      </c>
      <c r="BZ108" s="13">
        <f>BY108*VLOOKUP('Données projet'!$B$12,Paramètres!$A$1:$I$89,3,0)*VLOOKUP('Données projet'!$B$12,Paramètres!$A$1:$I$89,5,0)</f>
        <v>212.42519999999985</v>
      </c>
      <c r="CA108" s="13">
        <f t="shared" si="93"/>
        <v>52.465198231787184</v>
      </c>
      <c r="CB108" s="20">
        <f t="shared" si="64"/>
        <v>461.35077692036231</v>
      </c>
      <c r="CC108" s="59">
        <f t="shared" si="65"/>
        <v>754.68411025369562</v>
      </c>
      <c r="CD108" s="59">
        <f ca="1">AVERAGE(OFFSET($CC$3,0,0,'Données projet'!$E$12+1,1))-AVERAGE(OFFSET($H$3,0,0,'Données projet'!$E$12+1,1))</f>
        <v>219.43439115440339</v>
      </c>
      <c r="CE108" s="59">
        <f t="shared" si="94"/>
        <v>217.8880462742099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17.548507374374125</v>
      </c>
      <c r="CL108" s="21">
        <f>EXP(-LN(2)/25)*CL107+(1-EXP(-LN(2)/25))/(LN(2)/25)*Calculateur!CG108*Calculateur!CI108*VLOOKUP('Données projet'!$B$12,Paramètres!$A$1:$I$89,3,0)*0.475*44/12</f>
        <v>4.1644601074266321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21.712967481800757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261.10917418234862</v>
      </c>
      <c r="T109" s="59">
        <f t="shared" si="88"/>
        <v>327.65691162938418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6.9935897435897401</v>
      </c>
      <c r="AI109" s="13">
        <f>IF('Données projet'!$A$62&gt;35,AI108+AH109-AQ108,IF(A109&lt;'Données projet'!$A$62,$AF$205^A109,IF(A109='Données projet'!$A$62,'Données projet'!$B$62,AI108+AH109-AQ108)))</f>
        <v>319.1858974358978</v>
      </c>
      <c r="AJ109" s="13">
        <f>AI109*VLOOKUP('Données projet'!$B$10,Paramètres!$A$1:$I$89,3,0)*VLOOKUP('Données projet'!$B$10,Paramètres!$A$1:$I$89,5,0)</f>
        <v>318.67520000000042</v>
      </c>
      <c r="AK109" s="13">
        <f t="shared" si="89"/>
        <v>75.077636738418647</v>
      </c>
      <c r="AL109" s="20">
        <f t="shared" si="58"/>
        <v>685.78619065274654</v>
      </c>
      <c r="AM109" s="59">
        <f t="shared" si="59"/>
        <v>979.11952398607991</v>
      </c>
      <c r="AN109" s="59">
        <f ca="1">AVERAGE(OFFSET($AM$3,0,0,'Données projet'!$E$10+1,1))-AVERAGE(OFFSET($H$3,0,0,'Données projet'!$E$10+1,1))</f>
        <v>306.38046634523579</v>
      </c>
      <c r="AO109" s="59">
        <f t="shared" si="90"/>
        <v>229.77251296097705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47.208532385942064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47.208532385942064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6.9935897435897401</v>
      </c>
      <c r="BD109" s="12">
        <f>IF('Données projet'!$A$88&gt;35,BD108+BC109-BL108,IF(A109&lt;'Données projet'!$A$88,$BA$205^A109,IF(A109='Données projet'!$A$88,'Données projet'!$B$88,BD108+BC109-BL108)))</f>
        <v>319.1858974358978</v>
      </c>
      <c r="BE109" s="13">
        <f>BD109*VLOOKUP('Données projet'!$B$11,Paramètres!$A$1:$I$89,3,0)*VLOOKUP('Données projet'!$B$11,Paramètres!$A$1:$I$89,5,0)</f>
        <v>323.65450000000038</v>
      </c>
      <c r="BF109" s="13">
        <f t="shared" si="91"/>
        <v>76.113240192485776</v>
      </c>
      <c r="BG109" s="20">
        <f t="shared" si="61"/>
        <v>696.26214750191332</v>
      </c>
      <c r="BH109" s="59">
        <f t="shared" si="62"/>
        <v>989.59548083524669</v>
      </c>
      <c r="BI109" s="59">
        <f ca="1">AVERAGE(OFFSET($BH$3,0,0,'Données projet'!$E$11+1,1))-AVERAGE(OFFSET($H$3,0,0,'Données projet'!$E$11+1,1))</f>
        <v>312.29056285877169</v>
      </c>
      <c r="BJ109" s="59">
        <f t="shared" si="92"/>
        <v>233.85454224241693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47.946165704472413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47.946165704472413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266.99999999999983</v>
      </c>
      <c r="BZ109" s="13">
        <f>BY109*VLOOKUP('Données projet'!$B$12,Paramètres!$A$1:$I$89,3,0)*VLOOKUP('Données projet'!$B$12,Paramètres!$A$1:$I$89,5,0)</f>
        <v>212.42519999999985</v>
      </c>
      <c r="CA109" s="13">
        <f t="shared" si="93"/>
        <v>52.465198231787184</v>
      </c>
      <c r="CB109" s="20">
        <f t="shared" si="64"/>
        <v>461.35077692036231</v>
      </c>
      <c r="CC109" s="59">
        <f t="shared" si="65"/>
        <v>754.68411025369562</v>
      </c>
      <c r="CD109" s="59">
        <f ca="1">AVERAGE(OFFSET($CC$3,0,0,'Données projet'!$E$12+1,1))-AVERAGE(OFFSET($H$3,0,0,'Données projet'!$E$12+1,1))</f>
        <v>219.43439115440339</v>
      </c>
      <c r="CE109" s="59">
        <f t="shared" si="94"/>
        <v>217.8880462742099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17.204391848295263</v>
      </c>
      <c r="CL109" s="21">
        <f>EXP(-LN(2)/25)*CL108+(1-EXP(-LN(2)/25))/(LN(2)/25)*Calculateur!CG109*Calculateur!CI109*VLOOKUP('Données projet'!$B$12,Paramètres!$A$1:$I$89,3,0)*0.475*44/12</f>
        <v>4.050582726789612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21.254974575084873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261.10917418234862</v>
      </c>
      <c r="T110" s="59">
        <f t="shared" si="88"/>
        <v>327.65691162938418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6.9935897435897401</v>
      </c>
      <c r="AI110" s="13">
        <f>IF('Données projet'!$A$62&gt;35,AI109+AH110-AQ109,IF(A110&lt;'Données projet'!$A$62,$AF$205^A110,IF(A110='Données projet'!$A$62,'Données projet'!$B$62,AI109+AH110-AQ109)))</f>
        <v>326.17948717948752</v>
      </c>
      <c r="AJ110" s="13">
        <f>AI110*VLOOKUP('Données projet'!$B$10,Paramètres!$A$1:$I$89,3,0)*VLOOKUP('Données projet'!$B$10,Paramètres!$A$1:$I$89,5,0)</f>
        <v>325.6576000000004</v>
      </c>
      <c r="AK110" s="13">
        <f t="shared" si="89"/>
        <v>76.529323982898006</v>
      </c>
      <c r="AL110" s="20">
        <f t="shared" si="58"/>
        <v>700.4755592702146</v>
      </c>
      <c r="AM110" s="59">
        <f t="shared" si="59"/>
        <v>993.80889260354797</v>
      </c>
      <c r="AN110" s="59">
        <f ca="1">AVERAGE(OFFSET($AM$3,0,0,'Données projet'!$E$10+1,1))-AVERAGE(OFFSET($H$3,0,0,'Données projet'!$E$10+1,1))</f>
        <v>306.38046634523579</v>
      </c>
      <c r="AO110" s="59">
        <f t="shared" si="90"/>
        <v>229.77251296097705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46.282801860215287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46.282801860215287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6.9935897435897401</v>
      </c>
      <c r="BD110" s="12">
        <f>IF('Données projet'!$A$88&gt;35,BD109+BC110-BL109,IF(A110&lt;'Données projet'!$A$88,$BA$205^A110,IF(A110='Données projet'!$A$88,'Données projet'!$B$88,BD109+BC110-BL109)))</f>
        <v>326.17948717948752</v>
      </c>
      <c r="BE110" s="13">
        <f>BD110*VLOOKUP('Données projet'!$B$11,Paramètres!$A$1:$I$89,3,0)*VLOOKUP('Données projet'!$B$11,Paramètres!$A$1:$I$89,5,0)</f>
        <v>330.74600000000038</v>
      </c>
      <c r="BF110" s="13">
        <f t="shared" si="91"/>
        <v>77.584951673074755</v>
      </c>
      <c r="BG110" s="20">
        <f t="shared" si="61"/>
        <v>711.17640749727252</v>
      </c>
      <c r="BH110" s="59">
        <f t="shared" si="62"/>
        <v>1004.5097408306058</v>
      </c>
      <c r="BI110" s="59">
        <f ca="1">AVERAGE(OFFSET($BH$3,0,0,'Données projet'!$E$11+1,1))-AVERAGE(OFFSET($H$3,0,0,'Données projet'!$E$11+1,1))</f>
        <v>312.29056285877169</v>
      </c>
      <c r="BJ110" s="59">
        <f t="shared" si="92"/>
        <v>233.85454224241693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47.005970639281159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47.005970639281159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266.99999999999983</v>
      </c>
      <c r="BZ110" s="13">
        <f>BY110*VLOOKUP('Données projet'!$B$12,Paramètres!$A$1:$I$89,3,0)*VLOOKUP('Données projet'!$B$12,Paramètres!$A$1:$I$89,5,0)</f>
        <v>212.42519999999985</v>
      </c>
      <c r="CA110" s="13">
        <f t="shared" si="93"/>
        <v>52.465198231787184</v>
      </c>
      <c r="CB110" s="20">
        <f t="shared" si="64"/>
        <v>461.35077692036231</v>
      </c>
      <c r="CC110" s="59">
        <f t="shared" si="65"/>
        <v>754.68411025369562</v>
      </c>
      <c r="CD110" s="59">
        <f ca="1">AVERAGE(OFFSET($CC$3,0,0,'Données projet'!$E$12+1,1))-AVERAGE(OFFSET($H$3,0,0,'Données projet'!$E$12+1,1))</f>
        <v>219.43439115440339</v>
      </c>
      <c r="CE110" s="59">
        <f t="shared" si="94"/>
        <v>217.8880462742099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16.867024217793059</v>
      </c>
      <c r="CL110" s="21">
        <f>EXP(-LN(2)/25)*CL109+(1-EXP(-LN(2)/25))/(LN(2)/25)*Calculateur!CG110*Calculateur!CI110*VLOOKUP('Données projet'!$B$12,Paramètres!$A$1:$I$89,3,0)*0.475*44/12</f>
        <v>3.9398193291146621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20.806843546907722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261.10917418234862</v>
      </c>
      <c r="T111" s="59">
        <f t="shared" si="88"/>
        <v>327.65691162938418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6.9935897435897401</v>
      </c>
      <c r="AI111" s="13">
        <f>IF('Données projet'!$A$62&gt;35,AI110+AH111-AQ110,IF(A111&lt;'Données projet'!$A$62,$AF$205^A111,IF(A111='Données projet'!$A$62,'Données projet'!$B$62,AI110+AH111-AQ110)))</f>
        <v>333.17307692307725</v>
      </c>
      <c r="AJ111" s="13">
        <f>AI111*VLOOKUP('Données projet'!$B$10,Paramètres!$A$1:$I$89,3,0)*VLOOKUP('Données projet'!$B$10,Paramètres!$A$1:$I$89,5,0)</f>
        <v>332.64000000000038</v>
      </c>
      <c r="AK111" s="13">
        <f t="shared" si="89"/>
        <v>77.977392441438141</v>
      </c>
      <c r="AL111" s="20">
        <f t="shared" si="58"/>
        <v>715.15862516883874</v>
      </c>
      <c r="AM111" s="59">
        <f t="shared" si="59"/>
        <v>1008.4919585021721</v>
      </c>
      <c r="AN111" s="59">
        <f ca="1">AVERAGE(OFFSET($AM$3,0,0,'Données projet'!$E$10+1,1))-AVERAGE(OFFSET($H$3,0,0,'Données projet'!$E$10+1,1))</f>
        <v>306.38046634523579</v>
      </c>
      <c r="AO111" s="59">
        <f t="shared" si="90"/>
        <v>229.77251296097705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45.375224345458143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45.375224345458143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6.9935897435897401</v>
      </c>
      <c r="BD111" s="12">
        <f>IF('Données projet'!$A$88&gt;35,BD110+BC111-BL110,IF(A111&lt;'Données projet'!$A$88,$BA$205^A111,IF(A111='Données projet'!$A$88,'Données projet'!$B$88,BD110+BC111-BL110)))</f>
        <v>333.17307692307725</v>
      </c>
      <c r="BE111" s="13">
        <f>BD111*VLOOKUP('Données projet'!$B$11,Paramètres!$A$1:$I$89,3,0)*VLOOKUP('Données projet'!$B$11,Paramètres!$A$1:$I$89,5,0)</f>
        <v>337.83750000000038</v>
      </c>
      <c r="BF111" s="13">
        <f t="shared" si="91"/>
        <v>79.052994451033314</v>
      </c>
      <c r="BG111" s="20">
        <f t="shared" si="61"/>
        <v>726.08427783555044</v>
      </c>
      <c r="BH111" s="59">
        <f t="shared" si="62"/>
        <v>1019.4176111688837</v>
      </c>
      <c r="BI111" s="59">
        <f ca="1">AVERAGE(OFFSET($BH$3,0,0,'Données projet'!$E$11+1,1))-AVERAGE(OFFSET($H$3,0,0,'Données projet'!$E$11+1,1))</f>
        <v>312.29056285877169</v>
      </c>
      <c r="BJ111" s="59">
        <f t="shared" si="92"/>
        <v>233.85454224241693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46.084212225855936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46.084212225855936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266.99999999999983</v>
      </c>
      <c r="BZ111" s="13">
        <f>BY111*VLOOKUP('Données projet'!$B$12,Paramètres!$A$1:$I$89,3,0)*VLOOKUP('Données projet'!$B$12,Paramètres!$A$1:$I$89,5,0)</f>
        <v>212.42519999999985</v>
      </c>
      <c r="CA111" s="13">
        <f t="shared" si="93"/>
        <v>52.465198231787184</v>
      </c>
      <c r="CB111" s="20">
        <f t="shared" si="64"/>
        <v>461.35077692036231</v>
      </c>
      <c r="CC111" s="59">
        <f t="shared" si="65"/>
        <v>754.68411025369562</v>
      </c>
      <c r="CD111" s="59">
        <f ca="1">AVERAGE(OFFSET($CC$3,0,0,'Données projet'!$E$12+1,1))-AVERAGE(OFFSET($H$3,0,0,'Données projet'!$E$12+1,1))</f>
        <v>219.43439115440339</v>
      </c>
      <c r="CE111" s="59">
        <f t="shared" si="94"/>
        <v>217.8880462742099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16.536272160751068</v>
      </c>
      <c r="CL111" s="21">
        <f>EXP(-LN(2)/25)*CL110+(1-EXP(-LN(2)/25))/(LN(2)/25)*Calculateur!CG111*Calculateur!CI111*VLOOKUP('Données projet'!$B$12,Paramètres!$A$1:$I$89,3,0)*0.475*44/12</f>
        <v>3.8320847623739276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20.368356923124995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261.10917418234862</v>
      </c>
      <c r="T112" s="59">
        <f t="shared" si="88"/>
        <v>327.65691162938418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340.16666666666663</v>
      </c>
      <c r="AG112" s="12">
        <f>VLOOKUP(A112,'Données projet'!$A$61:$I$81,9,0)</f>
        <v>6.9935897435897401</v>
      </c>
      <c r="AH112" s="12">
        <f t="array" ref="AH112">INDEX(AG:AG,MIN(IF(ISNUMBER(AG112:AG308),ROW(AG112:AG308),"")))</f>
        <v>6.9935897435897401</v>
      </c>
      <c r="AI112" s="13">
        <f>IF('Données projet'!$A$62&gt;35,AI111+AH112-AQ111,IF(A112&lt;'Données projet'!$A$62,$AF$205^A112,IF(A112='Données projet'!$A$62,'Données projet'!$B$62,AI111+AH112-AQ111)))</f>
        <v>340.16666666666697</v>
      </c>
      <c r="AJ112" s="13">
        <f>AI112*VLOOKUP('Données projet'!$B$10,Paramètres!$A$1:$I$89,3,0)*VLOOKUP('Données projet'!$B$10,Paramètres!$A$1:$I$89,5,0)</f>
        <v>339.62240000000031</v>
      </c>
      <c r="AK112" s="13">
        <f t="shared" si="89"/>
        <v>79.421926826426429</v>
      </c>
      <c r="AL112" s="20">
        <f t="shared" si="58"/>
        <v>729.8355358893599</v>
      </c>
      <c r="AM112" s="59">
        <f t="shared" si="59"/>
        <v>1023.1688692226933</v>
      </c>
      <c r="AN112" s="59">
        <f ca="1">AVERAGE(OFFSET($AM$3,0,0,'Données projet'!$E$10+1,1))-AVERAGE(OFFSET($H$3,0,0,'Données projet'!$E$10+1,1))</f>
        <v>306.38046634523579</v>
      </c>
      <c r="AO112" s="59">
        <f t="shared" si="90"/>
        <v>229.77251296097705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51.28846153846154</v>
      </c>
      <c r="AR112" s="16">
        <f>IF(ISNA(VLOOKUP(A112,'Données projet'!$A$61:$I$81,5,0)),0%,VLOOKUP(A112,'Données projet'!$A$61:$I$81,5,0)*VLOOKUP('Données projet'!$B$10,Paramètres!$A$1:$I$89,7,0))</f>
        <v>0.38700000000000001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66.392414189451486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66.392414189451486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340.16666666666663</v>
      </c>
      <c r="BB112" s="12">
        <f>VLOOKUP(A112,'Données projet'!$A$87:$I$107,9,0)</f>
        <v>6.9935897435897401</v>
      </c>
      <c r="BC112" s="12">
        <f t="array" ref="BC112">INDEX(BB:BB,MIN(IF(ISNUMBER(BB112:BB308),ROW(BB112:BB308),"")))</f>
        <v>6.9935897435897401</v>
      </c>
      <c r="BD112" s="12">
        <f>IF('Données projet'!$A$88&gt;35,BD111+BC112-BL111,IF(A112&lt;'Données projet'!$A$88,$BA$205^A112,IF(A112='Données projet'!$A$88,'Données projet'!$B$88,BD111+BC112-BL111)))</f>
        <v>340.16666666666697</v>
      </c>
      <c r="BE112" s="13">
        <f>BD112*VLOOKUP('Données projet'!$B$11,Paramètres!$A$1:$I$89,3,0)*VLOOKUP('Données projet'!$B$11,Paramètres!$A$1:$I$89,5,0)</f>
        <v>344.92900000000037</v>
      </c>
      <c r="BF112" s="13">
        <f t="shared" si="91"/>
        <v>80.51745440725162</v>
      </c>
      <c r="BG112" s="20">
        <f t="shared" si="61"/>
        <v>740.98590809263044</v>
      </c>
      <c r="BH112" s="59">
        <f t="shared" si="62"/>
        <v>1034.3192414259638</v>
      </c>
      <c r="BI112" s="59">
        <f ca="1">AVERAGE(OFFSET($BH$3,0,0,'Données projet'!$E$11+1,1))-AVERAGE(OFFSET($H$3,0,0,'Données projet'!$E$11+1,1))</f>
        <v>312.29056285877169</v>
      </c>
      <c r="BJ112" s="59">
        <f t="shared" si="92"/>
        <v>233.85454224241693</v>
      </c>
      <c r="BK112" s="15">
        <f>IF(ISNA(VLOOKUP(A112,'Données projet'!$A$87:$I$107,3,0)),0,VLOOKUP(A112,'Données projet'!$A$87:$I$107,3,0))</f>
        <v>10</v>
      </c>
      <c r="BL112" s="15">
        <f>IF(ISNA(VLOOKUP(A112,'Données projet'!$A$87:$I$107,4,0)),0,VLOOKUP(A112,'Données projet'!$A$87:$I$107,4,0))</f>
        <v>51.28846153846154</v>
      </c>
      <c r="BM112" s="16">
        <f>IF(ISNA(VLOOKUP(A112,'Données projet'!$A$87:$I$107,5,0)),0%,VLOOKUP(A112,'Données projet'!$A$87:$I$107,5,0)*VLOOKUP('Données projet'!$B$11,Paramètres!$A$1:$I$89,7,0))</f>
        <v>0.38700000000000001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67.429795661161677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67.429795661161677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266.99999999999983</v>
      </c>
      <c r="BZ112" s="13">
        <f>BY112*VLOOKUP('Données projet'!$B$12,Paramètres!$A$1:$I$89,3,0)*VLOOKUP('Données projet'!$B$12,Paramètres!$A$1:$I$89,5,0)</f>
        <v>212.42519999999985</v>
      </c>
      <c r="CA112" s="13">
        <f t="shared" si="93"/>
        <v>52.465198231787184</v>
      </c>
      <c r="CB112" s="20">
        <f t="shared" si="64"/>
        <v>461.35077692036231</v>
      </c>
      <c r="CC112" s="59">
        <f t="shared" si="65"/>
        <v>754.68411025369562</v>
      </c>
      <c r="CD112" s="59">
        <f ca="1">AVERAGE(OFFSET($CC$3,0,0,'Données projet'!$E$12+1,1))-AVERAGE(OFFSET($H$3,0,0,'Données projet'!$E$12+1,1))</f>
        <v>219.43439115440339</v>
      </c>
      <c r="CE112" s="59">
        <f t="shared" si="94"/>
        <v>217.8880462742099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16.212005949808834</v>
      </c>
      <c r="CL112" s="21">
        <f>EXP(-LN(2)/25)*CL111+(1-EXP(-LN(2)/25))/(LN(2)/25)*Calculateur!CG112*Calculateur!CI112*VLOOKUP('Données projet'!$B$12,Paramètres!$A$1:$I$89,3,0)*0.475*44/12</f>
        <v>3.7272962030262331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19.939302152835069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261.10917418234862</v>
      </c>
      <c r="T113" s="59">
        <f t="shared" si="88"/>
        <v>327.65691162938418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6.8461538461538511</v>
      </c>
      <c r="AI113" s="13">
        <f>IF('Données projet'!$A$62&gt;35,AI112+AH113-AQ112,IF(A113&lt;'Données projet'!$A$62,$AF$205^A113,IF(A113='Données projet'!$A$62,'Données projet'!$B$62,AI112+AH113-AQ112)))</f>
        <v>295.72435897435929</v>
      </c>
      <c r="AJ113" s="13">
        <f>AI113*VLOOKUP('Données projet'!$B$10,Paramètres!$A$1:$I$89,3,0)*VLOOKUP('Données projet'!$B$10,Paramètres!$A$1:$I$89,5,0)</f>
        <v>295.25120000000032</v>
      </c>
      <c r="AK113" s="13">
        <f t="shared" si="89"/>
        <v>70.180009994034862</v>
      </c>
      <c r="AL113" s="20">
        <f t="shared" si="58"/>
        <v>636.45935740627795</v>
      </c>
      <c r="AM113" s="59">
        <f t="shared" si="59"/>
        <v>929.79269073961132</v>
      </c>
      <c r="AN113" s="59">
        <f ca="1">AVERAGE(OFFSET($AM$3,0,0,'Données projet'!$E$10+1,1))-AVERAGE(OFFSET($H$3,0,0,'Données projet'!$E$10+1,1))</f>
        <v>306.38046634523579</v>
      </c>
      <c r="AO113" s="59">
        <f t="shared" si="90"/>
        <v>229.77251296097705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65.090499442570419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65.090499442570419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6.8461538461538511</v>
      </c>
      <c r="BD113" s="12">
        <f>IF('Données projet'!$A$88&gt;35,BD112+BC113-BL112,IF(A113&lt;'Données projet'!$A$88,$BA$205^A113,IF(A113='Données projet'!$A$88,'Données projet'!$B$88,BD112+BC113-BL112)))</f>
        <v>295.72435897435929</v>
      </c>
      <c r="BE113" s="13">
        <f>BD113*VLOOKUP('Données projet'!$B$11,Paramètres!$A$1:$I$89,3,0)*VLOOKUP('Données projet'!$B$11,Paramètres!$A$1:$I$89,5,0)</f>
        <v>299.86450000000036</v>
      </c>
      <c r="BF113" s="13">
        <f t="shared" si="91"/>
        <v>71.148056724241755</v>
      </c>
      <c r="BG113" s="20">
        <f t="shared" si="61"/>
        <v>646.18020296138832</v>
      </c>
      <c r="BH113" s="59">
        <f t="shared" si="62"/>
        <v>939.51353629472169</v>
      </c>
      <c r="BI113" s="59">
        <f ca="1">AVERAGE(OFFSET($BH$3,0,0,'Données projet'!$E$11+1,1))-AVERAGE(OFFSET($H$3,0,0,'Données projet'!$E$11+1,1))</f>
        <v>312.29056285877169</v>
      </c>
      <c r="BJ113" s="59">
        <f t="shared" si="92"/>
        <v>233.85454224241693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66.10753849636059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66.10753849636059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266.99999999999983</v>
      </c>
      <c r="BZ113" s="13">
        <f>BY113*VLOOKUP('Données projet'!$B$12,Paramètres!$A$1:$I$89,3,0)*VLOOKUP('Données projet'!$B$12,Paramètres!$A$1:$I$89,5,0)</f>
        <v>212.42519999999985</v>
      </c>
      <c r="CA113" s="13">
        <f t="shared" si="93"/>
        <v>52.465198231787184</v>
      </c>
      <c r="CB113" s="20">
        <f t="shared" si="64"/>
        <v>461.35077692036231</v>
      </c>
      <c r="CC113" s="59">
        <f t="shared" si="65"/>
        <v>754.68411025369562</v>
      </c>
      <c r="CD113" s="59">
        <f ca="1">AVERAGE(OFFSET($CC$3,0,0,'Données projet'!$E$12+1,1))-AVERAGE(OFFSET($H$3,0,0,'Données projet'!$E$12+1,1))</f>
        <v>219.43439115440339</v>
      </c>
      <c r="CE113" s="59">
        <f t="shared" si="94"/>
        <v>217.8880462742099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15.894098401480319</v>
      </c>
      <c r="CL113" s="21">
        <f>EXP(-LN(2)/25)*CL112+(1-EXP(-LN(2)/25))/(LN(2)/25)*Calculateur!CG113*Calculateur!CI113*VLOOKUP('Données projet'!$B$12,Paramètres!$A$1:$I$89,3,0)*0.475*44/12</f>
        <v>3.6253730923444922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19.51947149382481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261.10917418234862</v>
      </c>
      <c r="T114" s="59">
        <f t="shared" si="88"/>
        <v>327.65691162938418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6.8461538461538511</v>
      </c>
      <c r="AI114" s="13">
        <f>IF('Données projet'!$A$62&gt;35,AI113+AH114-AQ113,IF(A114&lt;'Données projet'!$A$62,$AF$205^A114,IF(A114='Données projet'!$A$62,'Données projet'!$B$62,AI113+AH114-AQ113)))</f>
        <v>302.57051282051316</v>
      </c>
      <c r="AJ114" s="13">
        <f>AI114*VLOOKUP('Données projet'!$B$10,Paramètres!$A$1:$I$89,3,0)*VLOOKUP('Données projet'!$B$10,Paramètres!$A$1:$I$89,5,0)</f>
        <v>302.08640000000037</v>
      </c>
      <c r="AK114" s="13">
        <f t="shared" si="89"/>
        <v>71.613676473198524</v>
      </c>
      <c r="AL114" s="20">
        <f t="shared" si="58"/>
        <v>650.86096652415483</v>
      </c>
      <c r="AM114" s="59">
        <f t="shared" si="59"/>
        <v>944.1942998574882</v>
      </c>
      <c r="AN114" s="59">
        <f ca="1">AVERAGE(OFFSET($AM$3,0,0,'Données projet'!$E$10+1,1))-AVERAGE(OFFSET($H$3,0,0,'Données projet'!$E$10+1,1))</f>
        <v>306.38046634523579</v>
      </c>
      <c r="AO114" s="59">
        <f t="shared" si="90"/>
        <v>229.77251296097705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63.814114449786096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63.814114449786096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6.8461538461538511</v>
      </c>
      <c r="BD114" s="12">
        <f>IF('Données projet'!$A$88&gt;35,BD113+BC114-BL113,IF(A114&lt;'Données projet'!$A$88,$BA$205^A114,IF(A114='Données projet'!$A$88,'Données projet'!$B$88,BD113+BC114-BL113)))</f>
        <v>302.57051282051316</v>
      </c>
      <c r="BE114" s="13">
        <f>BD114*VLOOKUP('Données projet'!$B$11,Paramètres!$A$1:$I$89,3,0)*VLOOKUP('Données projet'!$B$11,Paramètres!$A$1:$I$89,5,0)</f>
        <v>306.80650000000037</v>
      </c>
      <c r="BF114" s="13">
        <f t="shared" si="91"/>
        <v>72.601498865270955</v>
      </c>
      <c r="BG114" s="20">
        <f t="shared" si="61"/>
        <v>660.80226469034744</v>
      </c>
      <c r="BH114" s="59">
        <f t="shared" si="62"/>
        <v>954.13559802368081</v>
      </c>
      <c r="BI114" s="59">
        <f ca="1">AVERAGE(OFFSET($BH$3,0,0,'Données projet'!$E$11+1,1))-AVERAGE(OFFSET($H$3,0,0,'Données projet'!$E$11+1,1))</f>
        <v>312.29056285877169</v>
      </c>
      <c r="BJ114" s="59">
        <f t="shared" si="92"/>
        <v>233.85454224241693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64.811209988064007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64.811209988064007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266.99999999999983</v>
      </c>
      <c r="BZ114" s="13">
        <f>BY114*VLOOKUP('Données projet'!$B$12,Paramètres!$A$1:$I$89,3,0)*VLOOKUP('Données projet'!$B$12,Paramètres!$A$1:$I$89,5,0)</f>
        <v>212.42519999999985</v>
      </c>
      <c r="CA114" s="13">
        <f t="shared" si="93"/>
        <v>52.465198231787184</v>
      </c>
      <c r="CB114" s="20">
        <f t="shared" si="64"/>
        <v>461.35077692036231</v>
      </c>
      <c r="CC114" s="59">
        <f t="shared" si="65"/>
        <v>754.68411025369562</v>
      </c>
      <c r="CD114" s="59">
        <f ca="1">AVERAGE(OFFSET($CC$3,0,0,'Données projet'!$E$12+1,1))-AVERAGE(OFFSET($H$3,0,0,'Données projet'!$E$12+1,1))</f>
        <v>219.43439115440339</v>
      </c>
      <c r="CE114" s="59">
        <f t="shared" si="94"/>
        <v>217.8880462742099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15.582424826270067</v>
      </c>
      <c r="CL114" s="21">
        <f>EXP(-LN(2)/25)*CL113+(1-EXP(-LN(2)/25))/(LN(2)/25)*Calculateur!CG114*Calculateur!CI114*VLOOKUP('Données projet'!$B$12,Paramètres!$A$1:$I$89,3,0)*0.475*44/12</f>
        <v>3.5262370744842473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19.108661900754313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261.10917418234862</v>
      </c>
      <c r="T115" s="59">
        <f t="shared" si="88"/>
        <v>327.65691162938418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6.8461538461538511</v>
      </c>
      <c r="AI115" s="13">
        <f>IF('Données projet'!$A$62&gt;35,AI114+AH115-AQ114,IF(A115&lt;'Données projet'!$A$62,$AF$205^A115,IF(A115='Données projet'!$A$62,'Données projet'!$B$62,AI114+AH115-AQ114)))</f>
        <v>309.41666666666703</v>
      </c>
      <c r="AJ115" s="13">
        <f>AI115*VLOOKUP('Données projet'!$B$10,Paramètres!$A$1:$I$89,3,0)*VLOOKUP('Données projet'!$B$10,Paramètres!$A$1:$I$89,5,0)</f>
        <v>308.92160000000035</v>
      </c>
      <c r="AK115" s="13">
        <f t="shared" si="89"/>
        <v>73.043571674347589</v>
      </c>
      <c r="AL115" s="20">
        <f t="shared" si="58"/>
        <v>665.25600733282261</v>
      </c>
      <c r="AM115" s="59">
        <f t="shared" si="59"/>
        <v>958.58934066615598</v>
      </c>
      <c r="AN115" s="59">
        <f ca="1">AVERAGE(OFFSET($AM$3,0,0,'Données projet'!$E$10+1,1))-AVERAGE(OFFSET($H$3,0,0,'Données projet'!$E$10+1,1))</f>
        <v>306.38046634523579</v>
      </c>
      <c r="AO115" s="59">
        <f t="shared" si="90"/>
        <v>229.77251296097705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62.562758588192303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62.562758588192303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6.8461538461538511</v>
      </c>
      <c r="BD115" s="12">
        <f>IF('Données projet'!$A$88&gt;35,BD114+BC115-BL114,IF(A115&lt;'Données projet'!$A$88,$BA$205^A115,IF(A115='Données projet'!$A$88,'Données projet'!$B$88,BD114+BC115-BL114)))</f>
        <v>309.41666666666703</v>
      </c>
      <c r="BE115" s="13">
        <f>BD115*VLOOKUP('Données projet'!$B$11,Paramètres!$A$1:$I$89,3,0)*VLOOKUP('Données projet'!$B$11,Paramètres!$A$1:$I$89,5,0)</f>
        <v>313.74850000000038</v>
      </c>
      <c r="BF115" s="13">
        <f t="shared" si="91"/>
        <v>74.051117708153953</v>
      </c>
      <c r="BG115" s="20">
        <f t="shared" si="61"/>
        <v>675.41766750836871</v>
      </c>
      <c r="BH115" s="59">
        <f t="shared" si="62"/>
        <v>968.75100084170208</v>
      </c>
      <c r="BI115" s="59">
        <f ca="1">AVERAGE(OFFSET($BH$3,0,0,'Données projet'!$E$11+1,1))-AVERAGE(OFFSET($H$3,0,0,'Données projet'!$E$11+1,1))</f>
        <v>312.29056285877169</v>
      </c>
      <c r="BJ115" s="59">
        <f t="shared" si="92"/>
        <v>233.85454224241693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63.540301691132811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63.540301691132811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266.99999999999983</v>
      </c>
      <c r="BZ115" s="13">
        <f>BY115*VLOOKUP('Données projet'!$B$12,Paramètres!$A$1:$I$89,3,0)*VLOOKUP('Données projet'!$B$12,Paramètres!$A$1:$I$89,5,0)</f>
        <v>212.42519999999985</v>
      </c>
      <c r="CA115" s="13">
        <f t="shared" si="93"/>
        <v>52.465198231787184</v>
      </c>
      <c r="CB115" s="20">
        <f t="shared" si="64"/>
        <v>461.35077692036231</v>
      </c>
      <c r="CC115" s="59">
        <f t="shared" si="65"/>
        <v>754.68411025369562</v>
      </c>
      <c r="CD115" s="59">
        <f ca="1">AVERAGE(OFFSET($CC$3,0,0,'Données projet'!$E$12+1,1))-AVERAGE(OFFSET($H$3,0,0,'Données projet'!$E$12+1,1))</f>
        <v>219.43439115440339</v>
      </c>
      <c r="CE115" s="59">
        <f t="shared" si="94"/>
        <v>217.8880462742099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15.276862979767579</v>
      </c>
      <c r="CL115" s="21">
        <f>EXP(-LN(2)/25)*CL114+(1-EXP(-LN(2)/25))/(LN(2)/25)*Calculateur!CG115*Calculateur!CI115*VLOOKUP('Données projet'!$B$12,Paramètres!$A$1:$I$89,3,0)*0.475*44/12</f>
        <v>3.4298119362457271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18.706674916013306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261.10917418234862</v>
      </c>
      <c r="T116" s="59">
        <f t="shared" si="88"/>
        <v>327.65691162938418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6.8461538461538511</v>
      </c>
      <c r="AI116" s="13">
        <f>IF('Données projet'!$A$62&gt;35,AI115+AH116-AQ115,IF(A116&lt;'Données projet'!$A$62,$AF$205^A116,IF(A116='Données projet'!$A$62,'Données projet'!$B$62,AI115+AH116-AQ115)))</f>
        <v>316.26282051282089</v>
      </c>
      <c r="AJ116" s="13">
        <f>AI116*VLOOKUP('Données projet'!$B$10,Paramètres!$A$1:$I$89,3,0)*VLOOKUP('Données projet'!$B$10,Paramètres!$A$1:$I$89,5,0)</f>
        <v>315.7568000000004</v>
      </c>
      <c r="AK116" s="13">
        <f t="shared" si="89"/>
        <v>74.469788649069812</v>
      </c>
      <c r="AL116" s="20">
        <f t="shared" si="58"/>
        <v>679.64464189713055</v>
      </c>
      <c r="AM116" s="59">
        <f t="shared" si="59"/>
        <v>972.97797523046393</v>
      </c>
      <c r="AN116" s="59">
        <f ca="1">AVERAGE(OFFSET($AM$3,0,0,'Données projet'!$E$10+1,1))-AVERAGE(OFFSET($H$3,0,0,'Données projet'!$E$10+1,1))</f>
        <v>306.38046634523579</v>
      </c>
      <c r="AO116" s="59">
        <f t="shared" si="90"/>
        <v>229.77251296097705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61.335941051792652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61.335941051792652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6.8461538461538511</v>
      </c>
      <c r="BD116" s="12">
        <f>IF('Données projet'!$A$88&gt;35,BD115+BC116-BL115,IF(A116&lt;'Données projet'!$A$88,$BA$205^A116,IF(A116='Données projet'!$A$88,'Données projet'!$B$88,BD115+BC116-BL115)))</f>
        <v>316.26282051282089</v>
      </c>
      <c r="BE116" s="13">
        <f>BD116*VLOOKUP('Données projet'!$B$11,Paramètres!$A$1:$I$89,3,0)*VLOOKUP('Données projet'!$B$11,Paramètres!$A$1:$I$89,5,0)</f>
        <v>320.69050000000038</v>
      </c>
      <c r="BF116" s="13">
        <f t="shared" si="91"/>
        <v>75.497007588010661</v>
      </c>
      <c r="BG116" s="20">
        <f t="shared" si="61"/>
        <v>690.02657571578584</v>
      </c>
      <c r="BH116" s="59">
        <f t="shared" si="62"/>
        <v>983.3599090491191</v>
      </c>
      <c r="BI116" s="59">
        <f ca="1">AVERAGE(OFFSET($BH$3,0,0,'Données projet'!$E$11+1,1))-AVERAGE(OFFSET($H$3,0,0,'Données projet'!$E$11+1,1))</f>
        <v>312.29056285877169</v>
      </c>
      <c r="BJ116" s="59">
        <f t="shared" si="92"/>
        <v>233.85454224241693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62.294315130726915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62.294315130726915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266.99999999999983</v>
      </c>
      <c r="BZ116" s="13">
        <f>BY116*VLOOKUP('Données projet'!$B$12,Paramètres!$A$1:$I$89,3,0)*VLOOKUP('Données projet'!$B$12,Paramètres!$A$1:$I$89,5,0)</f>
        <v>212.42519999999985</v>
      </c>
      <c r="CA116" s="13">
        <f t="shared" si="93"/>
        <v>52.465198231787184</v>
      </c>
      <c r="CB116" s="20">
        <f t="shared" si="64"/>
        <v>461.35077692036231</v>
      </c>
      <c r="CC116" s="59">
        <f t="shared" si="65"/>
        <v>754.68411025369562</v>
      </c>
      <c r="CD116" s="59">
        <f ca="1">AVERAGE(OFFSET($CC$3,0,0,'Données projet'!$E$12+1,1))-AVERAGE(OFFSET($H$3,0,0,'Données projet'!$E$12+1,1))</f>
        <v>219.43439115440339</v>
      </c>
      <c r="CE116" s="59">
        <f t="shared" si="94"/>
        <v>217.8880462742099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14.977293014700681</v>
      </c>
      <c r="CL116" s="21">
        <f>EXP(-LN(2)/25)*CL115+(1-EXP(-LN(2)/25))/(LN(2)/25)*Calculateur!CG116*Calculateur!CI116*VLOOKUP('Données projet'!$B$12,Paramètres!$A$1:$I$89,3,0)*0.475*44/12</f>
        <v>3.3360235484831171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18.313316563183797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261.10917418234862</v>
      </c>
      <c r="T117" s="59">
        <f t="shared" si="88"/>
        <v>327.65691162938418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6.8461538461538511</v>
      </c>
      <c r="AI117" s="13">
        <f>IF('Données projet'!$A$62&gt;35,AI116+AH117-AQ116,IF(A117&lt;'Données projet'!$A$62,$AF$205^A117,IF(A117='Données projet'!$A$62,'Données projet'!$B$62,AI116+AH117-AQ116)))</f>
        <v>323.10897435897476</v>
      </c>
      <c r="AJ117" s="13">
        <f>AI117*VLOOKUP('Données projet'!$B$10,Paramètres!$A$1:$I$89,3,0)*VLOOKUP('Données projet'!$B$10,Paramètres!$A$1:$I$89,5,0)</f>
        <v>322.59200000000044</v>
      </c>
      <c r="AK117" s="13">
        <f t="shared" si="89"/>
        <v>75.892416190273565</v>
      </c>
      <c r="AL117" s="20">
        <f t="shared" si="58"/>
        <v>694.0270248647272</v>
      </c>
      <c r="AM117" s="59">
        <f t="shared" si="59"/>
        <v>987.36035819806057</v>
      </c>
      <c r="AN117" s="59">
        <f ca="1">AVERAGE(OFFSET($AM$3,0,0,'Données projet'!$E$10+1,1))-AVERAGE(OFFSET($H$3,0,0,'Données projet'!$E$10+1,1))</f>
        <v>306.38046634523579</v>
      </c>
      <c r="AO117" s="59">
        <f t="shared" si="90"/>
        <v>229.77251296097705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60.133180658996984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60.133180658996984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6.8461538461538511</v>
      </c>
      <c r="BD117" s="12">
        <f>IF('Données projet'!$A$88&gt;35,BD116+BC117-BL116,IF(A117&lt;'Données projet'!$A$88,$BA$205^A117,IF(A117='Données projet'!$A$88,'Données projet'!$B$88,BD116+BC117-BL116)))</f>
        <v>323.10897435897476</v>
      </c>
      <c r="BE117" s="13">
        <f>BD117*VLOOKUP('Données projet'!$B$11,Paramètres!$A$1:$I$89,3,0)*VLOOKUP('Données projet'!$B$11,Paramètres!$A$1:$I$89,5,0)</f>
        <v>327.63250000000045</v>
      </c>
      <c r="BF117" s="13">
        <f t="shared" si="91"/>
        <v>76.939258522537983</v>
      </c>
      <c r="BG117" s="20">
        <f t="shared" si="61"/>
        <v>704.62914609342113</v>
      </c>
      <c r="BH117" s="59">
        <f t="shared" si="62"/>
        <v>997.9624794267545</v>
      </c>
      <c r="BI117" s="59">
        <f ca="1">AVERAGE(OFFSET($BH$3,0,0,'Données projet'!$E$11+1,1))-AVERAGE(OFFSET($H$3,0,0,'Données projet'!$E$11+1,1))</f>
        <v>312.29056285877169</v>
      </c>
      <c r="BJ117" s="59">
        <f t="shared" si="92"/>
        <v>233.85454224241693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61.072761606793819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61.072761606793819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266.99999999999983</v>
      </c>
      <c r="BZ117" s="13">
        <f>BY117*VLOOKUP('Données projet'!$B$12,Paramètres!$A$1:$I$89,3,0)*VLOOKUP('Données projet'!$B$12,Paramètres!$A$1:$I$89,5,0)</f>
        <v>212.42519999999985</v>
      </c>
      <c r="CA117" s="13">
        <f t="shared" si="93"/>
        <v>52.465198231787184</v>
      </c>
      <c r="CB117" s="20">
        <f t="shared" si="64"/>
        <v>461.35077692036231</v>
      </c>
      <c r="CC117" s="59">
        <f t="shared" si="65"/>
        <v>754.68411025369562</v>
      </c>
      <c r="CD117" s="59">
        <f ca="1">AVERAGE(OFFSET($CC$3,0,0,'Données projet'!$E$12+1,1))-AVERAGE(OFFSET($H$3,0,0,'Données projet'!$E$12+1,1))</f>
        <v>219.43439115440339</v>
      </c>
      <c r="CE117" s="59">
        <f t="shared" si="94"/>
        <v>217.8880462742099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14.683597433929108</v>
      </c>
      <c r="CL117" s="21">
        <f>EXP(-LN(2)/25)*CL116+(1-EXP(-LN(2)/25))/(LN(2)/25)*Calculateur!CG117*Calculateur!CI117*VLOOKUP('Données projet'!$B$12,Paramètres!$A$1:$I$89,3,0)*0.475*44/12</f>
        <v>3.2447998091159924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17.928397243045101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261.10917418234862</v>
      </c>
      <c r="T118" s="59">
        <f t="shared" si="88"/>
        <v>327.65691162938418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6.8461538461538511</v>
      </c>
      <c r="AI118" s="13">
        <f>IF('Données projet'!$A$62&gt;35,AI117+AH118-AQ117,IF(A118&lt;'Données projet'!$A$62,$AF$205^A118,IF(A118='Données projet'!$A$62,'Données projet'!$B$62,AI117+AH118-AQ117)))</f>
        <v>329.95512820512863</v>
      </c>
      <c r="AJ118" s="13">
        <f>AI118*VLOOKUP('Données projet'!$B$10,Paramètres!$A$1:$I$89,3,0)*VLOOKUP('Données projet'!$B$10,Paramètres!$A$1:$I$89,5,0)</f>
        <v>329.42720000000043</v>
      </c>
      <c r="AK118" s="13">
        <f t="shared" si="89"/>
        <v>77.311539113132639</v>
      </c>
      <c r="AL118" s="20">
        <f t="shared" si="58"/>
        <v>708.40330395537342</v>
      </c>
      <c r="AM118" s="59">
        <f t="shared" si="59"/>
        <v>1001.7366372887068</v>
      </c>
      <c r="AN118" s="59">
        <f ca="1">AVERAGE(OFFSET($AM$3,0,0,'Données projet'!$E$10+1,1))-AVERAGE(OFFSET($H$3,0,0,'Données projet'!$E$10+1,1))</f>
        <v>306.38046634523579</v>
      </c>
      <c r="AO118" s="59">
        <f t="shared" si="90"/>
        <v>229.77251296097705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58.954005663892644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58.954005663892644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6.8461538461538511</v>
      </c>
      <c r="BD118" s="12">
        <f>IF('Données projet'!$A$88&gt;35,BD117+BC118-BL117,IF(A118&lt;'Données projet'!$A$88,$BA$205^A118,IF(A118='Données projet'!$A$88,'Données projet'!$B$88,BD117+BC118-BL117)))</f>
        <v>329.95512820512863</v>
      </c>
      <c r="BE118" s="13">
        <f>BD118*VLOOKUP('Données projet'!$B$11,Paramètres!$A$1:$I$89,3,0)*VLOOKUP('Données projet'!$B$11,Paramètres!$A$1:$I$89,5,0)</f>
        <v>334.57450000000046</v>
      </c>
      <c r="BF118" s="13">
        <f t="shared" si="91"/>
        <v>78.377956496830535</v>
      </c>
      <c r="BG118" s="20">
        <f t="shared" si="61"/>
        <v>719.22552839864738</v>
      </c>
      <c r="BH118" s="59">
        <f t="shared" si="62"/>
        <v>1012.5588617319806</v>
      </c>
      <c r="BI118" s="59">
        <f ca="1">AVERAGE(OFFSET($BH$3,0,0,'Données projet'!$E$11+1,1))-AVERAGE(OFFSET($H$3,0,0,'Données projet'!$E$11+1,1))</f>
        <v>312.29056285877169</v>
      </c>
      <c r="BJ118" s="59">
        <f t="shared" si="92"/>
        <v>233.85454224241693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59.875162002390972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59.875162002390972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266.99999999999983</v>
      </c>
      <c r="BZ118" s="13">
        <f>BY118*VLOOKUP('Données projet'!$B$12,Paramètres!$A$1:$I$89,3,0)*VLOOKUP('Données projet'!$B$12,Paramètres!$A$1:$I$89,5,0)</f>
        <v>212.42519999999985</v>
      </c>
      <c r="CA118" s="13">
        <f t="shared" si="93"/>
        <v>52.465198231787184</v>
      </c>
      <c r="CB118" s="20">
        <f t="shared" si="64"/>
        <v>461.35077692036231</v>
      </c>
      <c r="CC118" s="59">
        <f t="shared" si="65"/>
        <v>754.68411025369562</v>
      </c>
      <c r="CD118" s="59">
        <f ca="1">AVERAGE(OFFSET($CC$3,0,0,'Données projet'!$E$12+1,1))-AVERAGE(OFFSET($H$3,0,0,'Données projet'!$E$12+1,1))</f>
        <v>219.43439115440339</v>
      </c>
      <c r="CE118" s="59">
        <f t="shared" si="94"/>
        <v>217.8880462742099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14.395661044359851</v>
      </c>
      <c r="CL118" s="21">
        <f>EXP(-LN(2)/25)*CL117+(1-EXP(-LN(2)/25))/(LN(2)/25)*Calculateur!CG118*Calculateur!CI118*VLOOKUP('Données projet'!$B$12,Paramètres!$A$1:$I$89,3,0)*0.475*44/12</f>
        <v>3.1560705876991095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17.55173163205896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261.10917418234862</v>
      </c>
      <c r="T119" s="59">
        <f t="shared" si="88"/>
        <v>327.65691162938418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6.8461538461538511</v>
      </c>
      <c r="AI119" s="13">
        <f>IF('Données projet'!$A$62&gt;35,AI118+AH119-AQ118,IF(A119&lt;'Données projet'!$A$62,$AF$205^A119,IF(A119='Données projet'!$A$62,'Données projet'!$B$62,AI118+AH119-AQ118)))</f>
        <v>336.8012820512825</v>
      </c>
      <c r="AJ119" s="13">
        <f>AI119*VLOOKUP('Données projet'!$B$10,Paramètres!$A$1:$I$89,3,0)*VLOOKUP('Données projet'!$B$10,Paramètres!$A$1:$I$89,5,0)</f>
        <v>336.26240000000047</v>
      </c>
      <c r="AK119" s="13">
        <f t="shared" si="89"/>
        <v>78.72723851205518</v>
      </c>
      <c r="AL119" s="20">
        <f t="shared" si="58"/>
        <v>722.77362040849687</v>
      </c>
      <c r="AM119" s="59">
        <f t="shared" si="59"/>
        <v>1016.1069537418302</v>
      </c>
      <c r="AN119" s="59">
        <f ca="1">AVERAGE(OFFSET($AM$3,0,0,'Données projet'!$E$10+1,1))-AVERAGE(OFFSET($H$3,0,0,'Données projet'!$E$10+1,1))</f>
        <v>306.38046634523579</v>
      </c>
      <c r="AO119" s="59">
        <f t="shared" si="90"/>
        <v>229.77251296097705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57.797953571216567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57.797953571216567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6.8461538461538511</v>
      </c>
      <c r="BD119" s="12">
        <f>IF('Données projet'!$A$88&gt;35,BD118+BC119-BL118,IF(A119&lt;'Données projet'!$A$88,$BA$205^A119,IF(A119='Données projet'!$A$88,'Données projet'!$B$88,BD118+BC119-BL118)))</f>
        <v>336.8012820512825</v>
      </c>
      <c r="BE119" s="13">
        <f>BD119*VLOOKUP('Données projet'!$B$11,Paramètres!$A$1:$I$89,3,0)*VLOOKUP('Données projet'!$B$11,Paramètres!$A$1:$I$89,5,0)</f>
        <v>341.51650000000046</v>
      </c>
      <c r="BF119" s="13">
        <f t="shared" si="91"/>
        <v>79.813183723893872</v>
      </c>
      <c r="BG119" s="20">
        <f t="shared" si="61"/>
        <v>733.81586581911597</v>
      </c>
      <c r="BH119" s="59">
        <f t="shared" si="62"/>
        <v>1027.1491991524492</v>
      </c>
      <c r="BI119" s="59">
        <f ca="1">AVERAGE(OFFSET($BH$3,0,0,'Données projet'!$E$11+1,1))-AVERAGE(OFFSET($H$3,0,0,'Données projet'!$E$11+1,1))</f>
        <v>312.29056285877169</v>
      </c>
      <c r="BJ119" s="59">
        <f t="shared" si="92"/>
        <v>233.85454224241693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58.701046595766833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58.701046595766833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266.99999999999983</v>
      </c>
      <c r="BZ119" s="13">
        <f>BY119*VLOOKUP('Données projet'!$B$12,Paramètres!$A$1:$I$89,3,0)*VLOOKUP('Données projet'!$B$12,Paramètres!$A$1:$I$89,5,0)</f>
        <v>212.42519999999985</v>
      </c>
      <c r="CA119" s="13">
        <f t="shared" si="93"/>
        <v>52.465198231787184</v>
      </c>
      <c r="CB119" s="20">
        <f t="shared" si="64"/>
        <v>461.35077692036231</v>
      </c>
      <c r="CC119" s="59">
        <f t="shared" si="65"/>
        <v>754.68411025369562</v>
      </c>
      <c r="CD119" s="59">
        <f ca="1">AVERAGE(OFFSET($CC$3,0,0,'Données projet'!$E$12+1,1))-AVERAGE(OFFSET($H$3,0,0,'Données projet'!$E$12+1,1))</f>
        <v>219.43439115440339</v>
      </c>
      <c r="CE119" s="59">
        <f t="shared" si="94"/>
        <v>217.8880462742099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14.113370911766191</v>
      </c>
      <c r="CL119" s="21">
        <f>EXP(-LN(2)/25)*CL118+(1-EXP(-LN(2)/25))/(LN(2)/25)*Calculateur!CG119*Calculateur!CI119*VLOOKUP('Données projet'!$B$12,Paramètres!$A$1:$I$89,3,0)*0.475*44/12</f>
        <v>3.0697676715079383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17.183138583274129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261.10917418234862</v>
      </c>
      <c r="T120" s="59">
        <f t="shared" si="88"/>
        <v>327.65691162938418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6.8461538461538511</v>
      </c>
      <c r="AI120" s="13">
        <f>IF('Données projet'!$A$62&gt;35,AI119+AH120-AQ119,IF(A120&lt;'Données projet'!$A$62,$AF$205^A120,IF(A120='Données projet'!$A$62,'Données projet'!$B$62,AI119+AH120-AQ119)))</f>
        <v>343.64743589743637</v>
      </c>
      <c r="AJ120" s="13">
        <f>AI120*VLOOKUP('Données projet'!$B$10,Paramètres!$A$1:$I$89,3,0)*VLOOKUP('Données projet'!$B$10,Paramètres!$A$1:$I$89,5,0)</f>
        <v>343.09760000000045</v>
      </c>
      <c r="AK120" s="13">
        <f t="shared" si="89"/>
        <v>80.13959199616977</v>
      </c>
      <c r="AL120" s="20">
        <f t="shared" si="58"/>
        <v>737.13810939332973</v>
      </c>
      <c r="AM120" s="59">
        <f t="shared" si="59"/>
        <v>1030.4714427266631</v>
      </c>
      <c r="AN120" s="59">
        <f ca="1">AVERAGE(OFFSET($AM$3,0,0,'Données projet'!$E$10+1,1))-AVERAGE(OFFSET($H$3,0,0,'Données projet'!$E$10+1,1))</f>
        <v>306.38046634523579</v>
      </c>
      <c r="AO120" s="59">
        <f t="shared" si="90"/>
        <v>229.77251296097705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56.664570954955714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56.664570954955714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6.8461538461538511</v>
      </c>
      <c r="BD120" s="12">
        <f>IF('Données projet'!$A$88&gt;35,BD119+BC120-BL119,IF(A120&lt;'Données projet'!$A$88,$BA$205^A120,IF(A120='Données projet'!$A$88,'Données projet'!$B$88,BD119+BC120-BL119)))</f>
        <v>343.64743589743637</v>
      </c>
      <c r="BE120" s="13">
        <f>BD120*VLOOKUP('Données projet'!$B$11,Paramètres!$A$1:$I$89,3,0)*VLOOKUP('Données projet'!$B$11,Paramètres!$A$1:$I$89,5,0)</f>
        <v>348.45850000000053</v>
      </c>
      <c r="BF120" s="13">
        <f t="shared" si="91"/>
        <v>81.245018883378833</v>
      </c>
      <c r="BG120" s="20">
        <f t="shared" si="61"/>
        <v>748.40029538855242</v>
      </c>
      <c r="BH120" s="59">
        <f t="shared" si="62"/>
        <v>1041.7336287218857</v>
      </c>
      <c r="BI120" s="59">
        <f ca="1">AVERAGE(OFFSET($BH$3,0,0,'Données projet'!$E$11+1,1))-AVERAGE(OFFSET($H$3,0,0,'Données projet'!$E$11+1,1))</f>
        <v>312.29056285877169</v>
      </c>
      <c r="BJ120" s="59">
        <f t="shared" si="92"/>
        <v>233.85454224241693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57.549954876126904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57.549954876126904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266.99999999999983</v>
      </c>
      <c r="BZ120" s="13">
        <f>BY120*VLOOKUP('Données projet'!$B$12,Paramètres!$A$1:$I$89,3,0)*VLOOKUP('Données projet'!$B$12,Paramètres!$A$1:$I$89,5,0)</f>
        <v>212.42519999999985</v>
      </c>
      <c r="CA120" s="13">
        <f t="shared" si="93"/>
        <v>52.465198231787184</v>
      </c>
      <c r="CB120" s="20">
        <f t="shared" si="64"/>
        <v>461.35077692036231</v>
      </c>
      <c r="CC120" s="59">
        <f t="shared" si="65"/>
        <v>754.68411025369562</v>
      </c>
      <c r="CD120" s="59">
        <f ca="1">AVERAGE(OFFSET($CC$3,0,0,'Données projet'!$E$12+1,1))-AVERAGE(OFFSET($H$3,0,0,'Données projet'!$E$12+1,1))</f>
        <v>219.43439115440339</v>
      </c>
      <c r="CE120" s="59">
        <f t="shared" si="94"/>
        <v>217.8880462742099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13.836616316492712</v>
      </c>
      <c r="CL120" s="21">
        <f>EXP(-LN(2)/25)*CL119+(1-EXP(-LN(2)/25))/(LN(2)/25)*Calculateur!CG120*Calculateur!CI120*VLOOKUP('Données projet'!$B$12,Paramètres!$A$1:$I$89,3,0)*0.475*44/12</f>
        <v>2.9858247130984878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16.8224410295912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261.10917418234862</v>
      </c>
      <c r="T121" s="59">
        <f t="shared" si="88"/>
        <v>327.65691162938418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6.8461538461538511</v>
      </c>
      <c r="AI121" s="13">
        <f>IF('Données projet'!$A$62&gt;35,AI120+AH121-AQ120,IF(A121&lt;'Données projet'!$A$62,$AF$205^A121,IF(A121='Données projet'!$A$62,'Données projet'!$B$62,AI120+AH121-AQ120)))</f>
        <v>350.49358974359023</v>
      </c>
      <c r="AJ121" s="13">
        <f>AI121*VLOOKUP('Données projet'!$B$10,Paramètres!$A$1:$I$89,3,0)*VLOOKUP('Données projet'!$B$10,Paramètres!$A$1:$I$89,5,0)</f>
        <v>349.93280000000055</v>
      </c>
      <c r="AK121" s="13">
        <f t="shared" si="89"/>
        <v>81.548673905515344</v>
      </c>
      <c r="AL121" s="20">
        <f t="shared" si="58"/>
        <v>751.4969003854402</v>
      </c>
      <c r="AM121" s="59">
        <f t="shared" si="59"/>
        <v>1044.8302337187736</v>
      </c>
      <c r="AN121" s="59">
        <f ca="1">AVERAGE(OFFSET($AM$3,0,0,'Données projet'!$E$10+1,1))-AVERAGE(OFFSET($H$3,0,0,'Données projet'!$E$10+1,1))</f>
        <v>306.38046634523579</v>
      </c>
      <c r="AO121" s="59">
        <f t="shared" si="90"/>
        <v>229.77251296097705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55.5534132805046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55.5534132805046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6.8461538461538511</v>
      </c>
      <c r="BD121" s="12">
        <f>IF('Données projet'!$A$88&gt;35,BD120+BC121-BL120,IF(A121&lt;'Données projet'!$A$88,$BA$205^A121,IF(A121='Données projet'!$A$88,'Données projet'!$B$88,BD120+BC121-BL120)))</f>
        <v>350.49358974359023</v>
      </c>
      <c r="BE121" s="13">
        <f>BD121*VLOOKUP('Données projet'!$B$11,Paramètres!$A$1:$I$89,3,0)*VLOOKUP('Données projet'!$B$11,Paramètres!$A$1:$I$89,5,0)</f>
        <v>355.40050000000053</v>
      </c>
      <c r="BF121" s="13">
        <f t="shared" si="91"/>
        <v>82.673537340753484</v>
      </c>
      <c r="BG121" s="20">
        <f t="shared" si="61"/>
        <v>762.97894836847979</v>
      </c>
      <c r="BH121" s="59">
        <f t="shared" si="62"/>
        <v>1056.3122817018132</v>
      </c>
      <c r="BI121" s="59">
        <f ca="1">AVERAGE(OFFSET($BH$3,0,0,'Données projet'!$E$11+1,1))-AVERAGE(OFFSET($H$3,0,0,'Données projet'!$E$11+1,1))</f>
        <v>312.29056285877169</v>
      </c>
      <c r="BJ121" s="59">
        <f t="shared" si="92"/>
        <v>233.85454224241693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56.421435363012492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56.421435363012492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266.99999999999983</v>
      </c>
      <c r="BZ121" s="13">
        <f>BY121*VLOOKUP('Données projet'!$B$12,Paramètres!$A$1:$I$89,3,0)*VLOOKUP('Données projet'!$B$12,Paramètres!$A$1:$I$89,5,0)</f>
        <v>212.42519999999985</v>
      </c>
      <c r="CA121" s="13">
        <f t="shared" si="93"/>
        <v>52.465198231787184</v>
      </c>
      <c r="CB121" s="20">
        <f t="shared" si="64"/>
        <v>461.35077692036231</v>
      </c>
      <c r="CC121" s="59">
        <f t="shared" si="65"/>
        <v>754.68411025369562</v>
      </c>
      <c r="CD121" s="59">
        <f ca="1">AVERAGE(OFFSET($CC$3,0,0,'Données projet'!$E$12+1,1))-AVERAGE(OFFSET($H$3,0,0,'Données projet'!$E$12+1,1))</f>
        <v>219.43439115440339</v>
      </c>
      <c r="CE121" s="59">
        <f t="shared" si="94"/>
        <v>217.8880462742099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13.565288710028911</v>
      </c>
      <c r="CL121" s="21">
        <f>EXP(-LN(2)/25)*CL120+(1-EXP(-LN(2)/25))/(LN(2)/25)*Calculateur!CG121*Calculateur!CI121*VLOOKUP('Données projet'!$B$12,Paramètres!$A$1:$I$89,3,0)*0.475*44/12</f>
        <v>2.9041771793011124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16.469465889330024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261.10917418234862</v>
      </c>
      <c r="T122" s="59">
        <f t="shared" si="88"/>
        <v>327.65691162938418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357.33974358974359</v>
      </c>
      <c r="AG122" s="12">
        <f>VLOOKUP(A122,'Données projet'!$A$61:$I$81,9,0)</f>
        <v>6.8461538461538511</v>
      </c>
      <c r="AH122" s="12">
        <f t="array" ref="AH122">INDEX(AG:AG,MIN(IF(ISNUMBER(AG122:AG318),ROW(AG122:AG318),"")))</f>
        <v>6.8461538461538511</v>
      </c>
      <c r="AI122" s="13">
        <f>IF('Données projet'!$A$62&gt;35,AI121+AH122-AQ121,IF(A122&lt;'Données projet'!$A$62,$AF$205^A122,IF(A122='Données projet'!$A$62,'Données projet'!$B$62,AI121+AH122-AQ121)))</f>
        <v>357.3397435897441</v>
      </c>
      <c r="AJ122" s="13">
        <f>AI122*VLOOKUP('Données projet'!$B$10,Paramètres!$A$1:$I$89,3,0)*VLOOKUP('Données projet'!$B$10,Paramètres!$A$1:$I$89,5,0)</f>
        <v>356.76800000000054</v>
      </c>
      <c r="AK122" s="13">
        <f t="shared" si="89"/>
        <v>82.954555509862473</v>
      </c>
      <c r="AL122" s="20">
        <f t="shared" si="58"/>
        <v>765.85011751301136</v>
      </c>
      <c r="AM122" s="59">
        <f t="shared" si="59"/>
        <v>1059.1834508463446</v>
      </c>
      <c r="AN122" s="59">
        <f ca="1">AVERAGE(OFFSET($AM$3,0,0,'Données projet'!$E$10+1,1))-AVERAGE(OFFSET($H$3,0,0,'Données projet'!$E$10+1,1))</f>
        <v>306.38046634523579</v>
      </c>
      <c r="AO122" s="59">
        <f t="shared" si="90"/>
        <v>229.77251296097705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150.02564102564102</v>
      </c>
      <c r="AR122" s="16">
        <f>IF(ISNA(VLOOKUP(A122,'Données projet'!$A$61:$I$81,5,0)),0%,VLOOKUP(A122,'Données projet'!$A$61:$I$81,5,0)*VLOOKUP('Données projet'!$B$10,Paramètres!$A$1:$I$89,7,0))</f>
        <v>0.38700000000000001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118.54487628949107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118.54487628949107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357.33974358974359</v>
      </c>
      <c r="BB122" s="12">
        <f>VLOOKUP(A122,'Données projet'!$A$87:$I$107,9,0)</f>
        <v>6.8461538461538511</v>
      </c>
      <c r="BC122" s="12">
        <f t="array" ref="BC122">INDEX(BB:BB,MIN(IF(ISNUMBER(BB122:BB318),ROW(BB122:BB318),"")))</f>
        <v>6.8461538461538511</v>
      </c>
      <c r="BD122" s="12">
        <f>IF('Données projet'!$A$88&gt;35,BD121+BC122-BL121,IF(A122&lt;'Données projet'!$A$88,$BA$205^A122,IF(A122='Données projet'!$A$88,'Données projet'!$B$88,BD121+BC122-BL121)))</f>
        <v>357.3397435897441</v>
      </c>
      <c r="BE122" s="13">
        <f>BD122*VLOOKUP('Données projet'!$B$11,Paramètres!$A$1:$I$89,3,0)*VLOOKUP('Données projet'!$B$11,Paramètres!$A$1:$I$89,5,0)</f>
        <v>362.34250000000054</v>
      </c>
      <c r="BF122" s="13">
        <f t="shared" si="91"/>
        <v>84.098811348867258</v>
      </c>
      <c r="BG122" s="20">
        <f t="shared" si="61"/>
        <v>777.55195059927792</v>
      </c>
      <c r="BH122" s="59">
        <f t="shared" si="62"/>
        <v>1070.8852839326112</v>
      </c>
      <c r="BI122" s="59">
        <f ca="1">AVERAGE(OFFSET($BH$3,0,0,'Données projet'!$E$11+1,1))-AVERAGE(OFFSET($H$3,0,0,'Données projet'!$E$11+1,1))</f>
        <v>312.29056285877169</v>
      </c>
      <c r="BJ122" s="59">
        <f t="shared" si="92"/>
        <v>233.85454224241693</v>
      </c>
      <c r="BK122" s="15">
        <f>IF(ISNA(VLOOKUP(A122,'Données projet'!$A$87:$I$107,3,0)),0,VLOOKUP(A122,'Données projet'!$A$87:$I$107,3,0))</f>
        <v>11</v>
      </c>
      <c r="BL122" s="15">
        <f>IF(ISNA(VLOOKUP(A122,'Données projet'!$A$87:$I$107,4,0)),0,VLOOKUP(A122,'Données projet'!$A$87:$I$107,4,0))</f>
        <v>150.02564102564102</v>
      </c>
      <c r="BM122" s="16">
        <f>IF(ISNA(VLOOKUP(A122,'Données projet'!$A$87:$I$107,5,0)),0%,VLOOKUP(A122,'Données projet'!$A$87:$I$107,5,0)*VLOOKUP('Données projet'!$B$11,Paramètres!$A$1:$I$89,7,0))</f>
        <v>0.38700000000000001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120.39713998151436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120.39713998151436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266.99999999999983</v>
      </c>
      <c r="BZ122" s="13">
        <f>BY122*VLOOKUP('Données projet'!$B$12,Paramètres!$A$1:$I$89,3,0)*VLOOKUP('Données projet'!$B$12,Paramètres!$A$1:$I$89,5,0)</f>
        <v>212.42519999999985</v>
      </c>
      <c r="CA122" s="13">
        <f t="shared" si="93"/>
        <v>52.465198231787184</v>
      </c>
      <c r="CB122" s="20">
        <f t="shared" si="64"/>
        <v>461.35077692036231</v>
      </c>
      <c r="CC122" s="59">
        <f t="shared" si="65"/>
        <v>754.68411025369562</v>
      </c>
      <c r="CD122" s="59">
        <f ca="1">AVERAGE(OFFSET($CC$3,0,0,'Données projet'!$E$12+1,1))-AVERAGE(OFFSET($H$3,0,0,'Données projet'!$E$12+1,1))</f>
        <v>219.43439115440339</v>
      </c>
      <c r="CE122" s="59">
        <f t="shared" si="94"/>
        <v>217.8880462742099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13.299281672434367</v>
      </c>
      <c r="CL122" s="21">
        <f>EXP(-LN(2)/25)*CL121+(1-EXP(-LN(2)/25))/(LN(2)/25)*Calculateur!CG122*Calculateur!CI122*VLOOKUP('Données projet'!$B$12,Paramètres!$A$1:$I$89,3,0)*0.475*44/12</f>
        <v>2.8247623016090833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16.124043974043449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261.10917418234862</v>
      </c>
      <c r="T123" s="59">
        <f t="shared" si="88"/>
        <v>327.65691162938418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3.8301282051282044</v>
      </c>
      <c r="AI123" s="13">
        <f>IF('Données projet'!$A$62&gt;35,AI122+AH123-AQ122,IF(A123&lt;'Données projet'!$A$62,$AF$205^A123,IF(A123='Données projet'!$A$62,'Données projet'!$B$62,AI122+AH123-AQ122)))</f>
        <v>211.14423076923126</v>
      </c>
      <c r="AJ123" s="13">
        <f>AI123*VLOOKUP('Données projet'!$B$10,Paramètres!$A$1:$I$89,3,0)*VLOOKUP('Données projet'!$B$10,Paramètres!$A$1:$I$89,5,0)</f>
        <v>210.80640000000051</v>
      </c>
      <c r="AK123" s="13">
        <f t="shared" si="89"/>
        <v>52.111765060430741</v>
      </c>
      <c r="AL123" s="20">
        <f t="shared" si="58"/>
        <v>457.91580414691771</v>
      </c>
      <c r="AM123" s="59">
        <f t="shared" si="59"/>
        <v>751.24913748025097</v>
      </c>
      <c r="AN123" s="59">
        <f ca="1">AVERAGE(OFFSET($AM$3,0,0,'Données projet'!$E$10+1,1))-AVERAGE(OFFSET($H$3,0,0,'Données projet'!$E$10+1,1))</f>
        <v>306.38046634523579</v>
      </c>
      <c r="AO123" s="59">
        <f t="shared" si="90"/>
        <v>229.77251296097705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116.22028357068913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116.22028357068913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3.8301282051282044</v>
      </c>
      <c r="BD123" s="12">
        <f>IF('Données projet'!$A$88&gt;35,BD122+BC123-BL122,IF(A123&lt;'Données projet'!$A$88,$BA$205^A123,IF(A123='Données projet'!$A$88,'Données projet'!$B$88,BD122+BC123-BL122)))</f>
        <v>211.14423076923126</v>
      </c>
      <c r="BE123" s="13">
        <f>BD123*VLOOKUP('Données projet'!$B$11,Paramètres!$A$1:$I$89,3,0)*VLOOKUP('Données projet'!$B$11,Paramètres!$A$1:$I$89,5,0)</f>
        <v>214.1002500000005</v>
      </c>
      <c r="BF123" s="13">
        <f t="shared" si="91"/>
        <v>52.83058262367053</v>
      </c>
      <c r="BG123" s="20">
        <f t="shared" si="61"/>
        <v>464.90453348622708</v>
      </c>
      <c r="BH123" s="59">
        <f t="shared" si="62"/>
        <v>758.2378668195604</v>
      </c>
      <c r="BI123" s="59">
        <f ca="1">AVERAGE(OFFSET($BH$3,0,0,'Données projet'!$E$11+1,1))-AVERAGE(OFFSET($H$3,0,0,'Données projet'!$E$11+1,1))</f>
        <v>312.29056285877169</v>
      </c>
      <c r="BJ123" s="59">
        <f t="shared" si="92"/>
        <v>233.85454224241693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118.03622550148114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118.03622550148114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266.99999999999983</v>
      </c>
      <c r="BZ123" s="13">
        <f>BY123*VLOOKUP('Données projet'!$B$12,Paramètres!$A$1:$I$89,3,0)*VLOOKUP('Données projet'!$B$12,Paramètres!$A$1:$I$89,5,0)</f>
        <v>212.42519999999985</v>
      </c>
      <c r="CA123" s="13">
        <f t="shared" si="93"/>
        <v>52.465198231787184</v>
      </c>
      <c r="CB123" s="20">
        <f t="shared" si="64"/>
        <v>461.35077692036231</v>
      </c>
      <c r="CC123" s="59">
        <f t="shared" si="65"/>
        <v>754.68411025369562</v>
      </c>
      <c r="CD123" s="59">
        <f ca="1">AVERAGE(OFFSET($CC$3,0,0,'Données projet'!$E$12+1,1))-AVERAGE(OFFSET($H$3,0,0,'Données projet'!$E$12+1,1))</f>
        <v>219.43439115440339</v>
      </c>
      <c r="CE123" s="59">
        <f t="shared" si="94"/>
        <v>217.8880462742099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13.038490870598778</v>
      </c>
      <c r="CL123" s="21">
        <f>EXP(-LN(2)/25)*CL122+(1-EXP(-LN(2)/25))/(LN(2)/25)*Calculateur!CG123*Calculateur!CI123*VLOOKUP('Données projet'!$B$12,Paramètres!$A$1:$I$89,3,0)*0.475*44/12</f>
        <v>2.7475190279237895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15.786009898522568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261.10917418234862</v>
      </c>
      <c r="T124" s="59">
        <f t="shared" si="88"/>
        <v>327.65691162938418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3.8301282051282044</v>
      </c>
      <c r="AI124" s="13">
        <f>IF('Données projet'!$A$62&gt;35,AI123+AH124-AQ123,IF(A124&lt;'Données projet'!$A$62,$AF$205^A124,IF(A124='Données projet'!$A$62,'Données projet'!$B$62,AI123+AH124-AQ123)))</f>
        <v>214.97435897435946</v>
      </c>
      <c r="AJ124" s="13">
        <f>AI124*VLOOKUP('Données projet'!$B$10,Paramètres!$A$1:$I$89,3,0)*VLOOKUP('Données projet'!$B$10,Paramètres!$A$1:$I$89,5,0)</f>
        <v>214.63040000000052</v>
      </c>
      <c r="AK124" s="13">
        <f t="shared" si="89"/>
        <v>52.946156628916427</v>
      </c>
      <c r="AL124" s="20">
        <f t="shared" si="58"/>
        <v>466.02916946203032</v>
      </c>
      <c r="AM124" s="59">
        <f t="shared" si="59"/>
        <v>759.36250279536364</v>
      </c>
      <c r="AN124" s="59">
        <f ca="1">AVERAGE(OFFSET($AM$3,0,0,'Données projet'!$E$10+1,1))-AVERAGE(OFFSET($H$3,0,0,'Données projet'!$E$10+1,1))</f>
        <v>306.38046634523579</v>
      </c>
      <c r="AO124" s="59">
        <f t="shared" si="90"/>
        <v>229.77251296097705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113.94127469724135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113.94127469724135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3.8301282051282044</v>
      </c>
      <c r="BD124" s="12">
        <f>IF('Données projet'!$A$88&gt;35,BD123+BC124-BL123,IF(A124&lt;'Données projet'!$A$88,$BA$205^A124,IF(A124='Données projet'!$A$88,'Données projet'!$B$88,BD123+BC124-BL123)))</f>
        <v>214.97435897435946</v>
      </c>
      <c r="BE124" s="13">
        <f>BD124*VLOOKUP('Données projet'!$B$11,Paramètres!$A$1:$I$89,3,0)*VLOOKUP('Données projet'!$B$11,Paramètres!$A$1:$I$89,5,0)</f>
        <v>217.98400000000052</v>
      </c>
      <c r="BF124" s="13">
        <f t="shared" si="91"/>
        <v>53.676483595327532</v>
      </c>
      <c r="BG124" s="20">
        <f t="shared" si="61"/>
        <v>473.14200892852961</v>
      </c>
      <c r="BH124" s="59">
        <f t="shared" si="62"/>
        <v>766.47534226186292</v>
      </c>
      <c r="BI124" s="59">
        <f ca="1">AVERAGE(OFFSET($BH$3,0,0,'Données projet'!$E$11+1,1))-AVERAGE(OFFSET($H$3,0,0,'Données projet'!$E$11+1,1))</f>
        <v>312.29056285877169</v>
      </c>
      <c r="BJ124" s="59">
        <f t="shared" si="92"/>
        <v>233.85454224241693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115.72160711438573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115.72160711438573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266.99999999999983</v>
      </c>
      <c r="BZ124" s="13">
        <f>BY124*VLOOKUP('Données projet'!$B$12,Paramètres!$A$1:$I$89,3,0)*VLOOKUP('Données projet'!$B$12,Paramètres!$A$1:$I$89,5,0)</f>
        <v>212.42519999999985</v>
      </c>
      <c r="CA124" s="13">
        <f t="shared" si="93"/>
        <v>52.465198231787184</v>
      </c>
      <c r="CB124" s="20">
        <f t="shared" si="64"/>
        <v>461.35077692036231</v>
      </c>
      <c r="CC124" s="59">
        <f t="shared" si="65"/>
        <v>754.68411025369562</v>
      </c>
      <c r="CD124" s="59">
        <f ca="1">AVERAGE(OFFSET($CC$3,0,0,'Données projet'!$E$12+1,1))-AVERAGE(OFFSET($H$3,0,0,'Données projet'!$E$12+1,1))</f>
        <v>219.43439115440339</v>
      </c>
      <c r="CE124" s="59">
        <f t="shared" si="94"/>
        <v>217.8880462742099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12.782814017320504</v>
      </c>
      <c r="CL124" s="21">
        <f>EXP(-LN(2)/25)*CL123+(1-EXP(-LN(2)/25))/(LN(2)/25)*Calculateur!CG124*Calculateur!CI124*VLOOKUP('Données projet'!$B$12,Paramètres!$A$1:$I$89,3,0)*0.475*44/12</f>
        <v>2.6723879756194675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15.455201992939973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261.10917418234862</v>
      </c>
      <c r="T125" s="59">
        <f t="shared" si="88"/>
        <v>327.65691162938418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3.8301282051282044</v>
      </c>
      <c r="AI125" s="13">
        <f>IF('Données projet'!$A$62&gt;35,AI124+AH125-AQ124,IF(A125&lt;'Données projet'!$A$62,$AF$205^A125,IF(A125='Données projet'!$A$62,'Données projet'!$B$62,AI124+AH125-AQ124)))</f>
        <v>218.80448717948767</v>
      </c>
      <c r="AJ125" s="13">
        <f>AI125*VLOOKUP('Données projet'!$B$10,Paramètres!$A$1:$I$89,3,0)*VLOOKUP('Données projet'!$B$10,Paramètres!$A$1:$I$89,5,0)</f>
        <v>218.4544000000005</v>
      </c>
      <c r="AK125" s="13">
        <f t="shared" si="89"/>
        <v>53.778819481720021</v>
      </c>
      <c r="AL125" s="20">
        <f t="shared" si="58"/>
        <v>474.1395239306633</v>
      </c>
      <c r="AM125" s="59">
        <f t="shared" si="59"/>
        <v>767.47285726399662</v>
      </c>
      <c r="AN125" s="59">
        <f ca="1">AVERAGE(OFFSET($AM$3,0,0,'Données projet'!$E$10+1,1))-AVERAGE(OFFSET($H$3,0,0,'Données projet'!$E$10+1,1))</f>
        <v>306.38046634523579</v>
      </c>
      <c r="AO125" s="59">
        <f t="shared" si="90"/>
        <v>229.77251296097705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111.70695579774373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111.70695579774373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3.8301282051282044</v>
      </c>
      <c r="BD125" s="12">
        <f>IF('Données projet'!$A$88&gt;35,BD124+BC125-BL124,IF(A125&lt;'Données projet'!$A$88,$BA$205^A125,IF(A125='Données projet'!$A$88,'Données projet'!$B$88,BD124+BC125-BL124)))</f>
        <v>218.80448717948767</v>
      </c>
      <c r="BE125" s="13">
        <f>BD125*VLOOKUP('Données projet'!$B$11,Paramètres!$A$1:$I$89,3,0)*VLOOKUP('Données projet'!$B$11,Paramètres!$A$1:$I$89,5,0)</f>
        <v>221.86775000000048</v>
      </c>
      <c r="BF125" s="13">
        <f t="shared" si="91"/>
        <v>54.520632005800415</v>
      </c>
      <c r="BG125" s="20">
        <f t="shared" si="61"/>
        <v>481.37643199343648</v>
      </c>
      <c r="BH125" s="59">
        <f t="shared" si="62"/>
        <v>774.7097653267698</v>
      </c>
      <c r="BI125" s="59">
        <f ca="1">AVERAGE(OFFSET($BH$3,0,0,'Données projet'!$E$11+1,1))-AVERAGE(OFFSET($H$3,0,0,'Données projet'!$E$11+1,1))</f>
        <v>312.29056285877169</v>
      </c>
      <c r="BJ125" s="59">
        <f t="shared" si="92"/>
        <v>233.85454224241693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113.45237698208345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113.45237698208345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266.99999999999983</v>
      </c>
      <c r="BZ125" s="13">
        <f>BY125*VLOOKUP('Données projet'!$B$12,Paramètres!$A$1:$I$89,3,0)*VLOOKUP('Données projet'!$B$12,Paramètres!$A$1:$I$89,5,0)</f>
        <v>212.42519999999985</v>
      </c>
      <c r="CA125" s="13">
        <f t="shared" si="93"/>
        <v>52.465198231787184</v>
      </c>
      <c r="CB125" s="20">
        <f t="shared" si="64"/>
        <v>461.35077692036231</v>
      </c>
      <c r="CC125" s="59">
        <f t="shared" si="65"/>
        <v>754.68411025369562</v>
      </c>
      <c r="CD125" s="59">
        <f ca="1">AVERAGE(OFFSET($CC$3,0,0,'Données projet'!$E$12+1,1))-AVERAGE(OFFSET($H$3,0,0,'Données projet'!$E$12+1,1))</f>
        <v>219.43439115440339</v>
      </c>
      <c r="CE125" s="59">
        <f t="shared" si="94"/>
        <v>217.8880462742099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12.532150831187534</v>
      </c>
      <c r="CL125" s="21">
        <f>EXP(-LN(2)/25)*CL124+(1-EXP(-LN(2)/25))/(LN(2)/25)*Calculateur!CG125*Calculateur!CI125*VLOOKUP('Données projet'!$B$12,Paramètres!$A$1:$I$89,3,0)*0.475*44/12</f>
        <v>2.5993113858913772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15.131462217078912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261.10917418234862</v>
      </c>
      <c r="T126" s="59">
        <f t="shared" si="88"/>
        <v>327.65691162938418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222.63461538461539</v>
      </c>
      <c r="AG126" s="12">
        <f>VLOOKUP(A126,'Données projet'!$A$61:$I$81,9,0)</f>
        <v>3.8301282051282044</v>
      </c>
      <c r="AH126" s="12">
        <f t="array" ref="AH126">INDEX(AG:AG,MIN(IF(ISNUMBER(AG126:AG322),ROW(AG126:AG322),"")))</f>
        <v>3.8301282051282044</v>
      </c>
      <c r="AI126" s="13">
        <f>IF('Données projet'!$A$62&gt;35,AI125+AH126-AQ125,IF(A126&lt;'Données projet'!$A$62,$AF$205^A126,IF(A126='Données projet'!$A$62,'Données projet'!$B$62,AI125+AH126-AQ125)))</f>
        <v>222.63461538461587</v>
      </c>
      <c r="AJ126" s="13">
        <f>AI126*VLOOKUP('Données projet'!$B$10,Paramètres!$A$1:$I$89,3,0)*VLOOKUP('Données projet'!$B$10,Paramètres!$A$1:$I$89,5,0)</f>
        <v>222.27840000000052</v>
      </c>
      <c r="AK126" s="13">
        <f t="shared" si="89"/>
        <v>54.609787371098918</v>
      </c>
      <c r="AL126" s="20">
        <f t="shared" si="58"/>
        <v>482.24692633799822</v>
      </c>
      <c r="AM126" s="59">
        <f t="shared" si="59"/>
        <v>775.58025967133153</v>
      </c>
      <c r="AN126" s="59">
        <f ca="1">AVERAGE(OFFSET($AM$3,0,0,'Données projet'!$E$10+1,1))-AVERAGE(OFFSET($H$3,0,0,'Données projet'!$E$10+1,1))</f>
        <v>306.38046634523579</v>
      </c>
      <c r="AO126" s="59">
        <f t="shared" si="90"/>
        <v>229.77251296097705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77.17307692307692</v>
      </c>
      <c r="AR126" s="16">
        <f>IF(ISNA(VLOOKUP(A126,'Données projet'!$A$61:$I$81,5,0)),0%,VLOOKUP(A126,'Données projet'!$A$61:$I$81,5,0)*VLOOKUP('Données projet'!$B$10,Paramètres!$A$1:$I$89,7,0))</f>
        <v>0.38700000000000001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142.47958209379689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142.47958209379689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222.63461538461539</v>
      </c>
      <c r="BB126" s="12">
        <f>VLOOKUP(A126,'Données projet'!$A$87:$I$107,9,0)</f>
        <v>3.8301282051282044</v>
      </c>
      <c r="BC126" s="12">
        <f t="array" ref="BC126">INDEX(BB:BB,MIN(IF(ISNUMBER(BB126:BB322),ROW(BB126:BB322),"")))</f>
        <v>3.8301282051282044</v>
      </c>
      <c r="BD126" s="12">
        <f>IF('Données projet'!$A$88&gt;35,BD125+BC126-BL125,IF(A126&lt;'Données projet'!$A$88,$BA$205^A126,IF(A126='Données projet'!$A$88,'Données projet'!$B$88,BD125+BC126-BL125)))</f>
        <v>222.63461538461587</v>
      </c>
      <c r="BE126" s="13">
        <f>BD126*VLOOKUP('Données projet'!$B$11,Paramètres!$A$1:$I$89,3,0)*VLOOKUP('Données projet'!$B$11,Paramètres!$A$1:$I$89,5,0)</f>
        <v>225.7515000000005</v>
      </c>
      <c r="BF126" s="13">
        <f t="shared" si="91"/>
        <v>55.363062072917565</v>
      </c>
      <c r="BG126" s="20">
        <f t="shared" si="61"/>
        <v>489.60786227699901</v>
      </c>
      <c r="BH126" s="59">
        <f t="shared" si="62"/>
        <v>782.94119561033233</v>
      </c>
      <c r="BI126" s="59">
        <f ca="1">AVERAGE(OFFSET($BH$3,0,0,'Données projet'!$E$11+1,1))-AVERAGE(OFFSET($H$3,0,0,'Données projet'!$E$11+1,1))</f>
        <v>312.29056285877169</v>
      </c>
      <c r="BJ126" s="59">
        <f t="shared" si="92"/>
        <v>233.85454224241693</v>
      </c>
      <c r="BK126" s="15">
        <f>IF(ISNA(VLOOKUP(A126,'Données projet'!$A$87:$I$107,3,0)),0,VLOOKUP(A126,'Données projet'!$A$87:$I$107,3,0))</f>
        <v>12</v>
      </c>
      <c r="BL126" s="15">
        <f>IF(ISNA(VLOOKUP(A126,'Données projet'!$A$87:$I$107,4,0)),0,VLOOKUP(A126,'Données projet'!$A$87:$I$107,4,0))</f>
        <v>77.17307692307692</v>
      </c>
      <c r="BM126" s="16">
        <f>IF(ISNA(VLOOKUP(A126,'Données projet'!$A$87:$I$107,5,0)),0%,VLOOKUP(A126,'Données projet'!$A$87:$I$107,5,0)*VLOOKUP('Données projet'!$B$11,Paramètres!$A$1:$I$89,7,0))</f>
        <v>0.38700000000000001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144.70582556401243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144.70582556401243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266.99999999999983</v>
      </c>
      <c r="BZ126" s="13">
        <f>BY126*VLOOKUP('Données projet'!$B$12,Paramètres!$A$1:$I$89,3,0)*VLOOKUP('Données projet'!$B$12,Paramètres!$A$1:$I$89,5,0)</f>
        <v>212.42519999999985</v>
      </c>
      <c r="CA126" s="13">
        <f t="shared" si="93"/>
        <v>52.465198231787184</v>
      </c>
      <c r="CB126" s="20">
        <f t="shared" si="64"/>
        <v>461.35077692036231</v>
      </c>
      <c r="CC126" s="59">
        <f t="shared" si="65"/>
        <v>754.68411025369562</v>
      </c>
      <c r="CD126" s="59">
        <f ca="1">AVERAGE(OFFSET($CC$3,0,0,'Données projet'!$E$12+1,1))-AVERAGE(OFFSET($H$3,0,0,'Données projet'!$E$12+1,1))</f>
        <v>219.43439115440339</v>
      </c>
      <c r="CE126" s="59">
        <f t="shared" si="94"/>
        <v>217.8880462742099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12.286402997245185</v>
      </c>
      <c r="CL126" s="21">
        <f>EXP(-LN(2)/25)*CL125+(1-EXP(-LN(2)/25))/(LN(2)/25)*Calculateur!CG126*Calculateur!CI126*VLOOKUP('Données projet'!$B$12,Paramètres!$A$1:$I$89,3,0)*0.475*44/12</f>
        <v>2.5282330793523324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14.814636076597518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261.10917418234862</v>
      </c>
      <c r="T127" s="59">
        <f t="shared" si="88"/>
        <v>327.65691162938418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2.3349358974358978</v>
      </c>
      <c r="AI127" s="13">
        <f>IF('Données projet'!$A$62&gt;35,AI126+AH127-AQ126,IF(A127&lt;'Données projet'!$A$62,$AF$205^A127,IF(A127='Données projet'!$A$62,'Données projet'!$B$62,AI126+AH127-AQ126)))</f>
        <v>147.79647435897488</v>
      </c>
      <c r="AJ127" s="13">
        <f>AI127*VLOOKUP('Données projet'!$B$10,Paramètres!$A$1:$I$89,3,0)*VLOOKUP('Données projet'!$B$10,Paramètres!$A$1:$I$89,5,0)</f>
        <v>147.56000000000051</v>
      </c>
      <c r="AK127" s="13">
        <f t="shared" si="89"/>
        <v>38.023558704807016</v>
      </c>
      <c r="AL127" s="20">
        <f t="shared" si="58"/>
        <v>323.22469807753976</v>
      </c>
      <c r="AM127" s="59">
        <f t="shared" si="59"/>
        <v>616.55803141087313</v>
      </c>
      <c r="AN127" s="59">
        <f ca="1">AVERAGE(OFFSET($AM$3,0,0,'Données projet'!$E$10+1,1))-AVERAGE(OFFSET($H$3,0,0,'Données projet'!$E$10+1,1))</f>
        <v>306.38046634523579</v>
      </c>
      <c r="AO127" s="59">
        <f t="shared" si="90"/>
        <v>229.77251296097705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139.68564439290157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139.68564439290157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2.3349358974358978</v>
      </c>
      <c r="BD127" s="12">
        <f>IF('Données projet'!$A$88&gt;35,BD126+BC127-BL126,IF(A127&lt;'Données projet'!$A$88,$BA$205^A127,IF(A127='Données projet'!$A$88,'Données projet'!$B$88,BD126+BC127-BL126)))</f>
        <v>147.79647435897488</v>
      </c>
      <c r="BE127" s="13">
        <f>BD127*VLOOKUP('Données projet'!$B$11,Paramètres!$A$1:$I$89,3,0)*VLOOKUP('Données projet'!$B$11,Paramètres!$A$1:$I$89,5,0)</f>
        <v>149.86562500000053</v>
      </c>
      <c r="BF127" s="13">
        <f t="shared" si="91"/>
        <v>38.54804682725306</v>
      </c>
      <c r="BG127" s="20">
        <f t="shared" si="61"/>
        <v>328.15381176580001</v>
      </c>
      <c r="BH127" s="59">
        <f t="shared" si="62"/>
        <v>621.48714509913339</v>
      </c>
      <c r="BI127" s="59">
        <f ca="1">AVERAGE(OFFSET($BH$3,0,0,'Données projet'!$E$11+1,1))-AVERAGE(OFFSET($H$3,0,0,'Données projet'!$E$11+1,1))</f>
        <v>312.29056285877169</v>
      </c>
      <c r="BJ127" s="59">
        <f t="shared" si="92"/>
        <v>233.85454224241693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141.86823258654061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141.86823258654061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266.99999999999983</v>
      </c>
      <c r="BZ127" s="13">
        <f>BY127*VLOOKUP('Données projet'!$B$12,Paramètres!$A$1:$I$89,3,0)*VLOOKUP('Données projet'!$B$12,Paramètres!$A$1:$I$89,5,0)</f>
        <v>212.42519999999985</v>
      </c>
      <c r="CA127" s="13">
        <f t="shared" si="93"/>
        <v>52.465198231787184</v>
      </c>
      <c r="CB127" s="20">
        <f t="shared" si="64"/>
        <v>461.35077692036231</v>
      </c>
      <c r="CC127" s="59">
        <f t="shared" si="65"/>
        <v>754.68411025369562</v>
      </c>
      <c r="CD127" s="59">
        <f ca="1">AVERAGE(OFFSET($CC$3,0,0,'Données projet'!$E$12+1,1))-AVERAGE(OFFSET($H$3,0,0,'Données projet'!$E$12+1,1))</f>
        <v>219.43439115440339</v>
      </c>
      <c r="CE127" s="59">
        <f t="shared" si="94"/>
        <v>217.8880462742099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12.045474128435067</v>
      </c>
      <c r="CL127" s="21">
        <f>EXP(-LN(2)/25)*CL126+(1-EXP(-LN(2)/25))/(LN(2)/25)*Calculateur!CG127*Calculateur!CI127*VLOOKUP('Données projet'!$B$12,Paramètres!$A$1:$I$89,3,0)*0.475*44/12</f>
        <v>2.4590984128434434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14.504572541278511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261.10917418234862</v>
      </c>
      <c r="T128" s="59">
        <f t="shared" si="88"/>
        <v>327.65691162938418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2.3349358974358978</v>
      </c>
      <c r="AI128" s="13">
        <f>IF('Données projet'!$A$62&gt;35,AI127+AH128-AQ127,IF(A128&lt;'Données projet'!$A$62,$AF$205^A128,IF(A128='Données projet'!$A$62,'Données projet'!$B$62,AI127+AH128-AQ127)))</f>
        <v>150.13141025641079</v>
      </c>
      <c r="AJ128" s="13">
        <f>AI128*VLOOKUP('Données projet'!$B$10,Paramètres!$A$1:$I$89,3,0)*VLOOKUP('Données projet'!$B$10,Paramètres!$A$1:$I$89,5,0)</f>
        <v>149.89120000000054</v>
      </c>
      <c r="AK128" s="13">
        <f t="shared" si="89"/>
        <v>38.553859386398891</v>
      </c>
      <c r="AL128" s="20">
        <f t="shared" si="58"/>
        <v>328.20847843131236</v>
      </c>
      <c r="AM128" s="59">
        <f t="shared" si="59"/>
        <v>621.54181176464567</v>
      </c>
      <c r="AN128" s="59">
        <f ca="1">AVERAGE(OFFSET($AM$3,0,0,'Données projet'!$E$10+1,1))-AVERAGE(OFFSET($H$3,0,0,'Données projet'!$E$10+1,1))</f>
        <v>306.38046634523579</v>
      </c>
      <c r="AO128" s="59">
        <f t="shared" si="90"/>
        <v>229.77251296097705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136.94649410618706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136.94649410618706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2.3349358974358978</v>
      </c>
      <c r="BD128" s="12">
        <f>IF('Données projet'!$A$88&gt;35,BD127+BC128-BL127,IF(A128&lt;'Données projet'!$A$88,$BA$205^A128,IF(A128='Données projet'!$A$88,'Données projet'!$B$88,BD127+BC128-BL127)))</f>
        <v>150.13141025641079</v>
      </c>
      <c r="BE128" s="13">
        <f>BD128*VLOOKUP('Données projet'!$B$11,Paramètres!$A$1:$I$89,3,0)*VLOOKUP('Données projet'!$B$11,Paramètres!$A$1:$I$89,5,0)</f>
        <v>152.23325000000054</v>
      </c>
      <c r="BF128" s="13">
        <f t="shared" si="91"/>
        <v>39.08566235307034</v>
      </c>
      <c r="BG128" s="20">
        <f t="shared" si="61"/>
        <v>333.21377234826514</v>
      </c>
      <c r="BH128" s="59">
        <f t="shared" si="62"/>
        <v>626.5471056815984</v>
      </c>
      <c r="BI128" s="59">
        <f ca="1">AVERAGE(OFFSET($BH$3,0,0,'Données projet'!$E$11+1,1))-AVERAGE(OFFSET($H$3,0,0,'Données projet'!$E$11+1,1))</f>
        <v>312.29056285877169</v>
      </c>
      <c r="BJ128" s="59">
        <f t="shared" si="92"/>
        <v>233.85454224241693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139.0862830765962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139.0862830765962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266.99999999999983</v>
      </c>
      <c r="BZ128" s="13">
        <f>BY128*VLOOKUP('Données projet'!$B$12,Paramètres!$A$1:$I$89,3,0)*VLOOKUP('Données projet'!$B$12,Paramètres!$A$1:$I$89,5,0)</f>
        <v>212.42519999999985</v>
      </c>
      <c r="CA128" s="13">
        <f t="shared" si="93"/>
        <v>52.465198231787184</v>
      </c>
      <c r="CB128" s="20">
        <f t="shared" si="64"/>
        <v>461.35077692036231</v>
      </c>
      <c r="CC128" s="59">
        <f t="shared" si="65"/>
        <v>754.68411025369562</v>
      </c>
      <c r="CD128" s="59">
        <f ca="1">AVERAGE(OFFSET($CC$3,0,0,'Données projet'!$E$12+1,1))-AVERAGE(OFFSET($H$3,0,0,'Données projet'!$E$12+1,1))</f>
        <v>219.43439115440339</v>
      </c>
      <c r="CE128" s="59">
        <f t="shared" si="94"/>
        <v>217.8880462742099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11.809269727790216</v>
      </c>
      <c r="CL128" s="21">
        <f>EXP(-LN(2)/25)*CL127+(1-EXP(-LN(2)/25))/(LN(2)/25)*Calculateur!CG128*Calculateur!CI128*VLOOKUP('Données projet'!$B$12,Paramètres!$A$1:$I$89,3,0)*0.475*44/12</f>
        <v>2.3918542374258744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14.201123965216091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261.10917418234862</v>
      </c>
      <c r="T129" s="59">
        <f t="shared" si="88"/>
        <v>327.65691162938418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2.3349358974358978</v>
      </c>
      <c r="AI129" s="13">
        <f>IF('Données projet'!$A$62&gt;35,AI128+AH129-AQ128,IF(A129&lt;'Données projet'!$A$62,$AF$205^A129,IF(A129='Données projet'!$A$62,'Données projet'!$B$62,AI128+AH129-AQ128)))</f>
        <v>152.4663461538467</v>
      </c>
      <c r="AJ129" s="13">
        <f>AI129*VLOOKUP('Données projet'!$B$10,Paramètres!$A$1:$I$89,3,0)*VLOOKUP('Données projet'!$B$10,Paramètres!$A$1:$I$89,5,0)</f>
        <v>152.22240000000056</v>
      </c>
      <c r="AK129" s="13">
        <f t="shared" si="89"/>
        <v>39.083200879348283</v>
      </c>
      <c r="AL129" s="20">
        <f t="shared" si="58"/>
        <v>333.19058819819924</v>
      </c>
      <c r="AM129" s="59">
        <f t="shared" si="59"/>
        <v>626.52392153153255</v>
      </c>
      <c r="AN129" s="59">
        <f ca="1">AVERAGE(OFFSET($AM$3,0,0,'Données projet'!$E$10+1,1))-AVERAGE(OFFSET($H$3,0,0,'Données projet'!$E$10+1,1))</f>
        <v>306.38046634523579</v>
      </c>
      <c r="AO129" s="59">
        <f t="shared" si="90"/>
        <v>229.77251296097705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134.26105688587833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134.26105688587833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2.3349358974358978</v>
      </c>
      <c r="BD129" s="12">
        <f>IF('Données projet'!$A$88&gt;35,BD128+BC129-BL128,IF(A129&lt;'Données projet'!$A$88,$BA$205^A129,IF(A129='Données projet'!$A$88,'Données projet'!$B$88,BD128+BC129-BL128)))</f>
        <v>152.4663461538467</v>
      </c>
      <c r="BE129" s="13">
        <f>BD129*VLOOKUP('Données projet'!$B$11,Paramètres!$A$1:$I$89,3,0)*VLOOKUP('Données projet'!$B$11,Paramètres!$A$1:$I$89,5,0)</f>
        <v>154.60087500000057</v>
      </c>
      <c r="BF129" s="13">
        <f t="shared" si="91"/>
        <v>39.622305459420097</v>
      </c>
      <c r="BG129" s="20">
        <f t="shared" si="61"/>
        <v>338.27203930015764</v>
      </c>
      <c r="BH129" s="59">
        <f t="shared" si="62"/>
        <v>631.60537263349102</v>
      </c>
      <c r="BI129" s="59">
        <f ca="1">AVERAGE(OFFSET($BH$3,0,0,'Données projet'!$E$11+1,1))-AVERAGE(OFFSET($H$3,0,0,'Données projet'!$E$11+1,1))</f>
        <v>312.29056285877169</v>
      </c>
      <c r="BJ129" s="59">
        <f t="shared" si="92"/>
        <v>233.85454224241693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136.35888589972015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136.35888589972015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266.99999999999983</v>
      </c>
      <c r="BZ129" s="13">
        <f>BY129*VLOOKUP('Données projet'!$B$12,Paramètres!$A$1:$I$89,3,0)*VLOOKUP('Données projet'!$B$12,Paramètres!$A$1:$I$89,5,0)</f>
        <v>212.42519999999985</v>
      </c>
      <c r="CA129" s="13">
        <f t="shared" si="93"/>
        <v>52.465198231787184</v>
      </c>
      <c r="CB129" s="20">
        <f t="shared" si="64"/>
        <v>461.35077692036231</v>
      </c>
      <c r="CC129" s="59">
        <f t="shared" si="65"/>
        <v>754.68411025369562</v>
      </c>
      <c r="CD129" s="59">
        <f ca="1">AVERAGE(OFFSET($CC$3,0,0,'Données projet'!$E$12+1,1))-AVERAGE(OFFSET($H$3,0,0,'Données projet'!$E$12+1,1))</f>
        <v>219.43439115440339</v>
      </c>
      <c r="CE129" s="59">
        <f t="shared" si="94"/>
        <v>217.8880462742099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11.577697151371552</v>
      </c>
      <c r="CL129" s="21">
        <f>EXP(-LN(2)/25)*CL128+(1-EXP(-LN(2)/25))/(LN(2)/25)*Calculateur!CG129*Calculateur!CI129*VLOOKUP('Données projet'!$B$12,Paramètres!$A$1:$I$89,3,0)*0.475*44/12</f>
        <v>2.3264488575213162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13.904146008892869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261.10917418234862</v>
      </c>
      <c r="T130" s="59">
        <f t="shared" si="88"/>
        <v>327.65691162938418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154.80128205128204</v>
      </c>
      <c r="AG130" s="12">
        <f>VLOOKUP(A130,'Données projet'!$A$61:$I$81,9,0)</f>
        <v>2.3349358974358978</v>
      </c>
      <c r="AH130" s="12">
        <f t="array" ref="AH130">INDEX(AG:AG,MIN(IF(ISNUMBER(AG130:AG326),ROW(AG130:AG326),"")))</f>
        <v>2.3349358974358978</v>
      </c>
      <c r="AI130" s="13">
        <f>IF('Données projet'!$A$62&gt;35,AI129+AH130-AQ129,IF(A130&lt;'Données projet'!$A$62,$AF$205^A130,IF(A130='Données projet'!$A$62,'Données projet'!$B$62,AI129+AH130-AQ129)))</f>
        <v>154.80128205128261</v>
      </c>
      <c r="AJ130" s="13">
        <f>AI130*VLOOKUP('Données projet'!$B$10,Paramètres!$A$1:$I$89,3,0)*VLOOKUP('Données projet'!$B$10,Paramètres!$A$1:$I$89,5,0)</f>
        <v>154.55360000000056</v>
      </c>
      <c r="AK130" s="13">
        <f t="shared" si="89"/>
        <v>39.61159956961864</v>
      </c>
      <c r="AL130" s="20">
        <f t="shared" si="58"/>
        <v>338.17105591708673</v>
      </c>
      <c r="AM130" s="59">
        <f t="shared" si="59"/>
        <v>631.50438925041999</v>
      </c>
      <c r="AN130" s="59">
        <f ca="1">AVERAGE(OFFSET($AM$3,0,0,'Données projet'!$E$10+1,1))-AVERAGE(OFFSET($H$3,0,0,'Données projet'!$E$10+1,1))</f>
        <v>306.38046634523579</v>
      </c>
      <c r="AO130" s="59">
        <f t="shared" si="90"/>
        <v>229.77251296097705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49.916666666666671</v>
      </c>
      <c r="AR130" s="16">
        <f>IF(ISNA(VLOOKUP(A130,'Données projet'!$A$61:$I$81,5,0)),0%,VLOOKUP(A130,'Données projet'!$A$61:$I$81,5,0)*VLOOKUP('Données projet'!$B$10,Paramètres!$A$1:$I$89,7,0))</f>
        <v>0.38700000000000001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152.94931155504878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152.94931155504878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154.80128205128204</v>
      </c>
      <c r="BB130" s="12">
        <f>VLOOKUP(A130,'Données projet'!$A$87:$I$107,9,0)</f>
        <v>2.3349358974358978</v>
      </c>
      <c r="BC130" s="12">
        <f t="array" ref="BC130">INDEX(BB:BB,MIN(IF(ISNUMBER(BB130:BB326),ROW(BB130:BB326),"")))</f>
        <v>2.3349358974358978</v>
      </c>
      <c r="BD130" s="12">
        <f>IF('Données projet'!$A$88&gt;35,BD129+BC130-BL129,IF(A130&lt;'Données projet'!$A$88,$BA$205^A130,IF(A130='Données projet'!$A$88,'Données projet'!$B$88,BD129+BC130-BL129)))</f>
        <v>154.80128205128261</v>
      </c>
      <c r="BE130" s="13">
        <f>BD130*VLOOKUP('Données projet'!$B$11,Paramètres!$A$1:$I$89,3,0)*VLOOKUP('Données projet'!$B$11,Paramètres!$A$1:$I$89,5,0)</f>
        <v>156.96850000000057</v>
      </c>
      <c r="BF130" s="13">
        <f t="shared" si="91"/>
        <v>40.157992758290085</v>
      </c>
      <c r="BG130" s="20">
        <f t="shared" si="61"/>
        <v>343.32864155402285</v>
      </c>
      <c r="BH130" s="59">
        <f t="shared" si="62"/>
        <v>636.66197488735611</v>
      </c>
      <c r="BI130" s="59">
        <f ca="1">AVERAGE(OFFSET($BH$3,0,0,'Données projet'!$E$11+1,1))-AVERAGE(OFFSET($H$3,0,0,'Données projet'!$E$11+1,1))</f>
        <v>312.29056285877169</v>
      </c>
      <c r="BJ130" s="59">
        <f t="shared" si="92"/>
        <v>233.85454224241693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49.916666666666671</v>
      </c>
      <c r="BM130" s="16">
        <f>IF(ISNA(VLOOKUP(A130,'Données projet'!$A$87:$I$107,5,0)),0%,VLOOKUP(A130,'Données projet'!$A$87:$I$107,5,0)*VLOOKUP('Données projet'!$B$11,Paramètres!$A$1:$I$89,7,0))</f>
        <v>0.38700000000000001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155.33914454809639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155.33914454809639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266.99999999999983</v>
      </c>
      <c r="BZ130" s="13">
        <f>BY130*VLOOKUP('Données projet'!$B$12,Paramètres!$A$1:$I$89,3,0)*VLOOKUP('Données projet'!$B$12,Paramètres!$A$1:$I$89,5,0)</f>
        <v>212.42519999999985</v>
      </c>
      <c r="CA130" s="13">
        <f t="shared" si="93"/>
        <v>52.465198231787184</v>
      </c>
      <c r="CB130" s="20">
        <f t="shared" si="64"/>
        <v>461.35077692036231</v>
      </c>
      <c r="CC130" s="59">
        <f t="shared" si="65"/>
        <v>754.68411025369562</v>
      </c>
      <c r="CD130" s="59">
        <f ca="1">AVERAGE(OFFSET($CC$3,0,0,'Données projet'!$E$12+1,1))-AVERAGE(OFFSET($H$3,0,0,'Données projet'!$E$12+1,1))</f>
        <v>219.43439115440339</v>
      </c>
      <c r="CE130" s="59">
        <f t="shared" si="94"/>
        <v>217.8880462742099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11.350665571931133</v>
      </c>
      <c r="CL130" s="21">
        <f>EXP(-LN(2)/25)*CL129+(1-EXP(-LN(2)/25))/(LN(2)/25)*Calculateur!CG130*Calculateur!CI130*VLOOKUP('Données projet'!$B$12,Paramètres!$A$1:$I$89,3,0)*0.475*44/12</f>
        <v>2.2628319911697674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13.6134975631009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261.10917418234862</v>
      </c>
      <c r="T131" s="59">
        <f t="shared" si="88"/>
        <v>327.65691162938418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1.5064102564102591</v>
      </c>
      <c r="AI131" s="13">
        <f>IF('Données projet'!$A$62&gt;35,AI130+AH131-AQ130,IF(A131&lt;'Données projet'!$A$62,$AF$205^A131,IF(A131='Données projet'!$A$62,'Données projet'!$B$62,AI130+AH131-AQ130)))</f>
        <v>106.39102564102619</v>
      </c>
      <c r="AJ131" s="13">
        <f>AI131*VLOOKUP('Données projet'!$B$10,Paramètres!$A$1:$I$89,3,0)*VLOOKUP('Données projet'!$B$10,Paramètres!$A$1:$I$89,5,0)</f>
        <v>106.22080000000054</v>
      </c>
      <c r="AK131" s="13">
        <f t="shared" si="89"/>
        <v>28.43877198151381</v>
      </c>
      <c r="AL131" s="20">
        <f t="shared" si="58"/>
        <v>234.53208786780417</v>
      </c>
      <c r="AM131" s="59">
        <f t="shared" si="59"/>
        <v>527.86542120113745</v>
      </c>
      <c r="AN131" s="59">
        <f ca="1">AVERAGE(OFFSET($AM$3,0,0,'Données projet'!$E$10+1,1))-AVERAGE(OFFSET($H$3,0,0,'Données projet'!$E$10+1,1))</f>
        <v>306.38046634523579</v>
      </c>
      <c r="AO131" s="59">
        <f t="shared" si="90"/>
        <v>229.77251296097705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149.9500688453227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149.9500688453227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1.5064102564102591</v>
      </c>
      <c r="BD131" s="12">
        <f>IF('Données projet'!$A$88&gt;35,BD130+BC131-BL130,IF(A131&lt;'Données projet'!$A$88,$BA$205^A131,IF(A131='Données projet'!$A$88,'Données projet'!$B$88,BD130+BC131-BL130)))</f>
        <v>106.39102564102619</v>
      </c>
      <c r="BE131" s="13">
        <f>BD131*VLOOKUP('Données projet'!$B$11,Paramètres!$A$1:$I$89,3,0)*VLOOKUP('Données projet'!$B$11,Paramètres!$A$1:$I$89,5,0)</f>
        <v>107.88050000000057</v>
      </c>
      <c r="BF131" s="13">
        <f t="shared" si="91"/>
        <v>28.83104978583652</v>
      </c>
      <c r="BG131" s="20">
        <f t="shared" si="61"/>
        <v>238.10594921033294</v>
      </c>
      <c r="BH131" s="59">
        <f t="shared" si="62"/>
        <v>531.4392825436662</v>
      </c>
      <c r="BI131" s="59">
        <f ca="1">AVERAGE(OFFSET($BH$3,0,0,'Données projet'!$E$11+1,1))-AVERAGE(OFFSET($H$3,0,0,'Données projet'!$E$11+1,1))</f>
        <v>312.29056285877169</v>
      </c>
      <c r="BJ131" s="59">
        <f t="shared" si="92"/>
        <v>233.85454224241693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152.29303867103084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152.29303867103084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266.99999999999983</v>
      </c>
      <c r="BZ131" s="13">
        <f>BY131*VLOOKUP('Données projet'!$B$12,Paramètres!$A$1:$I$89,3,0)*VLOOKUP('Données projet'!$B$12,Paramètres!$A$1:$I$89,5,0)</f>
        <v>212.42519999999985</v>
      </c>
      <c r="CA131" s="13">
        <f t="shared" si="93"/>
        <v>52.465198231787184</v>
      </c>
      <c r="CB131" s="20">
        <f t="shared" si="64"/>
        <v>461.35077692036231</v>
      </c>
      <c r="CC131" s="59">
        <f t="shared" si="65"/>
        <v>754.68411025369562</v>
      </c>
      <c r="CD131" s="59">
        <f ca="1">AVERAGE(OFFSET($CC$3,0,0,'Données projet'!$E$12+1,1))-AVERAGE(OFFSET($H$3,0,0,'Données projet'!$E$12+1,1))</f>
        <v>219.43439115440339</v>
      </c>
      <c r="CE131" s="59">
        <f t="shared" si="94"/>
        <v>217.8880462742099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11.128085943287951</v>
      </c>
      <c r="CL131" s="21">
        <f>EXP(-LN(2)/25)*CL130+(1-EXP(-LN(2)/25))/(LN(2)/25)*Calculateur!CG131*Calculateur!CI131*VLOOKUP('Données projet'!$B$12,Paramètres!$A$1:$I$89,3,0)*0.475*44/12</f>
        <v>2.2009547313740674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13.329040674662018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261.10917418234862</v>
      </c>
      <c r="T132" s="59">
        <f t="shared" si="88"/>
        <v>327.65691162938418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1.5064102564102591</v>
      </c>
      <c r="AI132" s="13">
        <f>IF('Données projet'!$A$62&gt;35,AI131+AH132-AQ131,IF(A132&lt;'Données projet'!$A$62,$AF$205^A132,IF(A132='Données projet'!$A$62,'Données projet'!$B$62,AI131+AH132-AQ131)))</f>
        <v>107.89743589743645</v>
      </c>
      <c r="AJ132" s="13">
        <f>AI132*VLOOKUP('Données projet'!$B$10,Paramètres!$A$1:$I$89,3,0)*VLOOKUP('Données projet'!$B$10,Paramètres!$A$1:$I$89,5,0)</f>
        <v>107.72480000000056</v>
      </c>
      <c r="AK132" s="13">
        <f t="shared" si="89"/>
        <v>28.794279388476983</v>
      </c>
      <c r="AL132" s="20">
        <f t="shared" ref="AL132:AL153" si="112">(AJ132+AK132)*0.475*44/12</f>
        <v>237.77072993493167</v>
      </c>
      <c r="AM132" s="59">
        <f t="shared" ref="AM132:AM195" si="113">AL132+(AD132+AE132)*44/12</f>
        <v>531.10406326826501</v>
      </c>
      <c r="AN132" s="59">
        <f ca="1">AVERAGE(OFFSET($AM$3,0,0,'Données projet'!$E$10+1,1))-AVERAGE(OFFSET($H$3,0,0,'Données projet'!$E$10+1,1))</f>
        <v>306.38046634523579</v>
      </c>
      <c r="AO132" s="59">
        <f t="shared" si="90"/>
        <v>229.77251296097705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147.00963945577695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147.00963945577695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1.5064102564102591</v>
      </c>
      <c r="BD132" s="12">
        <f>IF('Données projet'!$A$88&gt;35,BD131+BC132-BL131,IF(A132&lt;'Données projet'!$A$88,$BA$205^A132,IF(A132='Données projet'!$A$88,'Données projet'!$B$88,BD131+BC132-BL131)))</f>
        <v>107.89743589743645</v>
      </c>
      <c r="BE132" s="13">
        <f>BD132*VLOOKUP('Données projet'!$B$11,Paramètres!$A$1:$I$89,3,0)*VLOOKUP('Données projet'!$B$11,Paramètres!$A$1:$I$89,5,0)</f>
        <v>109.40800000000057</v>
      </c>
      <c r="BF132" s="13">
        <f t="shared" si="91"/>
        <v>29.191460979261141</v>
      </c>
      <c r="BG132" s="20">
        <f t="shared" ref="BG132:BG153" si="115">(BE132+BF132)*0.475*44/12</f>
        <v>241.39406120554747</v>
      </c>
      <c r="BH132" s="59">
        <f t="shared" ref="BH132:BH195" si="116">BG132+(AY132+AZ132)*44/12</f>
        <v>534.72739453888084</v>
      </c>
      <c r="BI132" s="59">
        <f ca="1">AVERAGE(OFFSET($BH$3,0,0,'Données projet'!$E$11+1,1))-AVERAGE(OFFSET($H$3,0,0,'Données projet'!$E$11+1,1))</f>
        <v>312.29056285877169</v>
      </c>
      <c r="BJ132" s="59">
        <f t="shared" si="92"/>
        <v>233.85454224241693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149.30666507227343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149.30666507227343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266.99999999999983</v>
      </c>
      <c r="BZ132" s="13">
        <f>BY132*VLOOKUP('Données projet'!$B$12,Paramètres!$A$1:$I$89,3,0)*VLOOKUP('Données projet'!$B$12,Paramètres!$A$1:$I$89,5,0)</f>
        <v>212.42519999999985</v>
      </c>
      <c r="CA132" s="13">
        <f t="shared" si="93"/>
        <v>52.465198231787184</v>
      </c>
      <c r="CB132" s="20">
        <f t="shared" ref="CB132:CB153" si="118">(BZ132+CA132)*0.475*44/12</f>
        <v>461.35077692036231</v>
      </c>
      <c r="CC132" s="59">
        <f t="shared" ref="CC132:CC195" si="119">CB132+(BT132+BU132)*44/12</f>
        <v>754.68411025369562</v>
      </c>
      <c r="CD132" s="59">
        <f ca="1">AVERAGE(OFFSET($CC$3,0,0,'Données projet'!$E$12+1,1))-AVERAGE(OFFSET($H$3,0,0,'Données projet'!$E$12+1,1))</f>
        <v>219.43439115440339</v>
      </c>
      <c r="CE132" s="59">
        <f t="shared" si="94"/>
        <v>217.8880462742099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10.909870965402293</v>
      </c>
      <c r="CL132" s="21">
        <f>EXP(-LN(2)/25)*CL131+(1-EXP(-LN(2)/25))/(LN(2)/25)*Calculateur!CG132*Calculateur!CI132*VLOOKUP('Données projet'!$B$12,Paramètres!$A$1:$I$89,3,0)*0.475*44/12</f>
        <v>2.1407695085014646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13.050640473903758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261.10917418234862</v>
      </c>
      <c r="T133" s="59">
        <f t="shared" ref="T133:T196" si="142">$T$3</f>
        <v>327.65691162938418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1.5064102564102591</v>
      </c>
      <c r="AI133" s="13">
        <f>IF('Données projet'!$A$62&gt;35,AI132+AH133-AQ132,IF(A133&lt;'Données projet'!$A$62,$AF$205^A133,IF(A133='Données projet'!$A$62,'Données projet'!$B$62,AI132+AH133-AQ132)))</f>
        <v>109.40384615384671</v>
      </c>
      <c r="AJ133" s="13">
        <f>AI133*VLOOKUP('Données projet'!$B$10,Paramètres!$A$1:$I$89,3,0)*VLOOKUP('Données projet'!$B$10,Paramètres!$A$1:$I$89,5,0)</f>
        <v>109.22880000000056</v>
      </c>
      <c r="AK133" s="13">
        <f t="shared" ref="AK133:AK153" si="143">EXP(-1.0587+0.8836*LN(AJ133)+0.284)</f>
        <v>29.14920950302632</v>
      </c>
      <c r="AL133" s="20">
        <f t="shared" si="112"/>
        <v>241.00836655110513</v>
      </c>
      <c r="AM133" s="59">
        <f t="shared" si="113"/>
        <v>534.34169988443841</v>
      </c>
      <c r="AN133" s="59">
        <f ca="1">AVERAGE(OFFSET($AM$3,0,0,'Données projet'!$E$10+1,1))-AVERAGE(OFFSET($H$3,0,0,'Données projet'!$E$10+1,1))</f>
        <v>306.38046634523579</v>
      </c>
      <c r="AO133" s="59">
        <f t="shared" ref="AO133:AO196" si="144">$AO$3</f>
        <v>229.77251296097705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144.12687009307535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144.12687009307535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1.5064102564102591</v>
      </c>
      <c r="BD133" s="12">
        <f>IF('Données projet'!$A$88&gt;35,BD132+BC133-BL132,IF(A133&lt;'Données projet'!$A$88,$BA$205^A133,IF(A133='Données projet'!$A$88,'Données projet'!$B$88,BD132+BC133-BL132)))</f>
        <v>109.40384615384671</v>
      </c>
      <c r="BE133" s="13">
        <f>BD133*VLOOKUP('Données projet'!$B$11,Paramètres!$A$1:$I$89,3,0)*VLOOKUP('Données projet'!$B$11,Paramètres!$A$1:$I$89,5,0)</f>
        <v>110.93550000000057</v>
      </c>
      <c r="BF133" s="13">
        <f t="shared" ref="BF133:BF153" si="145">EXP(-1.0587+0.8836*LN(BE133)+0.284)</f>
        <v>29.551286917234709</v>
      </c>
      <c r="BG133" s="20">
        <f t="shared" si="115"/>
        <v>244.6811538808515</v>
      </c>
      <c r="BH133" s="59">
        <f t="shared" si="116"/>
        <v>538.01448721418478</v>
      </c>
      <c r="BI133" s="59">
        <f ca="1">AVERAGE(OFFSET($BH$3,0,0,'Données projet'!$E$11+1,1))-AVERAGE(OFFSET($H$3,0,0,'Données projet'!$E$11+1,1))</f>
        <v>312.29056285877169</v>
      </c>
      <c r="BJ133" s="59">
        <f t="shared" ref="BJ133:BJ196" si="146">$BJ$3</f>
        <v>233.85454224241693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146.37885243827961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146.37885243827961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266.99999999999983</v>
      </c>
      <c r="BZ133" s="13">
        <f>BY133*VLOOKUP('Données projet'!$B$12,Paramètres!$A$1:$I$89,3,0)*VLOOKUP('Données projet'!$B$12,Paramètres!$A$1:$I$89,5,0)</f>
        <v>212.42519999999985</v>
      </c>
      <c r="CA133" s="13">
        <f t="shared" ref="CA133:CA153" si="147">EXP(-1.0587+0.8836*LN(BZ133)+0.284)</f>
        <v>52.465198231787184</v>
      </c>
      <c r="CB133" s="20">
        <f t="shared" si="118"/>
        <v>461.35077692036231</v>
      </c>
      <c r="CC133" s="59">
        <f t="shared" si="119"/>
        <v>754.68411025369562</v>
      </c>
      <c r="CD133" s="59">
        <f ca="1">AVERAGE(OFFSET($CC$3,0,0,'Données projet'!$E$12+1,1))-AVERAGE(OFFSET($H$3,0,0,'Données projet'!$E$12+1,1))</f>
        <v>219.43439115440339</v>
      </c>
      <c r="CE133" s="59">
        <f t="shared" ref="CE133:CE196" si="148">$CE$3</f>
        <v>217.8880462742099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10.695935050134979</v>
      </c>
      <c r="CL133" s="21">
        <f>EXP(-LN(2)/25)*CL132+(1-EXP(-LN(2)/25))/(LN(2)/25)*Calculateur!CG133*Calculateur!CI133*VLOOKUP('Données projet'!$B$12,Paramètres!$A$1:$I$89,3,0)*0.475*44/12</f>
        <v>2.0822300537133165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12.778165103848295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261.10917418234862</v>
      </c>
      <c r="T134" s="59">
        <f t="shared" si="142"/>
        <v>327.65691162938418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110.91025641025641</v>
      </c>
      <c r="AG134" s="12">
        <f>VLOOKUP(A134,'Données projet'!$A$61:$I$81,9,0)</f>
        <v>1.5064102564102591</v>
      </c>
      <c r="AH134" s="12">
        <f t="array" ref="AH134">INDEX(AG:AG,MIN(IF(ISNUMBER(AG134:AG330),ROW(AG134:AG330),"")))</f>
        <v>1.5064102564102591</v>
      </c>
      <c r="AI134" s="13">
        <f>IF('Données projet'!$A$62&gt;35,AI133+AH134-AQ133,IF(A134&lt;'Données projet'!$A$62,$AF$205^A134,IF(A134='Données projet'!$A$62,'Données projet'!$B$62,AI133+AH134-AQ133)))</f>
        <v>110.91025641025698</v>
      </c>
      <c r="AJ134" s="13">
        <f>AI134*VLOOKUP('Données projet'!$B$10,Paramètres!$A$1:$I$89,3,0)*VLOOKUP('Données projet'!$B$10,Paramètres!$A$1:$I$89,5,0)</f>
        <v>110.73280000000057</v>
      </c>
      <c r="AK134" s="13">
        <f t="shared" si="143"/>
        <v>29.503571192759605</v>
      </c>
      <c r="AL134" s="20">
        <f t="shared" si="112"/>
        <v>244.24501316072394</v>
      </c>
      <c r="AM134" s="59">
        <f t="shared" si="113"/>
        <v>537.57834649405731</v>
      </c>
      <c r="AN134" s="59">
        <f ca="1">AVERAGE(OFFSET($AM$3,0,0,'Données projet'!$E$10+1,1))-AVERAGE(OFFSET($H$3,0,0,'Données projet'!$E$10+1,1))</f>
        <v>306.38046634523579</v>
      </c>
      <c r="AO134" s="59">
        <f t="shared" si="144"/>
        <v>229.77251296097705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110.91025641025641</v>
      </c>
      <c r="AR134" s="16">
        <f>IF(ISNA(VLOOKUP(A134,'Données projet'!$A$61:$I$81,5,0)),0%,VLOOKUP(A134,'Données projet'!$A$61:$I$81,5,0)*VLOOKUP('Données projet'!$B$10,Paramètres!$A$1:$I$89,7,0))</f>
        <v>0.38700000000000001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188.67400846060343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188.67400846060343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110.91025641025641</v>
      </c>
      <c r="BB134" s="12">
        <f>VLOOKUP(A134,'Données projet'!$A$87:$I$107,9,0)</f>
        <v>1.5064102564102591</v>
      </c>
      <c r="BC134" s="12">
        <f t="array" ref="BC134">INDEX(BB:BB,MIN(IF(ISNUMBER(BB134:BB330),ROW(BB134:BB330),"")))</f>
        <v>1.5064102564102591</v>
      </c>
      <c r="BD134" s="12">
        <f>IF('Données projet'!$A$88&gt;35,BD133+BC134-BL133,IF(A134&lt;'Données projet'!$A$88,$BA$205^A134,IF(A134='Données projet'!$A$88,'Données projet'!$B$88,BD133+BC134-BL133)))</f>
        <v>110.91025641025698</v>
      </c>
      <c r="BE134" s="13">
        <f>BD134*VLOOKUP('Données projet'!$B$11,Paramètres!$A$1:$I$89,3,0)*VLOOKUP('Données projet'!$B$11,Paramètres!$A$1:$I$89,5,0)</f>
        <v>112.46300000000058</v>
      </c>
      <c r="BF134" s="13">
        <f t="shared" si="145"/>
        <v>29.910536589672557</v>
      </c>
      <c r="BG134" s="20">
        <f t="shared" si="115"/>
        <v>247.96724289368069</v>
      </c>
      <c r="BH134" s="59">
        <f t="shared" si="116"/>
        <v>541.30057622701406</v>
      </c>
      <c r="BI134" s="59">
        <f ca="1">AVERAGE(OFFSET($BH$3,0,0,'Données projet'!$E$11+1,1))-AVERAGE(OFFSET($H$3,0,0,'Données projet'!$E$11+1,1))</f>
        <v>312.29056285877169</v>
      </c>
      <c r="BJ134" s="59">
        <f t="shared" si="146"/>
        <v>233.85454224241693</v>
      </c>
      <c r="BK134" s="15">
        <f>IF(ISNA(VLOOKUP(A134,'Données projet'!$A$87:$I$107,3,0)),0,VLOOKUP(A134,'Données projet'!$A$87:$I$107,3,0))</f>
        <v>14</v>
      </c>
      <c r="BL134" s="15">
        <f>IF(ISNA(VLOOKUP(A134,'Données projet'!$A$87:$I$107,4,0)),0,VLOOKUP(A134,'Données projet'!$A$87:$I$107,4,0))</f>
        <v>110.91025641025641</v>
      </c>
      <c r="BM134" s="16">
        <f>IF(ISNA(VLOOKUP(A134,'Données projet'!$A$87:$I$107,5,0)),0%,VLOOKUP(A134,'Données projet'!$A$87:$I$107,5,0)*VLOOKUP('Données projet'!$B$11,Paramètres!$A$1:$I$89,7,0))</f>
        <v>0.38700000000000001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191.62203984280035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191.62203984280035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266.99999999999983</v>
      </c>
      <c r="BZ134" s="13">
        <f>BY134*VLOOKUP('Données projet'!$B$12,Paramètres!$A$1:$I$89,3,0)*VLOOKUP('Données projet'!$B$12,Paramètres!$A$1:$I$89,5,0)</f>
        <v>212.42519999999985</v>
      </c>
      <c r="CA134" s="13">
        <f t="shared" si="147"/>
        <v>52.465198231787184</v>
      </c>
      <c r="CB134" s="20">
        <f t="shared" si="118"/>
        <v>461.35077692036231</v>
      </c>
      <c r="CC134" s="59">
        <f t="shared" si="119"/>
        <v>754.68411025369562</v>
      </c>
      <c r="CD134" s="59">
        <f ca="1">AVERAGE(OFFSET($CC$3,0,0,'Données projet'!$E$12+1,1))-AVERAGE(OFFSET($H$3,0,0,'Données projet'!$E$12+1,1))</f>
        <v>219.43439115440339</v>
      </c>
      <c r="CE134" s="59">
        <f t="shared" si="148"/>
        <v>217.8880462742099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10.486194287678034</v>
      </c>
      <c r="CL134" s="21">
        <f>EXP(-LN(2)/25)*CL133+(1-EXP(-LN(2)/25))/(LN(2)/25)*Calculateur!CG134*Calculateur!CI134*VLOOKUP('Données projet'!$B$12,Paramètres!$A$1:$I$89,3,0)*0.475*44/12</f>
        <v>2.0252913633948064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12.51148565107284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261.10917418234862</v>
      </c>
      <c r="T135" s="59">
        <f t="shared" si="142"/>
        <v>327.65691162938418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5.6752469390630732E-13</v>
      </c>
      <c r="AK135" s="13">
        <f t="shared" si="143"/>
        <v>6.9658320883814946E-12</v>
      </c>
      <c r="AL135" s="20">
        <f t="shared" si="112"/>
        <v>1.3120596395817921E-11</v>
      </c>
      <c r="AM135" s="59">
        <f t="shared" si="113"/>
        <v>293.33333333334645</v>
      </c>
      <c r="AN135" s="59">
        <f ca="1">AVERAGE(OFFSET($AM$3,0,0,'Données projet'!$E$10+1,1))-AVERAGE(OFFSET($H$3,0,0,'Données projet'!$E$10+1,1))</f>
        <v>306.38046634523579</v>
      </c>
      <c r="AO135" s="59">
        <f t="shared" si="144"/>
        <v>229.77251296097705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184.97422623447298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184.97422623447298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5.6843418860808015E-13</v>
      </c>
      <c r="BE135" s="13">
        <f>BD135*VLOOKUP('Données projet'!$B$11,Paramètres!$A$1:$I$89,3,0)*VLOOKUP('Données projet'!$B$11,Paramètres!$A$1:$I$89,5,0)</f>
        <v>5.763922672485933E-13</v>
      </c>
      <c r="BF135" s="13">
        <f t="shared" si="145"/>
        <v>7.0619171555808457E-12</v>
      </c>
      <c r="BG135" s="20">
        <f t="shared" si="115"/>
        <v>1.3303388911427938E-11</v>
      </c>
      <c r="BH135" s="59">
        <f t="shared" si="116"/>
        <v>293.33333333334662</v>
      </c>
      <c r="BI135" s="59">
        <f ca="1">AVERAGE(OFFSET($BH$3,0,0,'Données projet'!$E$11+1,1))-AVERAGE(OFFSET($H$3,0,0,'Données projet'!$E$11+1,1))</f>
        <v>312.29056285877169</v>
      </c>
      <c r="BJ135" s="59">
        <f t="shared" si="146"/>
        <v>233.85454224241693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187.8644485193866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187.8644485193866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266.99999999999983</v>
      </c>
      <c r="BZ135" s="13">
        <f>BY135*VLOOKUP('Données projet'!$B$12,Paramètres!$A$1:$I$89,3,0)*VLOOKUP('Données projet'!$B$12,Paramètres!$A$1:$I$89,5,0)</f>
        <v>212.42519999999985</v>
      </c>
      <c r="CA135" s="13">
        <f t="shared" si="147"/>
        <v>52.465198231787184</v>
      </c>
      <c r="CB135" s="20">
        <f t="shared" si="118"/>
        <v>461.35077692036231</v>
      </c>
      <c r="CC135" s="59">
        <f t="shared" si="119"/>
        <v>754.68411025369562</v>
      </c>
      <c r="CD135" s="59">
        <f ca="1">AVERAGE(OFFSET($CC$3,0,0,'Données projet'!$E$12+1,1))-AVERAGE(OFFSET($H$3,0,0,'Données projet'!$E$12+1,1))</f>
        <v>219.43439115440339</v>
      </c>
      <c r="CE135" s="59">
        <f t="shared" si="148"/>
        <v>217.8880462742099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10.280566413643635</v>
      </c>
      <c r="CL135" s="21">
        <f>EXP(-LN(2)/25)*CL134+(1-EXP(-LN(2)/25))/(LN(2)/25)*Calculateur!CG135*Calculateur!CI135*VLOOKUP('Données projet'!$B$12,Paramètres!$A$1:$I$89,3,0)*0.475*44/12</f>
        <v>1.9699096645573315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12.250476078200967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261.10917418234862</v>
      </c>
      <c r="T136" s="59">
        <f t="shared" si="142"/>
        <v>327.65691162938418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5.6752469390630732E-13</v>
      </c>
      <c r="AK136" s="13">
        <f t="shared" si="143"/>
        <v>6.9658320883814946E-12</v>
      </c>
      <c r="AL136" s="20">
        <f t="shared" si="112"/>
        <v>1.3120596395817921E-11</v>
      </c>
      <c r="AM136" s="59">
        <f t="shared" si="113"/>
        <v>293.33333333334645</v>
      </c>
      <c r="AN136" s="59">
        <f ca="1">AVERAGE(OFFSET($AM$3,0,0,'Données projet'!$E$10+1,1))-AVERAGE(OFFSET($H$3,0,0,'Données projet'!$E$10+1,1))</f>
        <v>306.38046634523579</v>
      </c>
      <c r="AO136" s="59">
        <f t="shared" si="144"/>
        <v>229.77251296097705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181.34699448115262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181.34699448115262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5.6843418860808015E-13</v>
      </c>
      <c r="BE136" s="13">
        <f>BD136*VLOOKUP('Données projet'!$B$11,Paramètres!$A$1:$I$89,3,0)*VLOOKUP('Données projet'!$B$11,Paramètres!$A$1:$I$89,5,0)</f>
        <v>5.763922672485933E-13</v>
      </c>
      <c r="BF136" s="13">
        <f t="shared" si="145"/>
        <v>7.0619171555808457E-12</v>
      </c>
      <c r="BG136" s="20">
        <f t="shared" si="115"/>
        <v>1.3303388911427938E-11</v>
      </c>
      <c r="BH136" s="59">
        <f t="shared" si="116"/>
        <v>293.33333333334662</v>
      </c>
      <c r="BI136" s="59">
        <f ca="1">AVERAGE(OFFSET($BH$3,0,0,'Données projet'!$E$11+1,1))-AVERAGE(OFFSET($H$3,0,0,'Données projet'!$E$11+1,1))</f>
        <v>312.29056285877169</v>
      </c>
      <c r="BJ136" s="59">
        <f t="shared" si="146"/>
        <v>233.85454224241693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184.18054126992061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184.18054126992061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266.99999999999983</v>
      </c>
      <c r="BZ136" s="13">
        <f>BY136*VLOOKUP('Données projet'!$B$12,Paramètres!$A$1:$I$89,3,0)*VLOOKUP('Données projet'!$B$12,Paramètres!$A$1:$I$89,5,0)</f>
        <v>212.42519999999985</v>
      </c>
      <c r="CA136" s="13">
        <f t="shared" si="147"/>
        <v>52.465198231787184</v>
      </c>
      <c r="CB136" s="20">
        <f t="shared" si="118"/>
        <v>461.35077692036231</v>
      </c>
      <c r="CC136" s="59">
        <f t="shared" si="119"/>
        <v>754.68411025369562</v>
      </c>
      <c r="CD136" s="59">
        <f ca="1">AVERAGE(OFFSET($CC$3,0,0,'Données projet'!$E$12+1,1))-AVERAGE(OFFSET($H$3,0,0,'Données projet'!$E$12+1,1))</f>
        <v>219.43439115440339</v>
      </c>
      <c r="CE136" s="59">
        <f t="shared" si="148"/>
        <v>217.8880462742099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10.078970776798434</v>
      </c>
      <c r="CL136" s="21">
        <f>EXP(-LN(2)/25)*CL135+(1-EXP(-LN(2)/25))/(LN(2)/25)*Calculateur!CG136*Calculateur!CI136*VLOOKUP('Données projet'!$B$12,Paramètres!$A$1:$I$89,3,0)*0.475*44/12</f>
        <v>1.9160423811869642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11.995013157985397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261.10917418234862</v>
      </c>
      <c r="T137" s="59">
        <f t="shared" si="142"/>
        <v>327.65691162938418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5.6752469390630732E-13</v>
      </c>
      <c r="AK137" s="13">
        <f t="shared" si="143"/>
        <v>6.9658320883814946E-12</v>
      </c>
      <c r="AL137" s="20">
        <f t="shared" si="112"/>
        <v>1.3120596395817921E-11</v>
      </c>
      <c r="AM137" s="59">
        <f t="shared" si="113"/>
        <v>293.33333333334645</v>
      </c>
      <c r="AN137" s="59">
        <f ca="1">AVERAGE(OFFSET($AM$3,0,0,'Données projet'!$E$10+1,1))-AVERAGE(OFFSET($H$3,0,0,'Données projet'!$E$10+1,1))</f>
        <v>306.38046634523579</v>
      </c>
      <c r="AO137" s="59">
        <f t="shared" si="144"/>
        <v>229.77251296097705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177.79089053012194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177.79089053012194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5.6843418860808015E-13</v>
      </c>
      <c r="BE137" s="13">
        <f>BD137*VLOOKUP('Données projet'!$B$11,Paramètres!$A$1:$I$89,3,0)*VLOOKUP('Données projet'!$B$11,Paramètres!$A$1:$I$89,5,0)</f>
        <v>5.763922672485933E-13</v>
      </c>
      <c r="BF137" s="13">
        <f t="shared" si="145"/>
        <v>7.0619171555808457E-12</v>
      </c>
      <c r="BG137" s="20">
        <f t="shared" si="115"/>
        <v>1.3303388911427938E-11</v>
      </c>
      <c r="BH137" s="59">
        <f t="shared" si="116"/>
        <v>293.33333333334662</v>
      </c>
      <c r="BI137" s="59">
        <f ca="1">AVERAGE(OFFSET($BH$3,0,0,'Données projet'!$E$11+1,1))-AVERAGE(OFFSET($H$3,0,0,'Données projet'!$E$11+1,1))</f>
        <v>312.29056285877169</v>
      </c>
      <c r="BJ137" s="59">
        <f t="shared" si="146"/>
        <v>233.85454224241693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180.56887319465508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180.56887319465508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266.99999999999983</v>
      </c>
      <c r="BZ137" s="13">
        <f>BY137*VLOOKUP('Données projet'!$B$12,Paramètres!$A$1:$I$89,3,0)*VLOOKUP('Données projet'!$B$12,Paramètres!$A$1:$I$89,5,0)</f>
        <v>212.42519999999985</v>
      </c>
      <c r="CA137" s="13">
        <f t="shared" si="147"/>
        <v>52.465198231787184</v>
      </c>
      <c r="CB137" s="20">
        <f t="shared" si="118"/>
        <v>461.35077692036231</v>
      </c>
      <c r="CC137" s="59">
        <f t="shared" si="119"/>
        <v>754.68411025369562</v>
      </c>
      <c r="CD137" s="59">
        <f ca="1">AVERAGE(OFFSET($CC$3,0,0,'Données projet'!$E$12+1,1))-AVERAGE(OFFSET($H$3,0,0,'Données projet'!$E$12+1,1))</f>
        <v>219.43439115440339</v>
      </c>
      <c r="CE137" s="59">
        <f t="shared" si="148"/>
        <v>217.8880462742099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9.881328307430568</v>
      </c>
      <c r="CL137" s="21">
        <f>EXP(-LN(2)/25)*CL136+(1-EXP(-LN(2)/25))/(LN(2)/25)*Calculateur!CG137*Calculateur!CI137*VLOOKUP('Données projet'!$B$12,Paramètres!$A$1:$I$89,3,0)*0.475*44/12</f>
        <v>1.863648101513117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11.744976408943685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261.10917418234862</v>
      </c>
      <c r="T138" s="59">
        <f t="shared" si="142"/>
        <v>327.65691162938418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5.6752469390630732E-13</v>
      </c>
      <c r="AK138" s="13">
        <f t="shared" si="143"/>
        <v>6.9658320883814946E-12</v>
      </c>
      <c r="AL138" s="20">
        <f t="shared" si="112"/>
        <v>1.3120596395817921E-11</v>
      </c>
      <c r="AM138" s="59">
        <f t="shared" si="113"/>
        <v>293.33333333334645</v>
      </c>
      <c r="AN138" s="59">
        <f ca="1">AVERAGE(OFFSET($AM$3,0,0,'Données projet'!$E$10+1,1))-AVERAGE(OFFSET($H$3,0,0,'Données projet'!$E$10+1,1))</f>
        <v>306.38046634523579</v>
      </c>
      <c r="AO138" s="59">
        <f t="shared" si="144"/>
        <v>229.77251296097705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174.30451960856175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174.30451960856175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5.6843418860808015E-13</v>
      </c>
      <c r="BE138" s="13">
        <f>BD138*VLOOKUP('Données projet'!$B$11,Paramètres!$A$1:$I$89,3,0)*VLOOKUP('Données projet'!$B$11,Paramètres!$A$1:$I$89,5,0)</f>
        <v>5.763922672485933E-13</v>
      </c>
      <c r="BF138" s="13">
        <f t="shared" si="145"/>
        <v>7.0619171555808457E-12</v>
      </c>
      <c r="BG138" s="20">
        <f t="shared" si="115"/>
        <v>1.3303388911427938E-11</v>
      </c>
      <c r="BH138" s="59">
        <f t="shared" si="116"/>
        <v>293.33333333334662</v>
      </c>
      <c r="BI138" s="59">
        <f ca="1">AVERAGE(OFFSET($BH$3,0,0,'Données projet'!$E$11+1,1))-AVERAGE(OFFSET($H$3,0,0,'Données projet'!$E$11+1,1))</f>
        <v>312.29056285877169</v>
      </c>
      <c r="BJ138" s="59">
        <f t="shared" si="146"/>
        <v>233.85454224241693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177.0280277274455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177.0280277274455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266.99999999999983</v>
      </c>
      <c r="BZ138" s="13">
        <f>BY138*VLOOKUP('Données projet'!$B$12,Paramètres!$A$1:$I$89,3,0)*VLOOKUP('Données projet'!$B$12,Paramètres!$A$1:$I$89,5,0)</f>
        <v>212.42519999999985</v>
      </c>
      <c r="CA138" s="13">
        <f t="shared" si="147"/>
        <v>52.465198231787184</v>
      </c>
      <c r="CB138" s="20">
        <f t="shared" si="118"/>
        <v>461.35077692036231</v>
      </c>
      <c r="CC138" s="59">
        <f t="shared" si="119"/>
        <v>754.68411025369562</v>
      </c>
      <c r="CD138" s="59">
        <f ca="1">AVERAGE(OFFSET($CC$3,0,0,'Données projet'!$E$12+1,1))-AVERAGE(OFFSET($H$3,0,0,'Données projet'!$E$12+1,1))</f>
        <v>219.43439115440339</v>
      </c>
      <c r="CE138" s="59">
        <f t="shared" si="148"/>
        <v>217.8880462742099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9.6875614863370032</v>
      </c>
      <c r="CL138" s="21">
        <f>EXP(-LN(2)/25)*CL137+(1-EXP(-LN(2)/25))/(LN(2)/25)*Calculateur!CG138*Calculateur!CI138*VLOOKUP('Données projet'!$B$12,Paramètres!$A$1:$I$89,3,0)*0.475*44/12</f>
        <v>1.8126865461722466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11.50024803250925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261.10917418234862</v>
      </c>
      <c r="T139" s="59">
        <f t="shared" si="142"/>
        <v>327.65691162938418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5.6752469390630732E-13</v>
      </c>
      <c r="AK139" s="13">
        <f t="shared" si="143"/>
        <v>6.9658320883814946E-12</v>
      </c>
      <c r="AL139" s="20">
        <f t="shared" si="112"/>
        <v>1.3120596395817921E-11</v>
      </c>
      <c r="AM139" s="59">
        <f t="shared" si="113"/>
        <v>293.33333333334645</v>
      </c>
      <c r="AN139" s="59">
        <f ca="1">AVERAGE(OFFSET($AM$3,0,0,'Données projet'!$E$10+1,1))-AVERAGE(OFFSET($H$3,0,0,'Données projet'!$E$10+1,1))</f>
        <v>306.38046634523579</v>
      </c>
      <c r="AO139" s="59">
        <f t="shared" si="144"/>
        <v>229.77251296097705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170.88651429429706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170.88651429429706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5.6843418860808015E-13</v>
      </c>
      <c r="BE139" s="13">
        <f>BD139*VLOOKUP('Données projet'!$B$11,Paramètres!$A$1:$I$89,3,0)*VLOOKUP('Données projet'!$B$11,Paramètres!$A$1:$I$89,5,0)</f>
        <v>5.763922672485933E-13</v>
      </c>
      <c r="BF139" s="13">
        <f t="shared" si="145"/>
        <v>7.0619171555808457E-12</v>
      </c>
      <c r="BG139" s="20">
        <f t="shared" si="115"/>
        <v>1.3303388911427938E-11</v>
      </c>
      <c r="BH139" s="59">
        <f t="shared" si="116"/>
        <v>293.33333333334662</v>
      </c>
      <c r="BI139" s="59">
        <f ca="1">AVERAGE(OFFSET($BH$3,0,0,'Données projet'!$E$11+1,1))-AVERAGE(OFFSET($H$3,0,0,'Données projet'!$E$11+1,1))</f>
        <v>312.29056285877169</v>
      </c>
      <c r="BJ139" s="59">
        <f t="shared" si="146"/>
        <v>233.85454224241693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173.55661608014543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173.55661608014543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266.99999999999983</v>
      </c>
      <c r="BZ139" s="13">
        <f>BY139*VLOOKUP('Données projet'!$B$12,Paramètres!$A$1:$I$89,3,0)*VLOOKUP('Données projet'!$B$12,Paramètres!$A$1:$I$89,5,0)</f>
        <v>212.42519999999985</v>
      </c>
      <c r="CA139" s="13">
        <f t="shared" si="147"/>
        <v>52.465198231787184</v>
      </c>
      <c r="CB139" s="20">
        <f t="shared" si="118"/>
        <v>461.35077692036231</v>
      </c>
      <c r="CC139" s="59">
        <f t="shared" si="119"/>
        <v>754.68411025369562</v>
      </c>
      <c r="CD139" s="59">
        <f ca="1">AVERAGE(OFFSET($CC$3,0,0,'Données projet'!$E$12+1,1))-AVERAGE(OFFSET($H$3,0,0,'Données projet'!$E$12+1,1))</f>
        <v>219.43439115440339</v>
      </c>
      <c r="CE139" s="59">
        <f t="shared" si="148"/>
        <v>217.8880462742099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9.4975943144189934</v>
      </c>
      <c r="CL139" s="21">
        <f>EXP(-LN(2)/25)*CL138+(1-EXP(-LN(2)/25))/(LN(2)/25)*Calculateur!CG139*Calculateur!CI139*VLOOKUP('Données projet'!$B$12,Paramètres!$A$1:$I$89,3,0)*0.475*44/12</f>
        <v>1.7631185372421239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11.260712851661117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261.10917418234862</v>
      </c>
      <c r="T140" s="59">
        <f t="shared" si="142"/>
        <v>327.65691162938418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5.6752469390630732E-13</v>
      </c>
      <c r="AK140" s="13">
        <f t="shared" si="143"/>
        <v>6.9658320883814946E-12</v>
      </c>
      <c r="AL140" s="20">
        <f t="shared" si="112"/>
        <v>1.3120596395817921E-11</v>
      </c>
      <c r="AM140" s="59">
        <f t="shared" si="113"/>
        <v>293.33333333334645</v>
      </c>
      <c r="AN140" s="59">
        <f ca="1">AVERAGE(OFFSET($AM$3,0,0,'Données projet'!$E$10+1,1))-AVERAGE(OFFSET($H$3,0,0,'Données projet'!$E$10+1,1))</f>
        <v>306.38046634523579</v>
      </c>
      <c r="AO140" s="59">
        <f t="shared" si="144"/>
        <v>229.77251296097705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167.53553397946771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167.53553397946771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5.6843418860808015E-13</v>
      </c>
      <c r="BE140" s="13">
        <f>BD140*VLOOKUP('Données projet'!$B$11,Paramètres!$A$1:$I$89,3,0)*VLOOKUP('Données projet'!$B$11,Paramètres!$A$1:$I$89,5,0)</f>
        <v>5.763922672485933E-13</v>
      </c>
      <c r="BF140" s="13">
        <f t="shared" si="145"/>
        <v>7.0619171555808457E-12</v>
      </c>
      <c r="BG140" s="20">
        <f t="shared" si="115"/>
        <v>1.3303388911427938E-11</v>
      </c>
      <c r="BH140" s="59">
        <f t="shared" si="116"/>
        <v>293.33333333334662</v>
      </c>
      <c r="BI140" s="59">
        <f ca="1">AVERAGE(OFFSET($BH$3,0,0,'Données projet'!$E$11+1,1))-AVERAGE(OFFSET($H$3,0,0,'Données projet'!$E$11+1,1))</f>
        <v>312.29056285877169</v>
      </c>
      <c r="BJ140" s="59">
        <f t="shared" si="146"/>
        <v>233.85454224241693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170.15327669789687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170.15327669789687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266.99999999999983</v>
      </c>
      <c r="BZ140" s="13">
        <f>BY140*VLOOKUP('Données projet'!$B$12,Paramètres!$A$1:$I$89,3,0)*VLOOKUP('Données projet'!$B$12,Paramètres!$A$1:$I$89,5,0)</f>
        <v>212.42519999999985</v>
      </c>
      <c r="CA140" s="13">
        <f t="shared" si="147"/>
        <v>52.465198231787184</v>
      </c>
      <c r="CB140" s="20">
        <f t="shared" si="118"/>
        <v>461.35077692036231</v>
      </c>
      <c r="CC140" s="59">
        <f t="shared" si="119"/>
        <v>754.68411025369562</v>
      </c>
      <c r="CD140" s="59">
        <f ca="1">AVERAGE(OFFSET($CC$3,0,0,'Données projet'!$E$12+1,1))-AVERAGE(OFFSET($H$3,0,0,'Données projet'!$E$12+1,1))</f>
        <v>219.43439115440339</v>
      </c>
      <c r="CE140" s="59">
        <f t="shared" si="148"/>
        <v>217.8880462742099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9.3113522828737612</v>
      </c>
      <c r="CL140" s="21">
        <f>EXP(-LN(2)/25)*CL139+(1-EXP(-LN(2)/25))/(LN(2)/25)*Calculateur!CG140*Calculateur!CI140*VLOOKUP('Données projet'!$B$12,Paramètres!$A$1:$I$89,3,0)*0.475*44/12</f>
        <v>1.7149059681228638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11.026258250996625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261.10917418234862</v>
      </c>
      <c r="T141" s="59">
        <f t="shared" si="142"/>
        <v>327.65691162938418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5.6752469390630732E-13</v>
      </c>
      <c r="AK141" s="13">
        <f t="shared" si="143"/>
        <v>6.9658320883814946E-12</v>
      </c>
      <c r="AL141" s="20">
        <f t="shared" si="112"/>
        <v>1.3120596395817921E-11</v>
      </c>
      <c r="AM141" s="59">
        <f t="shared" si="113"/>
        <v>293.33333333334645</v>
      </c>
      <c r="AN141" s="59">
        <f ca="1">AVERAGE(OFFSET($AM$3,0,0,'Données projet'!$E$10+1,1))-AVERAGE(OFFSET($H$3,0,0,'Données projet'!$E$10+1,1))</f>
        <v>306.38046634523579</v>
      </c>
      <c r="AO141" s="59">
        <f t="shared" si="144"/>
        <v>229.77251296097705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164.25026434471599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164.25026434471599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5.6843418860808015E-13</v>
      </c>
      <c r="BE141" s="13">
        <f>BD141*VLOOKUP('Données projet'!$B$11,Paramètres!$A$1:$I$89,3,0)*VLOOKUP('Données projet'!$B$11,Paramètres!$A$1:$I$89,5,0)</f>
        <v>5.763922672485933E-13</v>
      </c>
      <c r="BF141" s="13">
        <f t="shared" si="145"/>
        <v>7.0619171555808457E-12</v>
      </c>
      <c r="BG141" s="20">
        <f t="shared" si="115"/>
        <v>1.3303388911427938E-11</v>
      </c>
      <c r="BH141" s="59">
        <f t="shared" si="116"/>
        <v>293.33333333334662</v>
      </c>
      <c r="BI141" s="59">
        <f ca="1">AVERAGE(OFFSET($BH$3,0,0,'Données projet'!$E$11+1,1))-AVERAGE(OFFSET($H$3,0,0,'Données projet'!$E$11+1,1))</f>
        <v>312.29056285877169</v>
      </c>
      <c r="BJ141" s="59">
        <f t="shared" si="146"/>
        <v>233.85454224241693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166.81667472510216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166.81667472510216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266.99999999999983</v>
      </c>
      <c r="BZ141" s="13">
        <f>BY141*VLOOKUP('Données projet'!$B$12,Paramètres!$A$1:$I$89,3,0)*VLOOKUP('Données projet'!$B$12,Paramètres!$A$1:$I$89,5,0)</f>
        <v>212.42519999999985</v>
      </c>
      <c r="CA141" s="13">
        <f t="shared" si="147"/>
        <v>52.465198231787184</v>
      </c>
      <c r="CB141" s="20">
        <f t="shared" si="118"/>
        <v>461.35077692036231</v>
      </c>
      <c r="CC141" s="59">
        <f t="shared" si="119"/>
        <v>754.68411025369562</v>
      </c>
      <c r="CD141" s="59">
        <f ca="1">AVERAGE(OFFSET($CC$3,0,0,'Données projet'!$E$12+1,1))-AVERAGE(OFFSET($H$3,0,0,'Données projet'!$E$12+1,1))</f>
        <v>219.43439115440339</v>
      </c>
      <c r="CE141" s="59">
        <f t="shared" si="148"/>
        <v>217.8880462742099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9.128762343970708</v>
      </c>
      <c r="CL141" s="21">
        <f>EXP(-LN(2)/25)*CL140+(1-EXP(-LN(2)/25))/(LN(2)/25)*Calculateur!CG141*Calculateur!CI141*VLOOKUP('Données projet'!$B$12,Paramètres!$A$1:$I$89,3,0)*0.475*44/12</f>
        <v>1.6680117742415588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10.796774118212266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261.10917418234862</v>
      </c>
      <c r="T142" s="59">
        <f t="shared" si="142"/>
        <v>327.65691162938418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5.6752469390630732E-13</v>
      </c>
      <c r="AK142" s="13">
        <f t="shared" si="143"/>
        <v>6.9658320883814946E-12</v>
      </c>
      <c r="AL142" s="20">
        <f t="shared" si="112"/>
        <v>1.3120596395817921E-11</v>
      </c>
      <c r="AM142" s="59">
        <f t="shared" si="113"/>
        <v>293.33333333334645</v>
      </c>
      <c r="AN142" s="59">
        <f ca="1">AVERAGE(OFFSET($AM$3,0,0,'Données projet'!$E$10+1,1))-AVERAGE(OFFSET($H$3,0,0,'Données projet'!$E$10+1,1))</f>
        <v>306.38046634523579</v>
      </c>
      <c r="AO142" s="59">
        <f t="shared" si="144"/>
        <v>229.77251296097705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161.02941684368514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161.02941684368514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5.6843418860808015E-13</v>
      </c>
      <c r="BE142" s="13">
        <f>BD142*VLOOKUP('Données projet'!$B$11,Paramètres!$A$1:$I$89,3,0)*VLOOKUP('Données projet'!$B$11,Paramètres!$A$1:$I$89,5,0)</f>
        <v>5.763922672485933E-13</v>
      </c>
      <c r="BF142" s="13">
        <f t="shared" si="145"/>
        <v>7.0619171555808457E-12</v>
      </c>
      <c r="BG142" s="20">
        <f t="shared" si="115"/>
        <v>1.3303388911427938E-11</v>
      </c>
      <c r="BH142" s="59">
        <f t="shared" si="116"/>
        <v>293.33333333334662</v>
      </c>
      <c r="BI142" s="59">
        <f ca="1">AVERAGE(OFFSET($BH$3,0,0,'Données projet'!$E$11+1,1))-AVERAGE(OFFSET($H$3,0,0,'Données projet'!$E$11+1,1))</f>
        <v>312.29056285877169</v>
      </c>
      <c r="BJ142" s="59">
        <f t="shared" si="146"/>
        <v>233.85454224241693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163.54550148186769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163.54550148186769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266.99999999999983</v>
      </c>
      <c r="BZ142" s="13">
        <f>BY142*VLOOKUP('Données projet'!$B$12,Paramètres!$A$1:$I$89,3,0)*VLOOKUP('Données projet'!$B$12,Paramètres!$A$1:$I$89,5,0)</f>
        <v>212.42519999999985</v>
      </c>
      <c r="CA142" s="13">
        <f t="shared" si="147"/>
        <v>52.465198231787184</v>
      </c>
      <c r="CB142" s="20">
        <f t="shared" si="118"/>
        <v>461.35077692036231</v>
      </c>
      <c r="CC142" s="59">
        <f t="shared" si="119"/>
        <v>754.68411025369562</v>
      </c>
      <c r="CD142" s="59">
        <f ca="1">AVERAGE(OFFSET($CC$3,0,0,'Données projet'!$E$12+1,1))-AVERAGE(OFFSET($H$3,0,0,'Données projet'!$E$12+1,1))</f>
        <v>219.43439115440339</v>
      </c>
      <c r="CE142" s="59">
        <f t="shared" si="148"/>
        <v>217.8880462742099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8.9497528824006789</v>
      </c>
      <c r="CL142" s="21">
        <f>EXP(-LN(2)/25)*CL141+(1-EXP(-LN(2)/25))/(LN(2)/25)*Calculateur!CG142*Calculateur!CI142*VLOOKUP('Données projet'!$B$12,Paramètres!$A$1:$I$89,3,0)*0.475*44/12</f>
        <v>1.6223999045579964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10.572152786958675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261.10917418234862</v>
      </c>
      <c r="T143" s="59">
        <f t="shared" si="142"/>
        <v>327.65691162938418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5.6752469390630732E-13</v>
      </c>
      <c r="AK143" s="13">
        <f t="shared" si="143"/>
        <v>6.9658320883814946E-12</v>
      </c>
      <c r="AL143" s="20">
        <f t="shared" si="112"/>
        <v>1.3120596395817921E-11</v>
      </c>
      <c r="AM143" s="59">
        <f t="shared" si="113"/>
        <v>293.33333333334645</v>
      </c>
      <c r="AN143" s="59">
        <f ca="1">AVERAGE(OFFSET($AM$3,0,0,'Données projet'!$E$10+1,1))-AVERAGE(OFFSET($H$3,0,0,'Données projet'!$E$10+1,1))</f>
        <v>306.38046634523579</v>
      </c>
      <c r="AO143" s="59">
        <f t="shared" si="144"/>
        <v>229.77251296097705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157.87172819762651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157.87172819762651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5.6843418860808015E-13</v>
      </c>
      <c r="BE143" s="13">
        <f>BD143*VLOOKUP('Données projet'!$B$11,Paramètres!$A$1:$I$89,3,0)*VLOOKUP('Données projet'!$B$11,Paramètres!$A$1:$I$89,5,0)</f>
        <v>5.763922672485933E-13</v>
      </c>
      <c r="BF143" s="13">
        <f t="shared" si="145"/>
        <v>7.0619171555808457E-12</v>
      </c>
      <c r="BG143" s="20">
        <f t="shared" si="115"/>
        <v>1.3303388911427938E-11</v>
      </c>
      <c r="BH143" s="59">
        <f t="shared" si="116"/>
        <v>293.33333333334662</v>
      </c>
      <c r="BI143" s="59">
        <f ca="1">AVERAGE(OFFSET($BH$3,0,0,'Données projet'!$E$11+1,1))-AVERAGE(OFFSET($H$3,0,0,'Données projet'!$E$11+1,1))</f>
        <v>312.29056285877169</v>
      </c>
      <c r="BJ143" s="59">
        <f t="shared" si="146"/>
        <v>233.85454224241693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160.33847395071439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160.33847395071439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266.99999999999983</v>
      </c>
      <c r="BZ143" s="13">
        <f>BY143*VLOOKUP('Données projet'!$B$12,Paramètres!$A$1:$I$89,3,0)*VLOOKUP('Données projet'!$B$12,Paramètres!$A$1:$I$89,5,0)</f>
        <v>212.42519999999985</v>
      </c>
      <c r="CA143" s="13">
        <f t="shared" si="147"/>
        <v>52.465198231787184</v>
      </c>
      <c r="CB143" s="20">
        <f t="shared" si="118"/>
        <v>461.35077692036231</v>
      </c>
      <c r="CC143" s="59">
        <f t="shared" si="119"/>
        <v>754.68411025369562</v>
      </c>
      <c r="CD143" s="59">
        <f ca="1">AVERAGE(OFFSET($CC$3,0,0,'Données projet'!$E$12+1,1))-AVERAGE(OFFSET($H$3,0,0,'Données projet'!$E$12+1,1))</f>
        <v>219.43439115440339</v>
      </c>
      <c r="CE143" s="59">
        <f t="shared" si="148"/>
        <v>217.8880462742099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8.7742536871870467</v>
      </c>
      <c r="CL143" s="21">
        <f>EXP(-LN(2)/25)*CL142+(1-EXP(-LN(2)/25))/(LN(2)/25)*Calculateur!CG143*Calculateur!CI143*VLOOKUP('Données projet'!$B$12,Paramètres!$A$1:$I$89,3,0)*0.475*44/12</f>
        <v>1.578035293849555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10.352288981036601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261.10917418234862</v>
      </c>
      <c r="T144" s="59">
        <f t="shared" si="142"/>
        <v>327.65691162938418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5.6752469390630732E-13</v>
      </c>
      <c r="AK144" s="13">
        <f t="shared" si="143"/>
        <v>6.9658320883814946E-12</v>
      </c>
      <c r="AL144" s="20">
        <f t="shared" si="112"/>
        <v>1.3120596395817921E-11</v>
      </c>
      <c r="AM144" s="59">
        <f t="shared" si="113"/>
        <v>293.33333333334645</v>
      </c>
      <c r="AN144" s="59">
        <f ca="1">AVERAGE(OFFSET($AM$3,0,0,'Données projet'!$E$10+1,1))-AVERAGE(OFFSET($H$3,0,0,'Données projet'!$E$10+1,1))</f>
        <v>306.38046634523579</v>
      </c>
      <c r="AO144" s="59">
        <f t="shared" si="144"/>
        <v>229.77251296097705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154.77595989991718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154.77595989991718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5.6843418860808015E-13</v>
      </c>
      <c r="BE144" s="13">
        <f>BD144*VLOOKUP('Données projet'!$B$11,Paramètres!$A$1:$I$89,3,0)*VLOOKUP('Données projet'!$B$11,Paramètres!$A$1:$I$89,5,0)</f>
        <v>5.763922672485933E-13</v>
      </c>
      <c r="BF144" s="13">
        <f t="shared" si="145"/>
        <v>7.0619171555808457E-12</v>
      </c>
      <c r="BG144" s="20">
        <f t="shared" si="115"/>
        <v>1.3303388911427938E-11</v>
      </c>
      <c r="BH144" s="59">
        <f t="shared" si="116"/>
        <v>293.33333333334662</v>
      </c>
      <c r="BI144" s="59">
        <f ca="1">AVERAGE(OFFSET($BH$3,0,0,'Données projet'!$E$11+1,1))-AVERAGE(OFFSET($H$3,0,0,'Données projet'!$E$11+1,1))</f>
        <v>312.29056285877169</v>
      </c>
      <c r="BJ144" s="59">
        <f t="shared" si="146"/>
        <v>233.85454224241693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157.19433427335335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157.19433427335335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266.99999999999983</v>
      </c>
      <c r="BZ144" s="13">
        <f>BY144*VLOOKUP('Données projet'!$B$12,Paramètres!$A$1:$I$89,3,0)*VLOOKUP('Données projet'!$B$12,Paramètres!$A$1:$I$89,5,0)</f>
        <v>212.42519999999985</v>
      </c>
      <c r="CA144" s="13">
        <f t="shared" si="147"/>
        <v>52.465198231787184</v>
      </c>
      <c r="CB144" s="20">
        <f t="shared" si="118"/>
        <v>461.35077692036231</v>
      </c>
      <c r="CC144" s="59">
        <f t="shared" si="119"/>
        <v>754.68411025369562</v>
      </c>
      <c r="CD144" s="59">
        <f ca="1">AVERAGE(OFFSET($CC$3,0,0,'Données projet'!$E$12+1,1))-AVERAGE(OFFSET($H$3,0,0,'Données projet'!$E$12+1,1))</f>
        <v>219.43439115440339</v>
      </c>
      <c r="CE144" s="59">
        <f t="shared" si="148"/>
        <v>217.8880462742099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8.6021959241476154</v>
      </c>
      <c r="CL144" s="21">
        <f>EXP(-LN(2)/25)*CL143+(1-EXP(-LN(2)/25))/(LN(2)/25)*Calculateur!CG144*Calculateur!CI144*VLOOKUP('Données projet'!$B$12,Paramètres!$A$1:$I$89,3,0)*0.475*44/12</f>
        <v>1.5348838357539694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10.137079759901585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261.10917418234862</v>
      </c>
      <c r="T145" s="59">
        <f t="shared" si="142"/>
        <v>327.65691162938418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5.6752469390630732E-13</v>
      </c>
      <c r="AK145" s="13">
        <f t="shared" si="143"/>
        <v>6.9658320883814946E-12</v>
      </c>
      <c r="AL145" s="20">
        <f t="shared" si="112"/>
        <v>1.3120596395817921E-11</v>
      </c>
      <c r="AM145" s="59">
        <f t="shared" si="113"/>
        <v>293.33333333334645</v>
      </c>
      <c r="AN145" s="59">
        <f ca="1">AVERAGE(OFFSET($AM$3,0,0,'Données projet'!$E$10+1,1))-AVERAGE(OFFSET($H$3,0,0,'Données projet'!$E$10+1,1))</f>
        <v>306.38046634523579</v>
      </c>
      <c r="AO145" s="59">
        <f t="shared" si="144"/>
        <v>229.77251296097705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151.74089773029371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151.74089773029371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5.6843418860808015E-13</v>
      </c>
      <c r="BE145" s="13">
        <f>BD145*VLOOKUP('Données projet'!$B$11,Paramètres!$A$1:$I$89,3,0)*VLOOKUP('Données projet'!$B$11,Paramètres!$A$1:$I$89,5,0)</f>
        <v>5.763922672485933E-13</v>
      </c>
      <c r="BF145" s="13">
        <f t="shared" si="145"/>
        <v>7.0619171555808457E-12</v>
      </c>
      <c r="BG145" s="20">
        <f t="shared" si="115"/>
        <v>1.3303388911427938E-11</v>
      </c>
      <c r="BH145" s="59">
        <f t="shared" si="116"/>
        <v>293.33333333334662</v>
      </c>
      <c r="BI145" s="59">
        <f ca="1">AVERAGE(OFFSET($BH$3,0,0,'Données projet'!$E$11+1,1))-AVERAGE(OFFSET($H$3,0,0,'Données projet'!$E$11+1,1))</f>
        <v>312.29056285877169</v>
      </c>
      <c r="BJ145" s="59">
        <f t="shared" si="146"/>
        <v>233.85454224241693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154.11184925732951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154.11184925732951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266.99999999999983</v>
      </c>
      <c r="BZ145" s="13">
        <f>BY145*VLOOKUP('Données projet'!$B$12,Paramètres!$A$1:$I$89,3,0)*VLOOKUP('Données projet'!$B$12,Paramètres!$A$1:$I$89,5,0)</f>
        <v>212.42519999999985</v>
      </c>
      <c r="CA145" s="13">
        <f t="shared" si="147"/>
        <v>52.465198231787184</v>
      </c>
      <c r="CB145" s="20">
        <f t="shared" si="118"/>
        <v>461.35077692036231</v>
      </c>
      <c r="CC145" s="59">
        <f t="shared" si="119"/>
        <v>754.68411025369562</v>
      </c>
      <c r="CD145" s="59">
        <f ca="1">AVERAGE(OFFSET($CC$3,0,0,'Données projet'!$E$12+1,1))-AVERAGE(OFFSET($H$3,0,0,'Données projet'!$E$12+1,1))</f>
        <v>219.43439115440339</v>
      </c>
      <c r="CE145" s="59">
        <f t="shared" si="148"/>
        <v>217.8880462742099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8.4335121088965135</v>
      </c>
      <c r="CL145" s="21">
        <f>EXP(-LN(2)/25)*CL144+(1-EXP(-LN(2)/25))/(LN(2)/25)*Calculateur!CG145*Calculateur!CI145*VLOOKUP('Données projet'!$B$12,Paramètres!$A$1:$I$89,3,0)*0.475*44/12</f>
        <v>1.4929123565492441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9.9264244654457574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261.10917418234862</v>
      </c>
      <c r="T146" s="59">
        <f t="shared" si="142"/>
        <v>327.65691162938418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5.6752469390630732E-13</v>
      </c>
      <c r="AK146" s="13">
        <f t="shared" si="143"/>
        <v>6.9658320883814946E-12</v>
      </c>
      <c r="AL146" s="20">
        <f t="shared" si="112"/>
        <v>1.3120596395817921E-11</v>
      </c>
      <c r="AM146" s="59">
        <f t="shared" si="113"/>
        <v>293.33333333334645</v>
      </c>
      <c r="AN146" s="59">
        <f ca="1">AVERAGE(OFFSET($AM$3,0,0,'Données projet'!$E$10+1,1))-AVERAGE(OFFSET($H$3,0,0,'Données projet'!$E$10+1,1))</f>
        <v>306.38046634523579</v>
      </c>
      <c r="AO146" s="59">
        <f t="shared" si="144"/>
        <v>229.77251296097705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148.76535127861143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148.76535127861143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5.6843418860808015E-13</v>
      </c>
      <c r="BE146" s="13">
        <f>BD146*VLOOKUP('Données projet'!$B$11,Paramètres!$A$1:$I$89,3,0)*VLOOKUP('Données projet'!$B$11,Paramètres!$A$1:$I$89,5,0)</f>
        <v>5.763922672485933E-13</v>
      </c>
      <c r="BF146" s="13">
        <f t="shared" si="145"/>
        <v>7.0619171555808457E-12</v>
      </c>
      <c r="BG146" s="20">
        <f t="shared" si="115"/>
        <v>1.3303388911427938E-11</v>
      </c>
      <c r="BH146" s="59">
        <f t="shared" si="116"/>
        <v>293.33333333334662</v>
      </c>
      <c r="BI146" s="59">
        <f ca="1">AVERAGE(OFFSET($BH$3,0,0,'Données projet'!$E$11+1,1))-AVERAGE(OFFSET($H$3,0,0,'Données projet'!$E$11+1,1))</f>
        <v>312.29056285877169</v>
      </c>
      <c r="BJ146" s="59">
        <f t="shared" si="146"/>
        <v>233.85454224241693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151.0898098923397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151.0898098923397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266.99999999999983</v>
      </c>
      <c r="BZ146" s="13">
        <f>BY146*VLOOKUP('Données projet'!$B$12,Paramètres!$A$1:$I$89,3,0)*VLOOKUP('Données projet'!$B$12,Paramètres!$A$1:$I$89,5,0)</f>
        <v>212.42519999999985</v>
      </c>
      <c r="CA146" s="13">
        <f t="shared" si="147"/>
        <v>52.465198231787184</v>
      </c>
      <c r="CB146" s="20">
        <f t="shared" si="118"/>
        <v>461.35077692036231</v>
      </c>
      <c r="CC146" s="59">
        <f t="shared" si="119"/>
        <v>754.68411025369562</v>
      </c>
      <c r="CD146" s="59">
        <f ca="1">AVERAGE(OFFSET($CC$3,0,0,'Données projet'!$E$12+1,1))-AVERAGE(OFFSET($H$3,0,0,'Données projet'!$E$12+1,1))</f>
        <v>219.43439115440339</v>
      </c>
      <c r="CE146" s="59">
        <f t="shared" si="148"/>
        <v>217.8880462742099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8.2681360803755179</v>
      </c>
      <c r="CL146" s="21">
        <f>EXP(-LN(2)/25)*CL145+(1-EXP(-LN(2)/25))/(LN(2)/25)*Calculateur!CG146*Calculateur!CI146*VLOOKUP('Données projet'!$B$12,Paramètres!$A$1:$I$89,3,0)*0.475*44/12</f>
        <v>1.4520885896505564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9.7202246700260737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261.10917418234862</v>
      </c>
      <c r="T147" s="59">
        <f t="shared" si="142"/>
        <v>327.65691162938418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5.6752469390630732E-13</v>
      </c>
      <c r="AK147" s="13">
        <f t="shared" si="143"/>
        <v>6.9658320883814946E-12</v>
      </c>
      <c r="AL147" s="20">
        <f t="shared" si="112"/>
        <v>1.3120596395817921E-11</v>
      </c>
      <c r="AM147" s="59">
        <f t="shared" si="113"/>
        <v>293.33333333334645</v>
      </c>
      <c r="AN147" s="59">
        <f ca="1">AVERAGE(OFFSET($AM$3,0,0,'Données projet'!$E$10+1,1))-AVERAGE(OFFSET($H$3,0,0,'Données projet'!$E$10+1,1))</f>
        <v>306.38046634523579</v>
      </c>
      <c r="AO147" s="59">
        <f t="shared" si="144"/>
        <v>229.77251296097705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145.84815347794253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145.84815347794253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5.6843418860808015E-13</v>
      </c>
      <c r="BE147" s="13">
        <f>BD147*VLOOKUP('Données projet'!$B$11,Paramètres!$A$1:$I$89,3,0)*VLOOKUP('Données projet'!$B$11,Paramètres!$A$1:$I$89,5,0)</f>
        <v>5.763922672485933E-13</v>
      </c>
      <c r="BF147" s="13">
        <f t="shared" si="145"/>
        <v>7.0619171555808457E-12</v>
      </c>
      <c r="BG147" s="20">
        <f t="shared" si="115"/>
        <v>1.3303388911427938E-11</v>
      </c>
      <c r="BH147" s="59">
        <f t="shared" si="116"/>
        <v>293.33333333334662</v>
      </c>
      <c r="BI147" s="59">
        <f ca="1">AVERAGE(OFFSET($BH$3,0,0,'Données projet'!$E$11+1,1))-AVERAGE(OFFSET($H$3,0,0,'Données projet'!$E$11+1,1))</f>
        <v>312.29056285877169</v>
      </c>
      <c r="BJ147" s="59">
        <f t="shared" si="146"/>
        <v>233.85454224241693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148.12703087603535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148.12703087603535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266.99999999999983</v>
      </c>
      <c r="BZ147" s="13">
        <f>BY147*VLOOKUP('Données projet'!$B$12,Paramètres!$A$1:$I$89,3,0)*VLOOKUP('Données projet'!$B$12,Paramètres!$A$1:$I$89,5,0)</f>
        <v>212.42519999999985</v>
      </c>
      <c r="CA147" s="13">
        <f t="shared" si="147"/>
        <v>52.465198231787184</v>
      </c>
      <c r="CB147" s="20">
        <f t="shared" si="118"/>
        <v>461.35077692036231</v>
      </c>
      <c r="CC147" s="59">
        <f t="shared" si="119"/>
        <v>754.68411025369562</v>
      </c>
      <c r="CD147" s="59">
        <f ca="1">AVERAGE(OFFSET($CC$3,0,0,'Données projet'!$E$12+1,1))-AVERAGE(OFFSET($H$3,0,0,'Données projet'!$E$12+1,1))</f>
        <v>219.43439115440339</v>
      </c>
      <c r="CE147" s="59">
        <f t="shared" si="148"/>
        <v>217.8880462742099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8.1060029749044009</v>
      </c>
      <c r="CL147" s="21">
        <f>EXP(-LN(2)/25)*CL146+(1-EXP(-LN(2)/25))/(LN(2)/25)*Calculateur!CG147*Calculateur!CI147*VLOOKUP('Données projet'!$B$12,Paramètres!$A$1:$I$89,3,0)*0.475*44/12</f>
        <v>1.4123811508045419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9.518384125708943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261.10917418234862</v>
      </c>
      <c r="T148" s="59">
        <f t="shared" si="142"/>
        <v>327.65691162938418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5.6752469390630732E-13</v>
      </c>
      <c r="AK148" s="13">
        <f t="shared" si="143"/>
        <v>6.9658320883814946E-12</v>
      </c>
      <c r="AL148" s="20">
        <f t="shared" si="112"/>
        <v>1.3120596395817921E-11</v>
      </c>
      <c r="AM148" s="59">
        <f t="shared" si="113"/>
        <v>293.33333333334645</v>
      </c>
      <c r="AN148" s="59">
        <f ca="1">AVERAGE(OFFSET($AM$3,0,0,'Données projet'!$E$10+1,1))-AVERAGE(OFFSET($H$3,0,0,'Données projet'!$E$10+1,1))</f>
        <v>306.38046634523579</v>
      </c>
      <c r="AO148" s="59">
        <f t="shared" si="144"/>
        <v>229.77251296097705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142.98816014682976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142.98816014682976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5.6843418860808015E-13</v>
      </c>
      <c r="BE148" s="13">
        <f>BD148*VLOOKUP('Données projet'!$B$11,Paramètres!$A$1:$I$89,3,0)*VLOOKUP('Données projet'!$B$11,Paramètres!$A$1:$I$89,5,0)</f>
        <v>5.763922672485933E-13</v>
      </c>
      <c r="BF148" s="13">
        <f t="shared" si="145"/>
        <v>7.0619171555808457E-12</v>
      </c>
      <c r="BG148" s="20">
        <f t="shared" si="115"/>
        <v>1.3303388911427938E-11</v>
      </c>
      <c r="BH148" s="59">
        <f t="shared" si="116"/>
        <v>293.33333333334662</v>
      </c>
      <c r="BI148" s="59">
        <f ca="1">AVERAGE(OFFSET($BH$3,0,0,'Données projet'!$E$11+1,1))-AVERAGE(OFFSET($H$3,0,0,'Données projet'!$E$11+1,1))</f>
        <v>312.29056285877169</v>
      </c>
      <c r="BJ148" s="59">
        <f t="shared" si="146"/>
        <v>233.85454224241693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145.22235014912394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145.22235014912394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266.99999999999983</v>
      </c>
      <c r="BZ148" s="13">
        <f>BY148*VLOOKUP('Données projet'!$B$12,Paramètres!$A$1:$I$89,3,0)*VLOOKUP('Données projet'!$B$12,Paramètres!$A$1:$I$89,5,0)</f>
        <v>212.42519999999985</v>
      </c>
      <c r="CA148" s="13">
        <f t="shared" si="147"/>
        <v>52.465198231787184</v>
      </c>
      <c r="CB148" s="20">
        <f t="shared" si="118"/>
        <v>461.35077692036231</v>
      </c>
      <c r="CC148" s="59">
        <f t="shared" si="119"/>
        <v>754.68411025369562</v>
      </c>
      <c r="CD148" s="59">
        <f ca="1">AVERAGE(OFFSET($CC$3,0,0,'Données projet'!$E$12+1,1))-AVERAGE(OFFSET($H$3,0,0,'Données projet'!$E$12+1,1))</f>
        <v>219.43439115440339</v>
      </c>
      <c r="CE148" s="59">
        <f t="shared" si="148"/>
        <v>217.8880462742099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7.9470492007401434</v>
      </c>
      <c r="CL148" s="21">
        <f>EXP(-LN(2)/25)*CL147+(1-EXP(-LN(2)/25))/(LN(2)/25)*Calculateur!CG148*Calculateur!CI148*VLOOKUP('Données projet'!$B$12,Paramètres!$A$1:$I$89,3,0)*0.475*44/12</f>
        <v>1.373759513961895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9.3208087147020393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261.10917418234862</v>
      </c>
      <c r="T149" s="59">
        <f t="shared" si="142"/>
        <v>327.65691162938418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5.6752469390630732E-13</v>
      </c>
      <c r="AK149" s="13">
        <f t="shared" si="143"/>
        <v>6.9658320883814946E-12</v>
      </c>
      <c r="AL149" s="20">
        <f t="shared" si="112"/>
        <v>1.3120596395817921E-11</v>
      </c>
      <c r="AM149" s="59">
        <f t="shared" si="113"/>
        <v>293.33333333334645</v>
      </c>
      <c r="AN149" s="59">
        <f ca="1">AVERAGE(OFFSET($AM$3,0,0,'Données projet'!$E$10+1,1))-AVERAGE(OFFSET($H$3,0,0,'Données projet'!$E$10+1,1))</f>
        <v>306.38046634523579</v>
      </c>
      <c r="AO149" s="59">
        <f t="shared" si="144"/>
        <v>229.77251296097705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140.18424954051642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140.18424954051642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5.6843418860808015E-13</v>
      </c>
      <c r="BE149" s="13">
        <f>BD149*VLOOKUP('Données projet'!$B$11,Paramètres!$A$1:$I$89,3,0)*VLOOKUP('Données projet'!$B$11,Paramètres!$A$1:$I$89,5,0)</f>
        <v>5.763922672485933E-13</v>
      </c>
      <c r="BF149" s="13">
        <f t="shared" si="145"/>
        <v>7.0619171555808457E-12</v>
      </c>
      <c r="BG149" s="20">
        <f t="shared" si="115"/>
        <v>1.3303388911427938E-11</v>
      </c>
      <c r="BH149" s="59">
        <f t="shared" si="116"/>
        <v>293.33333333334662</v>
      </c>
      <c r="BI149" s="59">
        <f ca="1">AVERAGE(OFFSET($BH$3,0,0,'Données projet'!$E$11+1,1))-AVERAGE(OFFSET($H$3,0,0,'Données projet'!$E$11+1,1))</f>
        <v>312.29056285877169</v>
      </c>
      <c r="BJ149" s="59">
        <f t="shared" si="146"/>
        <v>233.85454224241693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142.37462843958696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142.37462843958696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266.99999999999983</v>
      </c>
      <c r="BZ149" s="13">
        <f>BY149*VLOOKUP('Données projet'!$B$12,Paramètres!$A$1:$I$89,3,0)*VLOOKUP('Données projet'!$B$12,Paramètres!$A$1:$I$89,5,0)</f>
        <v>212.42519999999985</v>
      </c>
      <c r="CA149" s="13">
        <f t="shared" si="147"/>
        <v>52.465198231787184</v>
      </c>
      <c r="CB149" s="20">
        <f t="shared" si="118"/>
        <v>461.35077692036231</v>
      </c>
      <c r="CC149" s="59">
        <f t="shared" si="119"/>
        <v>754.68411025369562</v>
      </c>
      <c r="CD149" s="59">
        <f ca="1">AVERAGE(OFFSET($CC$3,0,0,'Données projet'!$E$12+1,1))-AVERAGE(OFFSET($H$3,0,0,'Données projet'!$E$12+1,1))</f>
        <v>219.43439115440339</v>
      </c>
      <c r="CE149" s="59">
        <f t="shared" si="148"/>
        <v>217.8880462742099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7.7912124131350184</v>
      </c>
      <c r="CL149" s="21">
        <f>EXP(-LN(2)/25)*CL148+(1-EXP(-LN(2)/25))/(LN(2)/25)*Calculateur!CG149*Calculateur!CI149*VLOOKUP('Données projet'!$B$12,Paramètres!$A$1:$I$89,3,0)*0.475*44/12</f>
        <v>1.336193987809734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9.1274064009447518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261.10917418234862</v>
      </c>
      <c r="T150" s="59">
        <f t="shared" si="142"/>
        <v>327.65691162938418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5.6752469390630732E-13</v>
      </c>
      <c r="AK150" s="13">
        <f t="shared" si="143"/>
        <v>6.9658320883814946E-12</v>
      </c>
      <c r="AL150" s="20">
        <f t="shared" si="112"/>
        <v>1.3120596395817921E-11</v>
      </c>
      <c r="AM150" s="59">
        <f t="shared" si="113"/>
        <v>293.33333333334645</v>
      </c>
      <c r="AN150" s="59">
        <f ca="1">AVERAGE(OFFSET($AM$3,0,0,'Données projet'!$E$10+1,1))-AVERAGE(OFFSET($H$3,0,0,'Données projet'!$E$10+1,1))</f>
        <v>306.38046634523579</v>
      </c>
      <c r="AO150" s="59">
        <f t="shared" si="144"/>
        <v>229.77251296097705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137.43532191097628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137.43532191097628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5.6843418860808015E-13</v>
      </c>
      <c r="BE150" s="13">
        <f>BD150*VLOOKUP('Données projet'!$B$11,Paramètres!$A$1:$I$89,3,0)*VLOOKUP('Données projet'!$B$11,Paramètres!$A$1:$I$89,5,0)</f>
        <v>5.763922672485933E-13</v>
      </c>
      <c r="BF150" s="13">
        <f t="shared" si="145"/>
        <v>7.0619171555808457E-12</v>
      </c>
      <c r="BG150" s="20">
        <f t="shared" si="115"/>
        <v>1.3303388911427938E-11</v>
      </c>
      <c r="BH150" s="59">
        <f t="shared" si="116"/>
        <v>293.33333333334662</v>
      </c>
      <c r="BI150" s="59">
        <f ca="1">AVERAGE(OFFSET($BH$3,0,0,'Données projet'!$E$11+1,1))-AVERAGE(OFFSET($H$3,0,0,'Données projet'!$E$11+1,1))</f>
        <v>312.29056285877169</v>
      </c>
      <c r="BJ150" s="59">
        <f t="shared" si="146"/>
        <v>233.85454224241693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139.58274881583526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139.58274881583526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266.99999999999983</v>
      </c>
      <c r="BZ150" s="13">
        <f>BY150*VLOOKUP('Données projet'!$B$12,Paramètres!$A$1:$I$89,3,0)*VLOOKUP('Données projet'!$B$12,Paramètres!$A$1:$I$89,5,0)</f>
        <v>212.42519999999985</v>
      </c>
      <c r="CA150" s="13">
        <f t="shared" si="147"/>
        <v>52.465198231787184</v>
      </c>
      <c r="CB150" s="20">
        <f t="shared" si="118"/>
        <v>461.35077692036231</v>
      </c>
      <c r="CC150" s="59">
        <f t="shared" si="119"/>
        <v>754.68411025369562</v>
      </c>
      <c r="CD150" s="59">
        <f ca="1">AVERAGE(OFFSET($CC$3,0,0,'Données projet'!$E$12+1,1))-AVERAGE(OFFSET($H$3,0,0,'Données projet'!$E$12+1,1))</f>
        <v>219.43439115440339</v>
      </c>
      <c r="CE150" s="59">
        <f t="shared" si="148"/>
        <v>217.8880462742099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7.6384314898837751</v>
      </c>
      <c r="CL150" s="21">
        <f>EXP(-LN(2)/25)*CL149+(1-EXP(-LN(2)/25))/(LN(2)/25)*Calculateur!CG150*Calculateur!CI150*VLOOKUP('Données projet'!$B$12,Paramètres!$A$1:$I$89,3,0)*0.475*44/12</f>
        <v>1.2996556929456888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8.938087182829463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261.10917418234862</v>
      </c>
      <c r="T151" s="59">
        <f t="shared" si="142"/>
        <v>327.65691162938418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5.6752469390630732E-13</v>
      </c>
      <c r="AK151" s="13">
        <f t="shared" si="143"/>
        <v>6.9658320883814946E-12</v>
      </c>
      <c r="AL151" s="20">
        <f t="shared" si="112"/>
        <v>1.3120596395817921E-11</v>
      </c>
      <c r="AM151" s="59">
        <f t="shared" si="113"/>
        <v>293.33333333334645</v>
      </c>
      <c r="AN151" s="59">
        <f ca="1">AVERAGE(OFFSET($AM$3,0,0,'Données projet'!$E$10+1,1))-AVERAGE(OFFSET($H$3,0,0,'Données projet'!$E$10+1,1))</f>
        <v>306.38046634523579</v>
      </c>
      <c r="AO151" s="59">
        <f t="shared" si="144"/>
        <v>229.77251296097705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134.74029907557116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134.74029907557116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5.6843418860808015E-13</v>
      </c>
      <c r="BE151" s="13">
        <f>BD151*VLOOKUP('Données projet'!$B$11,Paramètres!$A$1:$I$89,3,0)*VLOOKUP('Données projet'!$B$11,Paramètres!$A$1:$I$89,5,0)</f>
        <v>5.763922672485933E-13</v>
      </c>
      <c r="BF151" s="13">
        <f t="shared" si="145"/>
        <v>7.0619171555808457E-12</v>
      </c>
      <c r="BG151" s="20">
        <f t="shared" si="115"/>
        <v>1.3303388911427938E-11</v>
      </c>
      <c r="BH151" s="59">
        <f t="shared" si="116"/>
        <v>293.33333333334662</v>
      </c>
      <c r="BI151" s="59">
        <f ca="1">AVERAGE(OFFSET($BH$3,0,0,'Données projet'!$E$11+1,1))-AVERAGE(OFFSET($H$3,0,0,'Données projet'!$E$11+1,1))</f>
        <v>312.29056285877169</v>
      </c>
      <c r="BJ151" s="59">
        <f t="shared" si="146"/>
        <v>233.85454224241693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136.84561624862692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136.84561624862692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266.99999999999983</v>
      </c>
      <c r="BZ151" s="13">
        <f>BY151*VLOOKUP('Données projet'!$B$12,Paramètres!$A$1:$I$89,3,0)*VLOOKUP('Données projet'!$B$12,Paramètres!$A$1:$I$89,5,0)</f>
        <v>212.42519999999985</v>
      </c>
      <c r="CA151" s="13">
        <f t="shared" si="147"/>
        <v>52.465198231787184</v>
      </c>
      <c r="CB151" s="20">
        <f t="shared" si="118"/>
        <v>461.35077692036231</v>
      </c>
      <c r="CC151" s="59">
        <f t="shared" si="119"/>
        <v>754.68411025369562</v>
      </c>
      <c r="CD151" s="59">
        <f ca="1">AVERAGE(OFFSET($CC$3,0,0,'Données projet'!$E$12+1,1))-AVERAGE(OFFSET($H$3,0,0,'Données projet'!$E$12+1,1))</f>
        <v>219.43439115440339</v>
      </c>
      <c r="CE151" s="59">
        <f t="shared" si="148"/>
        <v>217.8880462742099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7.4886465073503263</v>
      </c>
      <c r="CL151" s="21">
        <f>EXP(-LN(2)/25)*CL150+(1-EXP(-LN(2)/25))/(LN(2)/25)*Calculateur!CG151*Calculateur!CI151*VLOOKUP('Données projet'!$B$12,Paramètres!$A$1:$I$89,3,0)*0.475*44/12</f>
        <v>1.2641165396761664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8.7527630470264928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261.10917418234862</v>
      </c>
      <c r="T152" s="59">
        <f t="shared" si="142"/>
        <v>327.65691162938418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5.6752469390630732E-13</v>
      </c>
      <c r="AK152" s="13">
        <f t="shared" si="143"/>
        <v>6.9658320883814946E-12</v>
      </c>
      <c r="AL152" s="20">
        <f t="shared" si="112"/>
        <v>1.3120596395817921E-11</v>
      </c>
      <c r="AM152" s="59">
        <f t="shared" si="113"/>
        <v>293.33333333334645</v>
      </c>
      <c r="AN152" s="59">
        <f ca="1">AVERAGE(OFFSET($AM$3,0,0,'Données projet'!$E$10+1,1))-AVERAGE(OFFSET($H$3,0,0,'Données projet'!$E$10+1,1))</f>
        <v>306.38046634523579</v>
      </c>
      <c r="AO152" s="59">
        <f t="shared" si="144"/>
        <v>229.77251296097705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132.09812399416671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132.09812399416671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5.6843418860808015E-13</v>
      </c>
      <c r="BE152" s="13">
        <f>BD152*VLOOKUP('Données projet'!$B$11,Paramètres!$A$1:$I$89,3,0)*VLOOKUP('Données projet'!$B$11,Paramètres!$A$1:$I$89,5,0)</f>
        <v>5.763922672485933E-13</v>
      </c>
      <c r="BF152" s="13">
        <f t="shared" si="145"/>
        <v>7.0619171555808457E-12</v>
      </c>
      <c r="BG152" s="20">
        <f t="shared" si="115"/>
        <v>1.3303388911427938E-11</v>
      </c>
      <c r="BH152" s="59">
        <f t="shared" si="116"/>
        <v>293.33333333334662</v>
      </c>
      <c r="BI152" s="59">
        <f ca="1">AVERAGE(OFFSET($BH$3,0,0,'Données projet'!$E$11+1,1))-AVERAGE(OFFSET($H$3,0,0,'Données projet'!$E$11+1,1))</f>
        <v>312.29056285877169</v>
      </c>
      <c r="BJ152" s="59">
        <f t="shared" si="146"/>
        <v>233.85454224241693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134.16215718157554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134.16215718157554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266.99999999999983</v>
      </c>
      <c r="BZ152" s="13">
        <f>BY152*VLOOKUP('Données projet'!$B$12,Paramètres!$A$1:$I$89,3,0)*VLOOKUP('Données projet'!$B$12,Paramètres!$A$1:$I$89,5,0)</f>
        <v>212.42519999999985</v>
      </c>
      <c r="CA152" s="13">
        <f t="shared" si="147"/>
        <v>52.465198231787184</v>
      </c>
      <c r="CB152" s="20">
        <f t="shared" si="118"/>
        <v>461.35077692036231</v>
      </c>
      <c r="CC152" s="59">
        <f t="shared" si="119"/>
        <v>754.68411025369562</v>
      </c>
      <c r="CD152" s="59">
        <f ca="1">AVERAGE(OFFSET($CC$3,0,0,'Données projet'!$E$12+1,1))-AVERAGE(OFFSET($H$3,0,0,'Données projet'!$E$12+1,1))</f>
        <v>219.43439115440339</v>
      </c>
      <c r="CE152" s="59">
        <f t="shared" si="148"/>
        <v>217.8880462742099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7.3417987169645409</v>
      </c>
      <c r="CL152" s="21">
        <f>EXP(-LN(2)/25)*CL151+(1-EXP(-LN(2)/25))/(LN(2)/25)*Calculateur!CG152*Calculateur!CI152*VLOOKUP('Données projet'!$B$12,Paramètres!$A$1:$I$89,3,0)*0.475*44/12</f>
        <v>1.2295492064217219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8.5713479233862628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261.10917418234862</v>
      </c>
      <c r="T153" s="59">
        <f t="shared" si="142"/>
        <v>327.65691162938418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5.6752469390630732E-13</v>
      </c>
      <c r="AK153" s="13">
        <f t="shared" si="143"/>
        <v>6.9658320883814946E-12</v>
      </c>
      <c r="AL153" s="20">
        <f t="shared" si="112"/>
        <v>1.3120596395817921E-11</v>
      </c>
      <c r="AM153" s="59">
        <f t="shared" si="113"/>
        <v>293.33333333334645</v>
      </c>
      <c r="AN153" s="59">
        <f ca="1">AVERAGE(OFFSET($AM$3,0,0,'Données projet'!$E$10+1,1))-AVERAGE(OFFSET($H$3,0,0,'Données projet'!$E$10+1,1))</f>
        <v>306.38046634523579</v>
      </c>
      <c r="AO153" s="59">
        <f t="shared" si="144"/>
        <v>229.77251296097705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129.50776035454092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129.50776035454092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5.6843418860808015E-13</v>
      </c>
      <c r="BE153" s="13">
        <f>BD153*VLOOKUP('Données projet'!$B$11,Paramètres!$A$1:$I$89,3,0)*VLOOKUP('Données projet'!$B$11,Paramètres!$A$1:$I$89,5,0)</f>
        <v>5.763922672485933E-13</v>
      </c>
      <c r="BF153" s="13">
        <f t="shared" si="145"/>
        <v>7.0619171555808457E-12</v>
      </c>
      <c r="BG153" s="20">
        <f t="shared" si="115"/>
        <v>1.3303388911427938E-11</v>
      </c>
      <c r="BH153" s="59">
        <f t="shared" si="116"/>
        <v>293.33333333334662</v>
      </c>
      <c r="BI153" s="59">
        <f ca="1">AVERAGE(OFFSET($BH$3,0,0,'Données projet'!$E$11+1,1))-AVERAGE(OFFSET($H$3,0,0,'Données projet'!$E$11+1,1))</f>
        <v>312.29056285877169</v>
      </c>
      <c r="BJ153" s="59">
        <f t="shared" si="146"/>
        <v>233.85454224241693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131.5313191100806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131.5313191100806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266.99999999999983</v>
      </c>
      <c r="BZ153" s="13">
        <f>BY153*VLOOKUP('Données projet'!$B$12,Paramètres!$A$1:$I$89,3,0)*VLOOKUP('Données projet'!$B$12,Paramètres!$A$1:$I$89,5,0)</f>
        <v>212.42519999999985</v>
      </c>
      <c r="CA153" s="13">
        <f t="shared" si="147"/>
        <v>52.465198231787184</v>
      </c>
      <c r="CB153" s="20">
        <f t="shared" si="118"/>
        <v>461.35077692036231</v>
      </c>
      <c r="CC153" s="59">
        <f t="shared" si="119"/>
        <v>754.68411025369562</v>
      </c>
      <c r="CD153" s="59">
        <f ca="1">AVERAGE(OFFSET($CC$3,0,0,'Données projet'!$E$12+1,1))-AVERAGE(OFFSET($H$3,0,0,'Données projet'!$E$12+1,1))</f>
        <v>219.43439115440339</v>
      </c>
      <c r="CE153" s="59">
        <f t="shared" si="148"/>
        <v>217.8880462742099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7.1978305221799124</v>
      </c>
      <c r="CL153" s="21">
        <f>EXP(-LN(2)/25)*CL152+(1-EXP(-LN(2)/25))/(LN(2)/25)*Calculateur!CG153*Calculateur!CI153*VLOOKUP('Données projet'!$B$12,Paramètres!$A$1:$I$89,3,0)*0.475*44/12</f>
        <v>1.1959271187129374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8.3937576408928507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261.10917418234862</v>
      </c>
      <c r="T154" s="59">
        <f t="shared" si="142"/>
        <v>327.65691162938418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5.6752469390630732E-13</v>
      </c>
      <c r="AK154" s="13">
        <f t="shared" ref="AK154:AK203" si="164">EXP(-1.0587+0.8836*LN(AJ154)+0.284)</f>
        <v>6.9658320883814946E-12</v>
      </c>
      <c r="AL154" s="20">
        <f t="shared" ref="AL154:AL203" si="165">(AJ154+AK154)*0.475*44/12</f>
        <v>1.3120596395817921E-11</v>
      </c>
      <c r="AM154" s="59">
        <f t="shared" si="113"/>
        <v>293.33333333334645</v>
      </c>
      <c r="AN154" s="59">
        <f ca="1">AVERAGE(OFFSET($AM$3,0,0,'Données projet'!$E$10+1,1))-AVERAGE(OFFSET($H$3,0,0,'Données projet'!$E$10+1,1))</f>
        <v>306.38046634523579</v>
      </c>
      <c r="AO154" s="59">
        <f t="shared" si="144"/>
        <v>229.77251296097705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126.96819216592239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126.96819216592239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5.6843418860808015E-13</v>
      </c>
      <c r="BE154" s="13">
        <f>BD154*VLOOKUP('Données projet'!$B$11,Paramètres!$A$1:$I$89,3,0)*VLOOKUP('Données projet'!$B$11,Paramètres!$A$1:$I$89,5,0)</f>
        <v>5.763922672485933E-13</v>
      </c>
      <c r="BF154" s="13">
        <f t="shared" ref="BF154:BF203" si="167">EXP(-1.0587+0.8836*LN(BE154)+0.284)</f>
        <v>7.0619171555808457E-12</v>
      </c>
      <c r="BG154" s="20">
        <f t="shared" ref="BG154:BG203" si="168">(BE154+BF154)*0.475*44/12</f>
        <v>1.3303388911427938E-11</v>
      </c>
      <c r="BH154" s="59">
        <f t="shared" si="116"/>
        <v>293.33333333334662</v>
      </c>
      <c r="BI154" s="59">
        <f ca="1">AVERAGE(OFFSET($BH$3,0,0,'Données projet'!$E$11+1,1))-AVERAGE(OFFSET($H$3,0,0,'Données projet'!$E$11+1,1))</f>
        <v>312.29056285877169</v>
      </c>
      <c r="BJ154" s="59">
        <f t="shared" si="146"/>
        <v>233.85454224241693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128.95207016851489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128.95207016851489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266.99999999999983</v>
      </c>
      <c r="BZ154" s="13">
        <f>BY154*VLOOKUP('Données projet'!$B$12,Paramètres!$A$1:$I$89,3,0)*VLOOKUP('Données projet'!$B$12,Paramètres!$A$1:$I$89,5,0)</f>
        <v>212.42519999999985</v>
      </c>
      <c r="CA154" s="13">
        <f t="shared" ref="CA154:CA203" si="170">EXP(-1.0587+0.8836*LN(BZ154)+0.284)</f>
        <v>52.465198231787184</v>
      </c>
      <c r="CB154" s="20">
        <f t="shared" ref="CB154:CB203" si="171">(BZ154+CA154)*0.475*44/12</f>
        <v>461.35077692036231</v>
      </c>
      <c r="CC154" s="59">
        <f t="shared" si="119"/>
        <v>754.68411025369562</v>
      </c>
      <c r="CD154" s="59">
        <f ca="1">AVERAGE(OFFSET($CC$3,0,0,'Données projet'!$E$12+1,1))-AVERAGE(OFFSET($H$3,0,0,'Données projet'!$E$12+1,1))</f>
        <v>219.43439115440339</v>
      </c>
      <c r="CE154" s="59">
        <f t="shared" si="148"/>
        <v>217.8880462742099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7.0566854558830823</v>
      </c>
      <c r="CL154" s="21">
        <f>EXP(-LN(2)/25)*CL153+(1-EXP(-LN(2)/25))/(LN(2)/25)*Calculateur!CG154*Calculateur!CI154*VLOOKUP('Données projet'!$B$12,Paramètres!$A$1:$I$89,3,0)*0.475*44/12</f>
        <v>1.1632244287606583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8.2199098846437408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261.10917418234862</v>
      </c>
      <c r="T155" s="59">
        <f t="shared" si="142"/>
        <v>327.65691162938418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5.6752469390630732E-13</v>
      </c>
      <c r="AK155" s="13">
        <f t="shared" si="164"/>
        <v>6.9658320883814946E-12</v>
      </c>
      <c r="AL155" s="20">
        <f t="shared" si="165"/>
        <v>1.3120596395817921E-11</v>
      </c>
      <c r="AM155" s="59">
        <f t="shared" si="113"/>
        <v>293.33333333334645</v>
      </c>
      <c r="AN155" s="59">
        <f ca="1">AVERAGE(OFFSET($AM$3,0,0,'Données projet'!$E$10+1,1))-AVERAGE(OFFSET($H$3,0,0,'Données projet'!$E$10+1,1))</f>
        <v>306.38046634523579</v>
      </c>
      <c r="AO155" s="59">
        <f t="shared" si="144"/>
        <v>229.77251296097705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124.47842336049902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124.47842336049902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5.6843418860808015E-13</v>
      </c>
      <c r="BE155" s="13">
        <f>BD155*VLOOKUP('Données projet'!$B$11,Paramètres!$A$1:$I$89,3,0)*VLOOKUP('Données projet'!$B$11,Paramètres!$A$1:$I$89,5,0)</f>
        <v>5.763922672485933E-13</v>
      </c>
      <c r="BF155" s="13">
        <f t="shared" si="167"/>
        <v>7.0619171555808457E-12</v>
      </c>
      <c r="BG155" s="20">
        <f t="shared" si="168"/>
        <v>1.3303388911427938E-11</v>
      </c>
      <c r="BH155" s="59">
        <f t="shared" si="116"/>
        <v>293.33333333334662</v>
      </c>
      <c r="BI155" s="59">
        <f ca="1">AVERAGE(OFFSET($BH$3,0,0,'Données projet'!$E$11+1,1))-AVERAGE(OFFSET($H$3,0,0,'Données projet'!$E$11+1,1))</f>
        <v>312.29056285877169</v>
      </c>
      <c r="BJ155" s="59">
        <f t="shared" si="146"/>
        <v>233.85454224241693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126.42339872550679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126.42339872550679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266.99999999999983</v>
      </c>
      <c r="BZ155" s="13">
        <f>BY155*VLOOKUP('Données projet'!$B$12,Paramètres!$A$1:$I$89,3,0)*VLOOKUP('Données projet'!$B$12,Paramètres!$A$1:$I$89,5,0)</f>
        <v>212.42519999999985</v>
      </c>
      <c r="CA155" s="13">
        <f t="shared" si="170"/>
        <v>52.465198231787184</v>
      </c>
      <c r="CB155" s="20">
        <f t="shared" si="171"/>
        <v>461.35077692036231</v>
      </c>
      <c r="CC155" s="59">
        <f t="shared" si="119"/>
        <v>754.68411025369562</v>
      </c>
      <c r="CD155" s="59">
        <f ca="1">AVERAGE(OFFSET($CC$3,0,0,'Données projet'!$E$12+1,1))-AVERAGE(OFFSET($H$3,0,0,'Données projet'!$E$12+1,1))</f>
        <v>219.43439115440339</v>
      </c>
      <c r="CE155" s="59">
        <f t="shared" si="148"/>
        <v>217.8880462742099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6.9183081582463437</v>
      </c>
      <c r="CL155" s="21">
        <f>EXP(-LN(2)/25)*CL154+(1-EXP(-LN(2)/25))/(LN(2)/25)*Calculateur!CG155*Calculateur!CI155*VLOOKUP('Données projet'!$B$12,Paramètres!$A$1:$I$89,3,0)*0.475*44/12</f>
        <v>1.1314159955848839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8.0497241538312281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261.10917418234862</v>
      </c>
      <c r="T156" s="59">
        <f t="shared" si="142"/>
        <v>327.65691162938418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5.6752469390630732E-13</v>
      </c>
      <c r="AK156" s="13">
        <f t="shared" si="164"/>
        <v>6.9658320883814946E-12</v>
      </c>
      <c r="AL156" s="20">
        <f t="shared" si="165"/>
        <v>1.3120596395817921E-11</v>
      </c>
      <c r="AM156" s="59">
        <f t="shared" si="113"/>
        <v>293.33333333334645</v>
      </c>
      <c r="AN156" s="59">
        <f ca="1">AVERAGE(OFFSET($AM$3,0,0,'Données projet'!$E$10+1,1))-AVERAGE(OFFSET($H$3,0,0,'Données projet'!$E$10+1,1))</f>
        <v>306.38046634523579</v>
      </c>
      <c r="AO156" s="59">
        <f t="shared" si="144"/>
        <v>229.77251296097705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122.03747740274098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122.03747740274098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5.6843418860808015E-13</v>
      </c>
      <c r="BE156" s="13">
        <f>BD156*VLOOKUP('Données projet'!$B$11,Paramètres!$A$1:$I$89,3,0)*VLOOKUP('Données projet'!$B$11,Paramètres!$A$1:$I$89,5,0)</f>
        <v>5.763922672485933E-13</v>
      </c>
      <c r="BF156" s="13">
        <f t="shared" si="167"/>
        <v>7.0619171555808457E-12</v>
      </c>
      <c r="BG156" s="20">
        <f t="shared" si="168"/>
        <v>1.3303388911427938E-11</v>
      </c>
      <c r="BH156" s="59">
        <f t="shared" si="116"/>
        <v>293.33333333334662</v>
      </c>
      <c r="BI156" s="59">
        <f ca="1">AVERAGE(OFFSET($BH$3,0,0,'Données projet'!$E$11+1,1))-AVERAGE(OFFSET($H$3,0,0,'Données projet'!$E$11+1,1))</f>
        <v>312.29056285877169</v>
      </c>
      <c r="BJ156" s="59">
        <f t="shared" si="146"/>
        <v>233.85454224241693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123.94431298715878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123.94431298715878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266.99999999999983</v>
      </c>
      <c r="BZ156" s="13">
        <f>BY156*VLOOKUP('Données projet'!$B$12,Paramètres!$A$1:$I$89,3,0)*VLOOKUP('Données projet'!$B$12,Paramètres!$A$1:$I$89,5,0)</f>
        <v>212.42519999999985</v>
      </c>
      <c r="CA156" s="13">
        <f t="shared" si="170"/>
        <v>52.465198231787184</v>
      </c>
      <c r="CB156" s="20">
        <f t="shared" si="171"/>
        <v>461.35077692036231</v>
      </c>
      <c r="CC156" s="59">
        <f t="shared" si="119"/>
        <v>754.68411025369562</v>
      </c>
      <c r="CD156" s="59">
        <f ca="1">AVERAGE(OFFSET($CC$3,0,0,'Données projet'!$E$12+1,1))-AVERAGE(OFFSET($H$3,0,0,'Données projet'!$E$12+1,1))</f>
        <v>219.43439115440339</v>
      </c>
      <c r="CE156" s="59">
        <f t="shared" si="148"/>
        <v>217.8880462742099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6.782644355014444</v>
      </c>
      <c r="CL156" s="21">
        <f>EXP(-LN(2)/25)*CL155+(1-EXP(-LN(2)/25))/(LN(2)/25)*Calculateur!CG156*Calculateur!CI156*VLOOKUP('Données projet'!$B$12,Paramètres!$A$1:$I$89,3,0)*0.475*44/12</f>
        <v>1.1004773656870339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7.8831217207014781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261.10917418234862</v>
      </c>
      <c r="T157" s="59">
        <f t="shared" si="142"/>
        <v>327.65691162938418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5.6752469390630732E-13</v>
      </c>
      <c r="AK157" s="13">
        <f t="shared" si="164"/>
        <v>6.9658320883814946E-12</v>
      </c>
      <c r="AL157" s="20">
        <f t="shared" si="165"/>
        <v>1.3120596395817921E-11</v>
      </c>
      <c r="AM157" s="59">
        <f t="shared" si="113"/>
        <v>293.33333333334645</v>
      </c>
      <c r="AN157" s="59">
        <f ca="1">AVERAGE(OFFSET($AM$3,0,0,'Données projet'!$E$10+1,1))-AVERAGE(OFFSET($H$3,0,0,'Données projet'!$E$10+1,1))</f>
        <v>306.38046634523579</v>
      </c>
      <c r="AO157" s="59">
        <f t="shared" si="144"/>
        <v>229.77251296097705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119.64439690638454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119.64439690638454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5.6843418860808015E-13</v>
      </c>
      <c r="BE157" s="13">
        <f>BD157*VLOOKUP('Données projet'!$B$11,Paramètres!$A$1:$I$89,3,0)*VLOOKUP('Données projet'!$B$11,Paramètres!$A$1:$I$89,5,0)</f>
        <v>5.763922672485933E-13</v>
      </c>
      <c r="BF157" s="13">
        <f t="shared" si="167"/>
        <v>7.0619171555808457E-12</v>
      </c>
      <c r="BG157" s="20">
        <f t="shared" si="168"/>
        <v>1.3303388911427938E-11</v>
      </c>
      <c r="BH157" s="59">
        <f t="shared" si="116"/>
        <v>293.33333333334662</v>
      </c>
      <c r="BI157" s="59">
        <f ca="1">AVERAGE(OFFSET($BH$3,0,0,'Données projet'!$E$11+1,1))-AVERAGE(OFFSET($H$3,0,0,'Données projet'!$E$11+1,1))</f>
        <v>312.29056285877169</v>
      </c>
      <c r="BJ157" s="59">
        <f t="shared" si="146"/>
        <v>233.85454224241693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121.51384060804678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121.51384060804678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266.99999999999983</v>
      </c>
      <c r="BZ157" s="13">
        <f>BY157*VLOOKUP('Données projet'!$B$12,Paramètres!$A$1:$I$89,3,0)*VLOOKUP('Données projet'!$B$12,Paramètres!$A$1:$I$89,5,0)</f>
        <v>212.42519999999985</v>
      </c>
      <c r="CA157" s="13">
        <f t="shared" si="170"/>
        <v>52.465198231787184</v>
      </c>
      <c r="CB157" s="20">
        <f t="shared" si="171"/>
        <v>461.35077692036231</v>
      </c>
      <c r="CC157" s="59">
        <f t="shared" si="119"/>
        <v>754.68411025369562</v>
      </c>
      <c r="CD157" s="59">
        <f ca="1">AVERAGE(OFFSET($CC$3,0,0,'Données projet'!$E$12+1,1))-AVERAGE(OFFSET($H$3,0,0,'Données projet'!$E$12+1,1))</f>
        <v>219.43439115440339</v>
      </c>
      <c r="CE157" s="59">
        <f t="shared" si="148"/>
        <v>217.8880462742099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6.6496408362171717</v>
      </c>
      <c r="CL157" s="21">
        <f>EXP(-LN(2)/25)*CL156+(1-EXP(-LN(2)/25))/(LN(2)/25)*Calculateur!CG157*Calculateur!CI157*VLOOKUP('Données projet'!$B$12,Paramètres!$A$1:$I$89,3,0)*0.475*44/12</f>
        <v>1.0703847542507325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7.7200255904679045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261.10917418234862</v>
      </c>
      <c r="T158" s="59">
        <f t="shared" si="142"/>
        <v>327.65691162938418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5.6752469390630732E-13</v>
      </c>
      <c r="AK158" s="13">
        <f t="shared" si="164"/>
        <v>6.9658320883814946E-12</v>
      </c>
      <c r="AL158" s="20">
        <f t="shared" si="165"/>
        <v>1.3120596395817921E-11</v>
      </c>
      <c r="AM158" s="59">
        <f t="shared" si="113"/>
        <v>293.33333333334645</v>
      </c>
      <c r="AN158" s="59">
        <f ca="1">AVERAGE(OFFSET($AM$3,0,0,'Données projet'!$E$10+1,1))-AVERAGE(OFFSET($H$3,0,0,'Données projet'!$E$10+1,1))</f>
        <v>306.38046634523579</v>
      </c>
      <c r="AO158" s="59">
        <f t="shared" si="144"/>
        <v>229.77251296097705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117.29824325892669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117.29824325892669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5.6843418860808015E-13</v>
      </c>
      <c r="BE158" s="13">
        <f>BD158*VLOOKUP('Données projet'!$B$11,Paramètres!$A$1:$I$89,3,0)*VLOOKUP('Données projet'!$B$11,Paramètres!$A$1:$I$89,5,0)</f>
        <v>5.763922672485933E-13</v>
      </c>
      <c r="BF158" s="13">
        <f t="shared" si="167"/>
        <v>7.0619171555808457E-12</v>
      </c>
      <c r="BG158" s="20">
        <f t="shared" si="168"/>
        <v>1.3303388911427938E-11</v>
      </c>
      <c r="BH158" s="59">
        <f t="shared" si="116"/>
        <v>293.33333333334662</v>
      </c>
      <c r="BI158" s="59">
        <f ca="1">AVERAGE(OFFSET($BH$3,0,0,'Données projet'!$E$11+1,1))-AVERAGE(OFFSET($H$3,0,0,'Données projet'!$E$11+1,1))</f>
        <v>312.29056285877169</v>
      </c>
      <c r="BJ158" s="59">
        <f t="shared" si="146"/>
        <v>233.85454224241693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119.13102830984739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119.13102830984739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266.99999999999983</v>
      </c>
      <c r="BZ158" s="13">
        <f>BY158*VLOOKUP('Données projet'!$B$12,Paramètres!$A$1:$I$89,3,0)*VLOOKUP('Données projet'!$B$12,Paramètres!$A$1:$I$89,5,0)</f>
        <v>212.42519999999985</v>
      </c>
      <c r="CA158" s="13">
        <f t="shared" si="170"/>
        <v>52.465198231787184</v>
      </c>
      <c r="CB158" s="20">
        <f t="shared" si="171"/>
        <v>461.35077692036231</v>
      </c>
      <c r="CC158" s="59">
        <f t="shared" si="119"/>
        <v>754.68411025369562</v>
      </c>
      <c r="CD158" s="59">
        <f ca="1">AVERAGE(OFFSET($CC$3,0,0,'Données projet'!$E$12+1,1))-AVERAGE(OFFSET($H$3,0,0,'Données projet'!$E$12+1,1))</f>
        <v>219.43439115440339</v>
      </c>
      <c r="CE158" s="59">
        <f t="shared" si="148"/>
        <v>217.8880462742099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6.5192454352993785</v>
      </c>
      <c r="CL158" s="21">
        <f>EXP(-LN(2)/25)*CL157+(1-EXP(-LN(2)/25))/(LN(2)/25)*Calculateur!CG158*Calculateur!CI158*VLOOKUP('Données projet'!$B$12,Paramètres!$A$1:$I$89,3,0)*0.475*44/12</f>
        <v>1.0411150268566585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7.5603604621560372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261.10917418234862</v>
      </c>
      <c r="T159" s="59">
        <f t="shared" si="142"/>
        <v>327.65691162938418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5.6752469390630732E-13</v>
      </c>
      <c r="AK159" s="13">
        <f t="shared" si="164"/>
        <v>6.9658320883814946E-12</v>
      </c>
      <c r="AL159" s="20">
        <f t="shared" si="165"/>
        <v>1.3120596395817921E-11</v>
      </c>
      <c r="AM159" s="59">
        <f t="shared" si="113"/>
        <v>293.33333333334645</v>
      </c>
      <c r="AN159" s="59">
        <f ca="1">AVERAGE(OFFSET($AM$3,0,0,'Données projet'!$E$10+1,1))-AVERAGE(OFFSET($H$3,0,0,'Données projet'!$E$10+1,1))</f>
        <v>306.38046634523579</v>
      </c>
      <c r="AO159" s="59">
        <f t="shared" si="144"/>
        <v>229.77251296097705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114.99809625348306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114.99809625348306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5.6843418860808015E-13</v>
      </c>
      <c r="BE159" s="13">
        <f>BD159*VLOOKUP('Données projet'!$B$11,Paramètres!$A$1:$I$89,3,0)*VLOOKUP('Données projet'!$B$11,Paramètres!$A$1:$I$89,5,0)</f>
        <v>5.763922672485933E-13</v>
      </c>
      <c r="BF159" s="13">
        <f t="shared" si="167"/>
        <v>7.0619171555808457E-12</v>
      </c>
      <c r="BG159" s="20">
        <f t="shared" si="168"/>
        <v>1.3303388911427938E-11</v>
      </c>
      <c r="BH159" s="59">
        <f t="shared" si="116"/>
        <v>293.33333333334662</v>
      </c>
      <c r="BI159" s="59">
        <f ca="1">AVERAGE(OFFSET($BH$3,0,0,'Données projet'!$E$11+1,1))-AVERAGE(OFFSET($H$3,0,0,'Données projet'!$E$11+1,1))</f>
        <v>312.29056285877169</v>
      </c>
      <c r="BJ159" s="59">
        <f t="shared" si="146"/>
        <v>233.85454224241693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116.79494150744371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116.79494150744371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266.99999999999983</v>
      </c>
      <c r="BZ159" s="13">
        <f>BY159*VLOOKUP('Données projet'!$B$12,Paramètres!$A$1:$I$89,3,0)*VLOOKUP('Données projet'!$B$12,Paramètres!$A$1:$I$89,5,0)</f>
        <v>212.42519999999985</v>
      </c>
      <c r="CA159" s="13">
        <f t="shared" si="170"/>
        <v>52.465198231787184</v>
      </c>
      <c r="CB159" s="20">
        <f t="shared" si="171"/>
        <v>461.35077692036231</v>
      </c>
      <c r="CC159" s="59">
        <f t="shared" si="119"/>
        <v>754.68411025369562</v>
      </c>
      <c r="CD159" s="59">
        <f ca="1">AVERAGE(OFFSET($CC$3,0,0,'Données projet'!$E$12+1,1))-AVERAGE(OFFSET($H$3,0,0,'Données projet'!$E$12+1,1))</f>
        <v>219.43439115440339</v>
      </c>
      <c r="CE159" s="59">
        <f t="shared" si="148"/>
        <v>217.8880462742099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6.3914070086602415</v>
      </c>
      <c r="CL159" s="21">
        <f>EXP(-LN(2)/25)*CL158+(1-EXP(-LN(2)/25))/(LN(2)/25)*Calculateur!CG159*Calculateur!CI159*VLOOKUP('Données projet'!$B$12,Paramètres!$A$1:$I$89,3,0)*0.475*44/12</f>
        <v>1.0126456816974034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7.4040526903576449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261.10917418234862</v>
      </c>
      <c r="T160" s="59">
        <f t="shared" si="142"/>
        <v>327.65691162938418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5.6752469390630732E-13</v>
      </c>
      <c r="AK160" s="13">
        <f t="shared" si="164"/>
        <v>6.9658320883814946E-12</v>
      </c>
      <c r="AL160" s="20">
        <f t="shared" si="165"/>
        <v>1.3120596395817921E-11</v>
      </c>
      <c r="AM160" s="59">
        <f t="shared" si="113"/>
        <v>293.33333333334645</v>
      </c>
      <c r="AN160" s="59">
        <f ca="1">AVERAGE(OFFSET($AM$3,0,0,'Données projet'!$E$10+1,1))-AVERAGE(OFFSET($H$3,0,0,'Données projet'!$E$10+1,1))</f>
        <v>306.38046634523579</v>
      </c>
      <c r="AO160" s="59">
        <f t="shared" si="144"/>
        <v>229.77251296097705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112.74305372786503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112.74305372786503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5.6843418860808015E-13</v>
      </c>
      <c r="BE160" s="13">
        <f>BD160*VLOOKUP('Données projet'!$B$11,Paramètres!$A$1:$I$89,3,0)*VLOOKUP('Données projet'!$B$11,Paramètres!$A$1:$I$89,5,0)</f>
        <v>5.763922672485933E-13</v>
      </c>
      <c r="BF160" s="13">
        <f t="shared" si="167"/>
        <v>7.0619171555808457E-12</v>
      </c>
      <c r="BG160" s="20">
        <f t="shared" si="168"/>
        <v>1.3303388911427938E-11</v>
      </c>
      <c r="BH160" s="59">
        <f t="shared" si="116"/>
        <v>293.33333333334662</v>
      </c>
      <c r="BI160" s="59">
        <f ca="1">AVERAGE(OFFSET($BH$3,0,0,'Données projet'!$E$11+1,1))-AVERAGE(OFFSET($H$3,0,0,'Données projet'!$E$11+1,1))</f>
        <v>312.29056285877169</v>
      </c>
      <c r="BJ160" s="59">
        <f t="shared" si="146"/>
        <v>233.85454224241693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114.5046639423629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114.5046639423629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266.99999999999983</v>
      </c>
      <c r="BZ160" s="13">
        <f>BY160*VLOOKUP('Données projet'!$B$12,Paramètres!$A$1:$I$89,3,0)*VLOOKUP('Données projet'!$B$12,Paramètres!$A$1:$I$89,5,0)</f>
        <v>212.42519999999985</v>
      </c>
      <c r="CA160" s="13">
        <f t="shared" si="170"/>
        <v>52.465198231787184</v>
      </c>
      <c r="CB160" s="20">
        <f t="shared" si="171"/>
        <v>461.35077692036231</v>
      </c>
      <c r="CC160" s="59">
        <f t="shared" si="119"/>
        <v>754.68411025369562</v>
      </c>
      <c r="CD160" s="59">
        <f ca="1">AVERAGE(OFFSET($CC$3,0,0,'Données projet'!$E$12+1,1))-AVERAGE(OFFSET($H$3,0,0,'Données projet'!$E$12+1,1))</f>
        <v>219.43439115440339</v>
      </c>
      <c r="CE160" s="59">
        <f t="shared" si="148"/>
        <v>217.8880462742099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6.2660754155937575</v>
      </c>
      <c r="CL160" s="21">
        <f>EXP(-LN(2)/25)*CL159+(1-EXP(-LN(2)/25))/(LN(2)/25)*Calculateur!CG160*Calculateur!CI160*VLOOKUP('Données projet'!$B$12,Paramètres!$A$1:$I$89,3,0)*0.475*44/12</f>
        <v>0.98495483227866598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7.2510302478724231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261.10917418234862</v>
      </c>
      <c r="T161" s="59">
        <f t="shared" si="142"/>
        <v>327.65691162938418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5.6752469390630732E-13</v>
      </c>
      <c r="AK161" s="13">
        <f t="shared" si="164"/>
        <v>6.9658320883814946E-12</v>
      </c>
      <c r="AL161" s="20">
        <f t="shared" si="165"/>
        <v>1.3120596395817921E-11</v>
      </c>
      <c r="AM161" s="59">
        <f t="shared" si="113"/>
        <v>293.33333333334645</v>
      </c>
      <c r="AN161" s="59">
        <f ca="1">AVERAGE(OFFSET($AM$3,0,0,'Données projet'!$E$10+1,1))-AVERAGE(OFFSET($H$3,0,0,'Données projet'!$E$10+1,1))</f>
        <v>306.38046634523579</v>
      </c>
      <c r="AO161" s="59">
        <f t="shared" si="144"/>
        <v>229.77251296097705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110.53223121073425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110.53223121073425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5.6843418860808015E-13</v>
      </c>
      <c r="BE161" s="13">
        <f>BD161*VLOOKUP('Données projet'!$B$11,Paramètres!$A$1:$I$89,3,0)*VLOOKUP('Données projet'!$B$11,Paramètres!$A$1:$I$89,5,0)</f>
        <v>5.763922672485933E-13</v>
      </c>
      <c r="BF161" s="13">
        <f t="shared" si="167"/>
        <v>7.0619171555808457E-12</v>
      </c>
      <c r="BG161" s="20">
        <f t="shared" si="168"/>
        <v>1.3303388911427938E-11</v>
      </c>
      <c r="BH161" s="59">
        <f t="shared" si="116"/>
        <v>293.33333333334662</v>
      </c>
      <c r="BI161" s="59">
        <f ca="1">AVERAGE(OFFSET($BH$3,0,0,'Données projet'!$E$11+1,1))-AVERAGE(OFFSET($H$3,0,0,'Données projet'!$E$11+1,1))</f>
        <v>312.29056285877169</v>
      </c>
      <c r="BJ161" s="59">
        <f t="shared" si="146"/>
        <v>233.85454224241693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112.25929732340194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112.25929732340194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266.99999999999983</v>
      </c>
      <c r="BZ161" s="13">
        <f>BY161*VLOOKUP('Données projet'!$B$12,Paramètres!$A$1:$I$89,3,0)*VLOOKUP('Données projet'!$B$12,Paramètres!$A$1:$I$89,5,0)</f>
        <v>212.42519999999985</v>
      </c>
      <c r="CA161" s="13">
        <f t="shared" si="170"/>
        <v>52.465198231787184</v>
      </c>
      <c r="CB161" s="20">
        <f t="shared" si="171"/>
        <v>461.35077692036231</v>
      </c>
      <c r="CC161" s="59">
        <f t="shared" si="119"/>
        <v>754.68411025369562</v>
      </c>
      <c r="CD161" s="59">
        <f ca="1">AVERAGE(OFFSET($CC$3,0,0,'Données projet'!$E$12+1,1))-AVERAGE(OFFSET($H$3,0,0,'Données projet'!$E$12+1,1))</f>
        <v>219.43439115440339</v>
      </c>
      <c r="CE161" s="59">
        <f t="shared" si="148"/>
        <v>217.8880462742099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6.1432014986225836</v>
      </c>
      <c r="CL161" s="21">
        <f>EXP(-LN(2)/25)*CL160+(1-EXP(-LN(2)/25))/(LN(2)/25)*Calculateur!CG161*Calculateur!CI161*VLOOKUP('Données projet'!$B$12,Paramètres!$A$1:$I$89,3,0)*0.475*44/12</f>
        <v>0.95802119059348234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7.1012226892160655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261.10917418234862</v>
      </c>
      <c r="T162" s="59">
        <f t="shared" si="142"/>
        <v>327.65691162938418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5.6752469390630732E-13</v>
      </c>
      <c r="AK162" s="13">
        <f t="shared" si="164"/>
        <v>6.9658320883814946E-12</v>
      </c>
      <c r="AL162" s="20">
        <f t="shared" si="165"/>
        <v>1.3120596395817921E-11</v>
      </c>
      <c r="AM162" s="59">
        <f t="shared" si="113"/>
        <v>293.33333333334645</v>
      </c>
      <c r="AN162" s="59">
        <f ca="1">AVERAGE(OFFSET($AM$3,0,0,'Données projet'!$E$10+1,1))-AVERAGE(OFFSET($H$3,0,0,'Données projet'!$E$10+1,1))</f>
        <v>306.38046634523579</v>
      </c>
      <c r="AO162" s="59">
        <f t="shared" si="144"/>
        <v>229.77251296097705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108.36476157469582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108.36476157469582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5.6843418860808015E-13</v>
      </c>
      <c r="BE162" s="13">
        <f>BD162*VLOOKUP('Données projet'!$B$11,Paramètres!$A$1:$I$89,3,0)*VLOOKUP('Données projet'!$B$11,Paramètres!$A$1:$I$89,5,0)</f>
        <v>5.763922672485933E-13</v>
      </c>
      <c r="BF162" s="13">
        <f t="shared" si="167"/>
        <v>7.0619171555808457E-12</v>
      </c>
      <c r="BG162" s="20">
        <f t="shared" si="168"/>
        <v>1.3303388911427938E-11</v>
      </c>
      <c r="BH162" s="59">
        <f t="shared" si="116"/>
        <v>293.33333333334662</v>
      </c>
      <c r="BI162" s="59">
        <f ca="1">AVERAGE(OFFSET($BH$3,0,0,'Données projet'!$E$11+1,1))-AVERAGE(OFFSET($H$3,0,0,'Données projet'!$E$11+1,1))</f>
        <v>312.29056285877169</v>
      </c>
      <c r="BJ162" s="59">
        <f t="shared" si="146"/>
        <v>233.85454224241693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110.0579609743004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110.0579609743004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266.99999999999983</v>
      </c>
      <c r="BZ162" s="13">
        <f>BY162*VLOOKUP('Données projet'!$B$12,Paramètres!$A$1:$I$89,3,0)*VLOOKUP('Données projet'!$B$12,Paramètres!$A$1:$I$89,5,0)</f>
        <v>212.42519999999985</v>
      </c>
      <c r="CA162" s="13">
        <f t="shared" si="170"/>
        <v>52.465198231787184</v>
      </c>
      <c r="CB162" s="20">
        <f t="shared" si="171"/>
        <v>461.35077692036231</v>
      </c>
      <c r="CC162" s="59">
        <f t="shared" si="119"/>
        <v>754.68411025369562</v>
      </c>
      <c r="CD162" s="59">
        <f ca="1">AVERAGE(OFFSET($CC$3,0,0,'Données projet'!$E$12+1,1))-AVERAGE(OFFSET($H$3,0,0,'Données projet'!$E$12+1,1))</f>
        <v>219.43439115440339</v>
      </c>
      <c r="CE162" s="59">
        <f t="shared" si="148"/>
        <v>217.8880462742099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6.0227370642175249</v>
      </c>
      <c r="CL162" s="21">
        <f>EXP(-LN(2)/25)*CL161+(1-EXP(-LN(2)/25))/(LN(2)/25)*Calculateur!CG162*Calculateur!CI162*VLOOKUP('Données projet'!$B$12,Paramètres!$A$1:$I$89,3,0)*0.475*44/12</f>
        <v>0.93182405075655872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6.9545611149740836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261.10917418234862</v>
      </c>
      <c r="T163" s="59">
        <f t="shared" si="142"/>
        <v>327.65691162938418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5.6752469390630732E-13</v>
      </c>
      <c r="AK163" s="13">
        <f t="shared" si="164"/>
        <v>6.9658320883814946E-12</v>
      </c>
      <c r="AL163" s="20">
        <f t="shared" si="165"/>
        <v>1.3120596395817921E-11</v>
      </c>
      <c r="AM163" s="59">
        <f t="shared" si="113"/>
        <v>293.33333333334645</v>
      </c>
      <c r="AN163" s="59">
        <f ca="1">AVERAGE(OFFSET($AM$3,0,0,'Données projet'!$E$10+1,1))-AVERAGE(OFFSET($H$3,0,0,'Données projet'!$E$10+1,1))</f>
        <v>306.38046634523579</v>
      </c>
      <c r="AO163" s="59">
        <f t="shared" si="144"/>
        <v>229.77251296097705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106.23979469619415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106.23979469619415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5.6843418860808015E-13</v>
      </c>
      <c r="BE163" s="13">
        <f>BD163*VLOOKUP('Données projet'!$B$11,Paramètres!$A$1:$I$89,3,0)*VLOOKUP('Données projet'!$B$11,Paramètres!$A$1:$I$89,5,0)</f>
        <v>5.763922672485933E-13</v>
      </c>
      <c r="BF163" s="13">
        <f t="shared" si="167"/>
        <v>7.0619171555808457E-12</v>
      </c>
      <c r="BG163" s="20">
        <f t="shared" si="168"/>
        <v>1.3303388911427938E-11</v>
      </c>
      <c r="BH163" s="59">
        <f t="shared" si="116"/>
        <v>293.33333333334662</v>
      </c>
      <c r="BI163" s="59">
        <f ca="1">AVERAGE(OFFSET($BH$3,0,0,'Données projet'!$E$11+1,1))-AVERAGE(OFFSET($H$3,0,0,'Données projet'!$E$11+1,1))</f>
        <v>312.29056285877169</v>
      </c>
      <c r="BJ163" s="59">
        <f t="shared" si="146"/>
        <v>233.85454224241693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107.89979148832215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107.89979148832215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266.99999999999983</v>
      </c>
      <c r="BZ163" s="13">
        <f>BY163*VLOOKUP('Données projet'!$B$12,Paramètres!$A$1:$I$89,3,0)*VLOOKUP('Données projet'!$B$12,Paramètres!$A$1:$I$89,5,0)</f>
        <v>212.42519999999985</v>
      </c>
      <c r="CA163" s="13">
        <f t="shared" si="170"/>
        <v>52.465198231787184</v>
      </c>
      <c r="CB163" s="20">
        <f t="shared" si="171"/>
        <v>461.35077692036231</v>
      </c>
      <c r="CC163" s="59">
        <f t="shared" si="119"/>
        <v>754.68411025369562</v>
      </c>
      <c r="CD163" s="59">
        <f ca="1">AVERAGE(OFFSET($CC$3,0,0,'Données projet'!$E$12+1,1))-AVERAGE(OFFSET($H$3,0,0,'Données projet'!$E$12+1,1))</f>
        <v>219.43439115440339</v>
      </c>
      <c r="CE163" s="59">
        <f t="shared" si="148"/>
        <v>217.8880462742099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5.9046348638951001</v>
      </c>
      <c r="CL163" s="21">
        <f>EXP(-LN(2)/25)*CL162+(1-EXP(-LN(2)/25))/(LN(2)/25)*Calculateur!CG163*Calculateur!CI163*VLOOKUP('Données projet'!$B$12,Paramètres!$A$1:$I$89,3,0)*0.475*44/12</f>
        <v>0.9063432730861235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6.8109781369812232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261.10917418234862</v>
      </c>
      <c r="T164" s="59">
        <f t="shared" si="142"/>
        <v>327.65691162938418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5.6752469390630732E-13</v>
      </c>
      <c r="AK164" s="13">
        <f t="shared" si="164"/>
        <v>6.9658320883814946E-12</v>
      </c>
      <c r="AL164" s="20">
        <f t="shared" si="165"/>
        <v>1.3120596395817921E-11</v>
      </c>
      <c r="AM164" s="59">
        <f t="shared" si="113"/>
        <v>293.33333333334645</v>
      </c>
      <c r="AN164" s="59">
        <f ca="1">AVERAGE(OFFSET($AM$3,0,0,'Données projet'!$E$10+1,1))-AVERAGE(OFFSET($H$3,0,0,'Données projet'!$E$10+1,1))</f>
        <v>306.38046634523579</v>
      </c>
      <c r="AO164" s="59">
        <f t="shared" si="144"/>
        <v>229.77251296097705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104.15649712207809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104.15649712207809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5.6843418860808015E-13</v>
      </c>
      <c r="BE164" s="13">
        <f>BD164*VLOOKUP('Données projet'!$B$11,Paramètres!$A$1:$I$89,3,0)*VLOOKUP('Données projet'!$B$11,Paramètres!$A$1:$I$89,5,0)</f>
        <v>5.763922672485933E-13</v>
      </c>
      <c r="BF164" s="13">
        <f t="shared" si="167"/>
        <v>7.0619171555808457E-12</v>
      </c>
      <c r="BG164" s="20">
        <f t="shared" si="168"/>
        <v>1.3303388911427938E-11</v>
      </c>
      <c r="BH164" s="59">
        <f t="shared" si="116"/>
        <v>293.33333333334662</v>
      </c>
      <c r="BI164" s="59">
        <f ca="1">AVERAGE(OFFSET($BH$3,0,0,'Données projet'!$E$11+1,1))-AVERAGE(OFFSET($H$3,0,0,'Données projet'!$E$11+1,1))</f>
        <v>312.29056285877169</v>
      </c>
      <c r="BJ164" s="59">
        <f t="shared" si="146"/>
        <v>233.85454224241693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105.78394238961053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105.78394238961053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266.99999999999983</v>
      </c>
      <c r="BZ164" s="13">
        <f>BY164*VLOOKUP('Données projet'!$B$12,Paramètres!$A$1:$I$89,3,0)*VLOOKUP('Données projet'!$B$12,Paramètres!$A$1:$I$89,5,0)</f>
        <v>212.42519999999985</v>
      </c>
      <c r="CA164" s="13">
        <f t="shared" si="170"/>
        <v>52.465198231787184</v>
      </c>
      <c r="CB164" s="20">
        <f t="shared" si="171"/>
        <v>461.35077692036231</v>
      </c>
      <c r="CC164" s="59">
        <f t="shared" si="119"/>
        <v>754.68411025369562</v>
      </c>
      <c r="CD164" s="59">
        <f ca="1">AVERAGE(OFFSET($CC$3,0,0,'Données projet'!$E$12+1,1))-AVERAGE(OFFSET($H$3,0,0,'Données projet'!$E$12+1,1))</f>
        <v>219.43439115440339</v>
      </c>
      <c r="CE164" s="59">
        <f t="shared" si="148"/>
        <v>217.8880462742099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5.7888485756857682</v>
      </c>
      <c r="CL164" s="21">
        <f>EXP(-LN(2)/25)*CL163+(1-EXP(-LN(2)/25))/(LN(2)/25)*Calculateur!CG164*Calculateur!CI164*VLOOKUP('Données projet'!$B$12,Paramètres!$A$1:$I$89,3,0)*0.475*44/12</f>
        <v>0.88155926862106215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6.6704078443068306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261.10917418234862</v>
      </c>
      <c r="T165" s="59">
        <f t="shared" si="142"/>
        <v>327.65691162938418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5.6752469390630732E-13</v>
      </c>
      <c r="AK165" s="13">
        <f t="shared" si="164"/>
        <v>6.9658320883814946E-12</v>
      </c>
      <c r="AL165" s="20">
        <f t="shared" si="165"/>
        <v>1.3120596395817921E-11</v>
      </c>
      <c r="AM165" s="59">
        <f t="shared" si="113"/>
        <v>293.33333333334645</v>
      </c>
      <c r="AN165" s="59">
        <f ca="1">AVERAGE(OFFSET($AM$3,0,0,'Données projet'!$E$10+1,1))-AVERAGE(OFFSET($H$3,0,0,'Données projet'!$E$10+1,1))</f>
        <v>306.38046634523579</v>
      </c>
      <c r="AO165" s="59">
        <f t="shared" si="144"/>
        <v>229.77251296097705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102.1140517427044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102.1140517427044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5.6843418860808015E-13</v>
      </c>
      <c r="BE165" s="13">
        <f>BD165*VLOOKUP('Données projet'!$B$11,Paramètres!$A$1:$I$89,3,0)*VLOOKUP('Données projet'!$B$11,Paramètres!$A$1:$I$89,5,0)</f>
        <v>5.763922672485933E-13</v>
      </c>
      <c r="BF165" s="13">
        <f t="shared" si="167"/>
        <v>7.0619171555808457E-12</v>
      </c>
      <c r="BG165" s="20">
        <f t="shared" si="168"/>
        <v>1.3303388911427938E-11</v>
      </c>
      <c r="BH165" s="59">
        <f t="shared" si="116"/>
        <v>293.33333333334662</v>
      </c>
      <c r="BI165" s="59">
        <f ca="1">AVERAGE(OFFSET($BH$3,0,0,'Données projet'!$E$11+1,1))-AVERAGE(OFFSET($H$3,0,0,'Données projet'!$E$11+1,1))</f>
        <v>312.29056285877169</v>
      </c>
      <c r="BJ165" s="59">
        <f t="shared" si="146"/>
        <v>233.85454224241693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103.70958380118412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103.70958380118412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266.99999999999983</v>
      </c>
      <c r="BZ165" s="13">
        <f>BY165*VLOOKUP('Données projet'!$B$12,Paramètres!$A$1:$I$89,3,0)*VLOOKUP('Données projet'!$B$12,Paramètres!$A$1:$I$89,5,0)</f>
        <v>212.42519999999985</v>
      </c>
      <c r="CA165" s="13">
        <f t="shared" si="170"/>
        <v>52.465198231787184</v>
      </c>
      <c r="CB165" s="20">
        <f t="shared" si="171"/>
        <v>461.35077692036231</v>
      </c>
      <c r="CC165" s="59">
        <f t="shared" si="119"/>
        <v>754.68411025369562</v>
      </c>
      <c r="CD165" s="59">
        <f ca="1">AVERAGE(OFFSET($CC$3,0,0,'Données projet'!$E$12+1,1))-AVERAGE(OFFSET($H$3,0,0,'Données projet'!$E$12+1,1))</f>
        <v>219.43439115440339</v>
      </c>
      <c r="CE165" s="59">
        <f t="shared" si="148"/>
        <v>217.8880462742099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5.6753327859655593</v>
      </c>
      <c r="CL165" s="21">
        <f>EXP(-LN(2)/25)*CL164+(1-EXP(-LN(2)/25))/(LN(2)/25)*Calculateur!CG165*Calculateur!CI165*VLOOKUP('Données projet'!$B$12,Paramètres!$A$1:$I$89,3,0)*0.475*44/12</f>
        <v>0.85745298406143211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6.5327857700269911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261.10917418234862</v>
      </c>
      <c r="T166" s="59">
        <f t="shared" si="142"/>
        <v>327.65691162938418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5.6752469390630732E-13</v>
      </c>
      <c r="AK166" s="13">
        <f t="shared" si="164"/>
        <v>6.9658320883814946E-12</v>
      </c>
      <c r="AL166" s="20">
        <f t="shared" si="165"/>
        <v>1.3120596395817921E-11</v>
      </c>
      <c r="AM166" s="59">
        <f t="shared" si="113"/>
        <v>293.33333333334645</v>
      </c>
      <c r="AN166" s="59">
        <f ca="1">AVERAGE(OFFSET($AM$3,0,0,'Données projet'!$E$10+1,1))-AVERAGE(OFFSET($H$3,0,0,'Données projet'!$E$10+1,1))</f>
        <v>306.38046634523579</v>
      </c>
      <c r="AO166" s="59">
        <f t="shared" si="144"/>
        <v>229.77251296097705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100.11165747145155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100.11165747145155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5.6843418860808015E-13</v>
      </c>
      <c r="BE166" s="13">
        <f>BD166*VLOOKUP('Données projet'!$B$11,Paramètres!$A$1:$I$89,3,0)*VLOOKUP('Données projet'!$B$11,Paramètres!$A$1:$I$89,5,0)</f>
        <v>5.763922672485933E-13</v>
      </c>
      <c r="BF166" s="13">
        <f t="shared" si="167"/>
        <v>7.0619171555808457E-12</v>
      </c>
      <c r="BG166" s="20">
        <f t="shared" si="168"/>
        <v>1.3303388911427938E-11</v>
      </c>
      <c r="BH166" s="59">
        <f t="shared" si="116"/>
        <v>293.33333333334662</v>
      </c>
      <c r="BI166" s="59">
        <f ca="1">AVERAGE(OFFSET($BH$3,0,0,'Données projet'!$E$11+1,1))-AVERAGE(OFFSET($H$3,0,0,'Données projet'!$E$11+1,1))</f>
        <v>312.29056285877169</v>
      </c>
      <c r="BJ166" s="59">
        <f t="shared" si="146"/>
        <v>233.85454224241693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101.67590211944295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101.67590211944295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266.99999999999983</v>
      </c>
      <c r="BZ166" s="13">
        <f>BY166*VLOOKUP('Données projet'!$B$12,Paramètres!$A$1:$I$89,3,0)*VLOOKUP('Données projet'!$B$12,Paramètres!$A$1:$I$89,5,0)</f>
        <v>212.42519999999985</v>
      </c>
      <c r="CA166" s="13">
        <f t="shared" si="170"/>
        <v>52.465198231787184</v>
      </c>
      <c r="CB166" s="20">
        <f t="shared" si="171"/>
        <v>461.35077692036231</v>
      </c>
      <c r="CC166" s="59">
        <f t="shared" si="119"/>
        <v>754.68411025369562</v>
      </c>
      <c r="CD166" s="59">
        <f ca="1">AVERAGE(OFFSET($CC$3,0,0,'Données projet'!$E$12+1,1))-AVERAGE(OFFSET($H$3,0,0,'Données projet'!$E$12+1,1))</f>
        <v>219.43439115440339</v>
      </c>
      <c r="CE166" s="59">
        <f t="shared" si="148"/>
        <v>217.8880462742099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5.5640429716439685</v>
      </c>
      <c r="CL166" s="21">
        <f>EXP(-LN(2)/25)*CL165+(1-EXP(-LN(2)/25))/(LN(2)/25)*Calculateur!CG166*Calculateur!CI166*VLOOKUP('Données projet'!$B$12,Paramètres!$A$1:$I$89,3,0)*0.475*44/12</f>
        <v>0.8340058871207795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6.3980488587647484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261.10917418234862</v>
      </c>
      <c r="T167" s="59">
        <f t="shared" si="142"/>
        <v>327.65691162938418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5.6752469390630732E-13</v>
      </c>
      <c r="AK167" s="13">
        <f t="shared" si="164"/>
        <v>6.9658320883814946E-12</v>
      </c>
      <c r="AL167" s="20">
        <f t="shared" si="165"/>
        <v>1.3120596395817921E-11</v>
      </c>
      <c r="AM167" s="59">
        <f t="shared" si="113"/>
        <v>293.33333333334645</v>
      </c>
      <c r="AN167" s="59">
        <f ca="1">AVERAGE(OFFSET($AM$3,0,0,'Données projet'!$E$10+1,1))-AVERAGE(OFFSET($H$3,0,0,'Données projet'!$E$10+1,1))</f>
        <v>306.38046634523579</v>
      </c>
      <c r="AO167" s="59">
        <f t="shared" si="144"/>
        <v>229.77251296097705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98.148528930518069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98.148528930518069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5.6843418860808015E-13</v>
      </c>
      <c r="BE167" s="13">
        <f>BD167*VLOOKUP('Données projet'!$B$11,Paramètres!$A$1:$I$89,3,0)*VLOOKUP('Données projet'!$B$11,Paramètres!$A$1:$I$89,5,0)</f>
        <v>5.763922672485933E-13</v>
      </c>
      <c r="BF167" s="13">
        <f t="shared" si="167"/>
        <v>7.0619171555808457E-12</v>
      </c>
      <c r="BG167" s="20">
        <f t="shared" si="168"/>
        <v>1.3303388911427938E-11</v>
      </c>
      <c r="BH167" s="59">
        <f t="shared" si="116"/>
        <v>293.33333333334662</v>
      </c>
      <c r="BI167" s="59">
        <f ca="1">AVERAGE(OFFSET($BH$3,0,0,'Données projet'!$E$11+1,1))-AVERAGE(OFFSET($H$3,0,0,'Données projet'!$E$11+1,1))</f>
        <v>312.29056285877169</v>
      </c>
      <c r="BJ167" s="59">
        <f t="shared" si="146"/>
        <v>233.85454224241693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99.682099695057374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99.682099695057374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266.99999999999983</v>
      </c>
      <c r="BZ167" s="13">
        <f>BY167*VLOOKUP('Données projet'!$B$12,Paramètres!$A$1:$I$89,3,0)*VLOOKUP('Données projet'!$B$12,Paramètres!$A$1:$I$89,5,0)</f>
        <v>212.42519999999985</v>
      </c>
      <c r="CA167" s="13">
        <f t="shared" si="170"/>
        <v>52.465198231787184</v>
      </c>
      <c r="CB167" s="20">
        <f t="shared" si="171"/>
        <v>461.35077692036231</v>
      </c>
      <c r="CC167" s="59">
        <f t="shared" si="119"/>
        <v>754.68411025369562</v>
      </c>
      <c r="CD167" s="59">
        <f ca="1">AVERAGE(OFFSET($CC$3,0,0,'Données projet'!$E$12+1,1))-AVERAGE(OFFSET($H$3,0,0,'Données projet'!$E$12+1,1))</f>
        <v>219.43439115440339</v>
      </c>
      <c r="CE167" s="59">
        <f t="shared" si="148"/>
        <v>217.8880462742099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5.4549354827011403</v>
      </c>
      <c r="CL167" s="21">
        <f>EXP(-LN(2)/25)*CL166+(1-EXP(-LN(2)/25))/(LN(2)/25)*Calculateur!CG167*Calculateur!CI167*VLOOKUP('Données projet'!$B$12,Paramètres!$A$1:$I$89,3,0)*0.475*44/12</f>
        <v>0.81119995227899833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6.2661354349801384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261.10917418234862</v>
      </c>
      <c r="T168" s="59">
        <f t="shared" si="142"/>
        <v>327.65691162938418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5.6752469390630732E-13</v>
      </c>
      <c r="AK168" s="13">
        <f t="shared" si="164"/>
        <v>6.9658320883814946E-12</v>
      </c>
      <c r="AL168" s="20">
        <f t="shared" si="165"/>
        <v>1.3120596395817921E-11</v>
      </c>
      <c r="AM168" s="59">
        <f t="shared" si="113"/>
        <v>293.33333333334645</v>
      </c>
      <c r="AN168" s="59">
        <f ca="1">AVERAGE(OFFSET($AM$3,0,0,'Données projet'!$E$10+1,1))-AVERAGE(OFFSET($H$3,0,0,'Données projet'!$E$10+1,1))</f>
        <v>306.38046634523579</v>
      </c>
      <c r="AO168" s="59">
        <f t="shared" si="144"/>
        <v>229.77251296097705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96.223896142882111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96.223896142882111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5.6843418860808015E-13</v>
      </c>
      <c r="BE168" s="13">
        <f>BD168*VLOOKUP('Données projet'!$B$11,Paramètres!$A$1:$I$89,3,0)*VLOOKUP('Données projet'!$B$11,Paramètres!$A$1:$I$89,5,0)</f>
        <v>5.763922672485933E-13</v>
      </c>
      <c r="BF168" s="13">
        <f t="shared" si="167"/>
        <v>7.0619171555808457E-12</v>
      </c>
      <c r="BG168" s="20">
        <f t="shared" si="168"/>
        <v>1.3303388911427938E-11</v>
      </c>
      <c r="BH168" s="59">
        <f t="shared" si="116"/>
        <v>293.33333333334662</v>
      </c>
      <c r="BI168" s="59">
        <f ca="1">AVERAGE(OFFSET($BH$3,0,0,'Données projet'!$E$11+1,1))-AVERAGE(OFFSET($H$3,0,0,'Données projet'!$E$11+1,1))</f>
        <v>312.29056285877169</v>
      </c>
      <c r="BJ168" s="59">
        <f t="shared" si="146"/>
        <v>233.85454224241693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97.727394520114601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97.727394520114601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266.99999999999983</v>
      </c>
      <c r="BZ168" s="13">
        <f>BY168*VLOOKUP('Données projet'!$B$12,Paramètres!$A$1:$I$89,3,0)*VLOOKUP('Données projet'!$B$12,Paramètres!$A$1:$I$89,5,0)</f>
        <v>212.42519999999985</v>
      </c>
      <c r="CA168" s="13">
        <f t="shared" si="170"/>
        <v>52.465198231787184</v>
      </c>
      <c r="CB168" s="20">
        <f t="shared" si="171"/>
        <v>461.35077692036231</v>
      </c>
      <c r="CC168" s="59">
        <f t="shared" si="119"/>
        <v>754.68411025369562</v>
      </c>
      <c r="CD168" s="59">
        <f ca="1">AVERAGE(OFFSET($CC$3,0,0,'Données projet'!$E$12+1,1))-AVERAGE(OFFSET($H$3,0,0,'Données projet'!$E$12+1,1))</f>
        <v>219.43439115440339</v>
      </c>
      <c r="CE168" s="59">
        <f t="shared" si="148"/>
        <v>217.8880462742099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5.3479675250674834</v>
      </c>
      <c r="CL168" s="21">
        <f>EXP(-LN(2)/25)*CL167+(1-EXP(-LN(2)/25))/(LN(2)/25)*Calculateur!CG168*Calculateur!CI168*VLOOKUP('Données projet'!$B$12,Paramètres!$A$1:$I$89,3,0)*0.475*44/12</f>
        <v>0.7890176469247776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6.1369851719922615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261.10917418234862</v>
      </c>
      <c r="T169" s="59">
        <f t="shared" si="142"/>
        <v>327.65691162938418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5.6752469390630732E-13</v>
      </c>
      <c r="AK169" s="13">
        <f t="shared" si="164"/>
        <v>6.9658320883814946E-12</v>
      </c>
      <c r="AL169" s="20">
        <f t="shared" si="165"/>
        <v>1.3120596395817921E-11</v>
      </c>
      <c r="AM169" s="59">
        <f t="shared" si="113"/>
        <v>293.33333333334645</v>
      </c>
      <c r="AN169" s="59">
        <f ca="1">AVERAGE(OFFSET($AM$3,0,0,'Données projet'!$E$10+1,1))-AVERAGE(OFFSET($H$3,0,0,'Données projet'!$E$10+1,1))</f>
        <v>306.38046634523579</v>
      </c>
      <c r="AO169" s="59">
        <f t="shared" si="144"/>
        <v>229.77251296097705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94.337004230301602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94.337004230301602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5.6843418860808015E-13</v>
      </c>
      <c r="BE169" s="13">
        <f>BD169*VLOOKUP('Données projet'!$B$11,Paramètres!$A$1:$I$89,3,0)*VLOOKUP('Données projet'!$B$11,Paramètres!$A$1:$I$89,5,0)</f>
        <v>5.763922672485933E-13</v>
      </c>
      <c r="BF169" s="13">
        <f t="shared" si="167"/>
        <v>7.0619171555808457E-12</v>
      </c>
      <c r="BG169" s="20">
        <f t="shared" si="168"/>
        <v>1.3303388911427938E-11</v>
      </c>
      <c r="BH169" s="59">
        <f t="shared" si="116"/>
        <v>293.33333333334662</v>
      </c>
      <c r="BI169" s="59">
        <f ca="1">AVERAGE(OFFSET($BH$3,0,0,'Données projet'!$E$11+1,1))-AVERAGE(OFFSET($H$3,0,0,'Données projet'!$E$11+1,1))</f>
        <v>312.29056285877169</v>
      </c>
      <c r="BJ169" s="59">
        <f t="shared" si="146"/>
        <v>233.85454224241693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95.811019921400032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95.811019921400032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266.99999999999983</v>
      </c>
      <c r="BZ169" s="13">
        <f>BY169*VLOOKUP('Données projet'!$B$12,Paramètres!$A$1:$I$89,3,0)*VLOOKUP('Données projet'!$B$12,Paramètres!$A$1:$I$89,5,0)</f>
        <v>212.42519999999985</v>
      </c>
      <c r="CA169" s="13">
        <f t="shared" si="170"/>
        <v>52.465198231787184</v>
      </c>
      <c r="CB169" s="20">
        <f t="shared" si="171"/>
        <v>461.35077692036231</v>
      </c>
      <c r="CC169" s="59">
        <f t="shared" si="119"/>
        <v>754.68411025369562</v>
      </c>
      <c r="CD169" s="59">
        <f ca="1">AVERAGE(OFFSET($CC$3,0,0,'Données projet'!$E$12+1,1))-AVERAGE(OFFSET($H$3,0,0,'Données projet'!$E$12+1,1))</f>
        <v>219.43439115440339</v>
      </c>
      <c r="CE169" s="59">
        <f t="shared" si="148"/>
        <v>217.8880462742099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5.2430971438390106</v>
      </c>
      <c r="CL169" s="21">
        <f>EXP(-LN(2)/25)*CL168+(1-EXP(-LN(2)/25))/(LN(2)/25)*Calculateur!CG169*Calculateur!CI169*VLOOKUP('Données projet'!$B$12,Paramètres!$A$1:$I$89,3,0)*0.475*44/12</f>
        <v>0.76744191787698479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6.0105390617159955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261.10917418234862</v>
      </c>
      <c r="T170" s="59">
        <f t="shared" si="142"/>
        <v>327.65691162938418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5.6752469390630732E-13</v>
      </c>
      <c r="AK170" s="13">
        <f t="shared" si="164"/>
        <v>6.9658320883814946E-12</v>
      </c>
      <c r="AL170" s="20">
        <f t="shared" si="165"/>
        <v>1.3120596395817921E-11</v>
      </c>
      <c r="AM170" s="59">
        <f t="shared" si="113"/>
        <v>293.33333333334645</v>
      </c>
      <c r="AN170" s="59">
        <f ca="1">AVERAGE(OFFSET($AM$3,0,0,'Données projet'!$E$10+1,1))-AVERAGE(OFFSET($H$3,0,0,'Données projet'!$E$10+1,1))</f>
        <v>306.38046634523579</v>
      </c>
      <c r="AO170" s="59">
        <f t="shared" si="144"/>
        <v>229.77251296097705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92.487113117236376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92.487113117236376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5.6843418860808015E-13</v>
      </c>
      <c r="BE170" s="13">
        <f>BD170*VLOOKUP('Données projet'!$B$11,Paramètres!$A$1:$I$89,3,0)*VLOOKUP('Données projet'!$B$11,Paramètres!$A$1:$I$89,5,0)</f>
        <v>5.763922672485933E-13</v>
      </c>
      <c r="BF170" s="13">
        <f t="shared" si="167"/>
        <v>7.0619171555808457E-12</v>
      </c>
      <c r="BG170" s="20">
        <f t="shared" si="168"/>
        <v>1.3303388911427938E-11</v>
      </c>
      <c r="BH170" s="59">
        <f t="shared" si="116"/>
        <v>293.33333333334662</v>
      </c>
      <c r="BI170" s="59">
        <f ca="1">AVERAGE(OFFSET($BH$3,0,0,'Données projet'!$E$11+1,1))-AVERAGE(OFFSET($H$3,0,0,'Données projet'!$E$11+1,1))</f>
        <v>312.29056285877169</v>
      </c>
      <c r="BJ170" s="59">
        <f t="shared" si="146"/>
        <v>233.85454224241693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93.932224259693157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93.932224259693157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266.99999999999983</v>
      </c>
      <c r="BZ170" s="13">
        <f>BY170*VLOOKUP('Données projet'!$B$12,Paramètres!$A$1:$I$89,3,0)*VLOOKUP('Données projet'!$B$12,Paramètres!$A$1:$I$89,5,0)</f>
        <v>212.42519999999985</v>
      </c>
      <c r="CA170" s="13">
        <f t="shared" si="170"/>
        <v>52.465198231787184</v>
      </c>
      <c r="CB170" s="20">
        <f t="shared" si="171"/>
        <v>461.35077692036231</v>
      </c>
      <c r="CC170" s="59">
        <f t="shared" si="119"/>
        <v>754.68411025369562</v>
      </c>
      <c r="CD170" s="59">
        <f ca="1">AVERAGE(OFFSET($CC$3,0,0,'Données projet'!$E$12+1,1))-AVERAGE(OFFSET($H$3,0,0,'Données projet'!$E$12+1,1))</f>
        <v>219.43439115440339</v>
      </c>
      <c r="CE170" s="59">
        <f t="shared" si="148"/>
        <v>217.8880462742099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5.1402832068218114</v>
      </c>
      <c r="CL170" s="21">
        <f>EXP(-LN(2)/25)*CL169+(1-EXP(-LN(2)/25))/(LN(2)/25)*Calculateur!CG170*Calculateur!CI170*VLOOKUP('Données projet'!$B$12,Paramètres!$A$1:$I$89,3,0)*0.475*44/12</f>
        <v>0.74645617827462218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5.8867393850964334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261.10917418234862</v>
      </c>
      <c r="T171" s="59">
        <f t="shared" si="142"/>
        <v>327.65691162938418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5.6752469390630732E-13</v>
      </c>
      <c r="AK171" s="13">
        <f t="shared" si="164"/>
        <v>6.9658320883814946E-12</v>
      </c>
      <c r="AL171" s="20">
        <f t="shared" si="165"/>
        <v>1.3120596395817921E-11</v>
      </c>
      <c r="AM171" s="59">
        <f t="shared" si="113"/>
        <v>293.33333333334645</v>
      </c>
      <c r="AN171" s="59">
        <f ca="1">AVERAGE(OFFSET($AM$3,0,0,'Données projet'!$E$10+1,1))-AVERAGE(OFFSET($H$3,0,0,'Données projet'!$E$10+1,1))</f>
        <v>306.38046634523579</v>
      </c>
      <c r="AO171" s="59">
        <f t="shared" si="144"/>
        <v>229.77251296097705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90.673497240576197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90.673497240576197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5.6843418860808015E-13</v>
      </c>
      <c r="BE171" s="13">
        <f>BD171*VLOOKUP('Données projet'!$B$11,Paramètres!$A$1:$I$89,3,0)*VLOOKUP('Données projet'!$B$11,Paramètres!$A$1:$I$89,5,0)</f>
        <v>5.763922672485933E-13</v>
      </c>
      <c r="BF171" s="13">
        <f t="shared" si="167"/>
        <v>7.0619171555808457E-12</v>
      </c>
      <c r="BG171" s="20">
        <f t="shared" si="168"/>
        <v>1.3303388911427938E-11</v>
      </c>
      <c r="BH171" s="59">
        <f t="shared" si="116"/>
        <v>293.33333333334662</v>
      </c>
      <c r="BI171" s="59">
        <f ca="1">AVERAGE(OFFSET($BH$3,0,0,'Données projet'!$E$11+1,1))-AVERAGE(OFFSET($H$3,0,0,'Données projet'!$E$11+1,1))</f>
        <v>312.29056285877169</v>
      </c>
      <c r="BJ171" s="59">
        <f t="shared" si="146"/>
        <v>233.85454224241693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92.090270634960163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92.090270634960163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266.99999999999983</v>
      </c>
      <c r="BZ171" s="13">
        <f>BY171*VLOOKUP('Données projet'!$B$12,Paramètres!$A$1:$I$89,3,0)*VLOOKUP('Données projet'!$B$12,Paramètres!$A$1:$I$89,5,0)</f>
        <v>212.42519999999985</v>
      </c>
      <c r="CA171" s="13">
        <f t="shared" si="170"/>
        <v>52.465198231787184</v>
      </c>
      <c r="CB171" s="20">
        <f t="shared" si="171"/>
        <v>461.35077692036231</v>
      </c>
      <c r="CC171" s="59">
        <f t="shared" si="119"/>
        <v>754.68411025369562</v>
      </c>
      <c r="CD171" s="59">
        <f ca="1">AVERAGE(OFFSET($CC$3,0,0,'Données projet'!$E$12+1,1))-AVERAGE(OFFSET($H$3,0,0,'Données projet'!$E$12+1,1))</f>
        <v>219.43439115440339</v>
      </c>
      <c r="CE171" s="59">
        <f t="shared" si="148"/>
        <v>217.8880462742099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5.0394853883992106</v>
      </c>
      <c r="CL171" s="21">
        <f>EXP(-LN(2)/25)*CL170+(1-EXP(-LN(2)/25))/(LN(2)/25)*Calculateur!CG171*Calculateur!CI171*VLOOKUP('Données projet'!$B$12,Paramètres!$A$1:$I$89,3,0)*0.475*44/12</f>
        <v>0.72604429482527832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5.7655296832244893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261.10917418234862</v>
      </c>
      <c r="T172" s="59">
        <f t="shared" si="142"/>
        <v>327.65691162938418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5.6752469390630732E-13</v>
      </c>
      <c r="AK172" s="13">
        <f t="shared" si="164"/>
        <v>6.9658320883814946E-12</v>
      </c>
      <c r="AL172" s="20">
        <f t="shared" si="165"/>
        <v>1.3120596395817921E-11</v>
      </c>
      <c r="AM172" s="59">
        <f t="shared" si="113"/>
        <v>293.33333333334645</v>
      </c>
      <c r="AN172" s="59">
        <f ca="1">AVERAGE(OFFSET($AM$3,0,0,'Données projet'!$E$10+1,1))-AVERAGE(OFFSET($H$3,0,0,'Données projet'!$E$10+1,1))</f>
        <v>306.38046634523579</v>
      </c>
      <c r="AO172" s="59">
        <f t="shared" si="144"/>
        <v>229.77251296097705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88.895445265060857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88.895445265060857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5.6843418860808015E-13</v>
      </c>
      <c r="BE172" s="13">
        <f>BD172*VLOOKUP('Données projet'!$B$11,Paramètres!$A$1:$I$89,3,0)*VLOOKUP('Données projet'!$B$11,Paramètres!$A$1:$I$89,5,0)</f>
        <v>5.763922672485933E-13</v>
      </c>
      <c r="BF172" s="13">
        <f t="shared" si="167"/>
        <v>7.0619171555808457E-12</v>
      </c>
      <c r="BG172" s="20">
        <f t="shared" si="168"/>
        <v>1.3303388911427938E-11</v>
      </c>
      <c r="BH172" s="59">
        <f t="shared" si="116"/>
        <v>293.33333333334662</v>
      </c>
      <c r="BI172" s="59">
        <f ca="1">AVERAGE(OFFSET($BH$3,0,0,'Données projet'!$E$11+1,1))-AVERAGE(OFFSET($H$3,0,0,'Données projet'!$E$11+1,1))</f>
        <v>312.29056285877169</v>
      </c>
      <c r="BJ172" s="59">
        <f t="shared" si="146"/>
        <v>233.85454224241693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90.284436597327399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90.284436597327399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266.99999999999983</v>
      </c>
      <c r="BZ172" s="13">
        <f>BY172*VLOOKUP('Données projet'!$B$12,Paramètres!$A$1:$I$89,3,0)*VLOOKUP('Données projet'!$B$12,Paramètres!$A$1:$I$89,5,0)</f>
        <v>212.42519999999985</v>
      </c>
      <c r="CA172" s="13">
        <f t="shared" si="170"/>
        <v>52.465198231787184</v>
      </c>
      <c r="CB172" s="20">
        <f t="shared" si="171"/>
        <v>461.35077692036231</v>
      </c>
      <c r="CC172" s="59">
        <f t="shared" si="119"/>
        <v>754.68411025369562</v>
      </c>
      <c r="CD172" s="59">
        <f ca="1">AVERAGE(OFFSET($CC$3,0,0,'Données projet'!$E$12+1,1))-AVERAGE(OFFSET($H$3,0,0,'Données projet'!$E$12+1,1))</f>
        <v>219.43439115440339</v>
      </c>
      <c r="CE172" s="59">
        <f t="shared" si="148"/>
        <v>217.8880462742099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4.9406641537152778</v>
      </c>
      <c r="CL172" s="21">
        <f>EXP(-LN(2)/25)*CL171+(1-EXP(-LN(2)/25))/(LN(2)/25)*Calculateur!CG172*Calculateur!CI172*VLOOKUP('Données projet'!$B$12,Paramètres!$A$1:$I$89,3,0)*0.475*44/12</f>
        <v>0.70619057540227104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5.6468547291175488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261.10917418234862</v>
      </c>
      <c r="T173" s="59">
        <f t="shared" si="142"/>
        <v>327.65691162938418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5.6752469390630732E-13</v>
      </c>
      <c r="AK173" s="13">
        <f t="shared" si="164"/>
        <v>6.9658320883814946E-12</v>
      </c>
      <c r="AL173" s="20">
        <f t="shared" si="165"/>
        <v>1.3120596395817921E-11</v>
      </c>
      <c r="AM173" s="59">
        <f t="shared" si="113"/>
        <v>293.33333333334645</v>
      </c>
      <c r="AN173" s="59">
        <f ca="1">AVERAGE(OFFSET($AM$3,0,0,'Données projet'!$E$10+1,1))-AVERAGE(OFFSET($H$3,0,0,'Données projet'!$E$10+1,1))</f>
        <v>306.38046634523579</v>
      </c>
      <c r="AO173" s="59">
        <f t="shared" si="144"/>
        <v>229.77251296097705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87.15225980428076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87.15225980428076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5.6843418860808015E-13</v>
      </c>
      <c r="BE173" s="13">
        <f>BD173*VLOOKUP('Données projet'!$B$11,Paramètres!$A$1:$I$89,3,0)*VLOOKUP('Données projet'!$B$11,Paramètres!$A$1:$I$89,5,0)</f>
        <v>5.763922672485933E-13</v>
      </c>
      <c r="BF173" s="13">
        <f t="shared" si="167"/>
        <v>7.0619171555808457E-12</v>
      </c>
      <c r="BG173" s="20">
        <f t="shared" si="168"/>
        <v>1.3303388911427938E-11</v>
      </c>
      <c r="BH173" s="59">
        <f t="shared" si="116"/>
        <v>293.33333333334662</v>
      </c>
      <c r="BI173" s="59">
        <f ca="1">AVERAGE(OFFSET($BH$3,0,0,'Données projet'!$E$11+1,1))-AVERAGE(OFFSET($H$3,0,0,'Données projet'!$E$11+1,1))</f>
        <v>312.29056285877169</v>
      </c>
      <c r="BJ173" s="59">
        <f t="shared" si="146"/>
        <v>233.85454224241693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88.51401386372261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88.51401386372261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266.99999999999983</v>
      </c>
      <c r="BZ173" s="13">
        <f>BY173*VLOOKUP('Données projet'!$B$12,Paramètres!$A$1:$I$89,3,0)*VLOOKUP('Données projet'!$B$12,Paramètres!$A$1:$I$89,5,0)</f>
        <v>212.42519999999985</v>
      </c>
      <c r="CA173" s="13">
        <f t="shared" si="170"/>
        <v>52.465198231787184</v>
      </c>
      <c r="CB173" s="20">
        <f t="shared" si="171"/>
        <v>461.35077692036231</v>
      </c>
      <c r="CC173" s="59">
        <f t="shared" si="119"/>
        <v>754.68411025369562</v>
      </c>
      <c r="CD173" s="59">
        <f ca="1">AVERAGE(OFFSET($CC$3,0,0,'Données projet'!$E$12+1,1))-AVERAGE(OFFSET($H$3,0,0,'Données projet'!$E$12+1,1))</f>
        <v>219.43439115440339</v>
      </c>
      <c r="CE173" s="59">
        <f t="shared" si="148"/>
        <v>217.8880462742099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4.8437807431684954</v>
      </c>
      <c r="CL173" s="21">
        <f>EXP(-LN(2)/25)*CL172+(1-EXP(-LN(2)/25))/(LN(2)/25)*Calculateur!CG173*Calculateur!CI173*VLOOKUP('Données projet'!$B$12,Paramètres!$A$1:$I$89,3,0)*0.475*44/12</f>
        <v>0.68687975698094761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5.5306605001494429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261.10917418234862</v>
      </c>
      <c r="T174" s="59">
        <f t="shared" si="142"/>
        <v>327.65691162938418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5.6752469390630732E-13</v>
      </c>
      <c r="AK174" s="13">
        <f t="shared" si="164"/>
        <v>6.9658320883814946E-12</v>
      </c>
      <c r="AL174" s="20">
        <f t="shared" si="165"/>
        <v>1.3120596395817921E-11</v>
      </c>
      <c r="AM174" s="59">
        <f t="shared" si="113"/>
        <v>293.33333333334645</v>
      </c>
      <c r="AN174" s="59">
        <f ca="1">AVERAGE(OFFSET($AM$3,0,0,'Données projet'!$E$10+1,1))-AVERAGE(OFFSET($H$3,0,0,'Données projet'!$E$10+1,1))</f>
        <v>306.38046634523579</v>
      </c>
      <c r="AO174" s="59">
        <f t="shared" si="144"/>
        <v>229.77251296097705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85.443257147148415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85.443257147148415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5.6843418860808015E-13</v>
      </c>
      <c r="BE174" s="13">
        <f>BD174*VLOOKUP('Données projet'!$B$11,Paramètres!$A$1:$I$89,3,0)*VLOOKUP('Données projet'!$B$11,Paramètres!$A$1:$I$89,5,0)</f>
        <v>5.763922672485933E-13</v>
      </c>
      <c r="BF174" s="13">
        <f t="shared" si="167"/>
        <v>7.0619171555808457E-12</v>
      </c>
      <c r="BG174" s="20">
        <f t="shared" si="168"/>
        <v>1.3303388911427938E-11</v>
      </c>
      <c r="BH174" s="59">
        <f t="shared" si="116"/>
        <v>293.33333333334662</v>
      </c>
      <c r="BI174" s="59">
        <f ca="1">AVERAGE(OFFSET($BH$3,0,0,'Données projet'!$E$11+1,1))-AVERAGE(OFFSET($H$3,0,0,'Données projet'!$E$11+1,1))</f>
        <v>312.29056285877169</v>
      </c>
      <c r="BJ174" s="59">
        <f t="shared" si="146"/>
        <v>233.85454224241693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86.778308040072574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86.778308040072574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266.99999999999983</v>
      </c>
      <c r="BZ174" s="13">
        <f>BY174*VLOOKUP('Données projet'!$B$12,Paramètres!$A$1:$I$89,3,0)*VLOOKUP('Données projet'!$B$12,Paramètres!$A$1:$I$89,5,0)</f>
        <v>212.42519999999985</v>
      </c>
      <c r="CA174" s="13">
        <f t="shared" si="170"/>
        <v>52.465198231787184</v>
      </c>
      <c r="CB174" s="20">
        <f t="shared" si="171"/>
        <v>461.35077692036231</v>
      </c>
      <c r="CC174" s="59">
        <f t="shared" si="119"/>
        <v>754.68411025369562</v>
      </c>
      <c r="CD174" s="59">
        <f ca="1">AVERAGE(OFFSET($CC$3,0,0,'Données projet'!$E$12+1,1))-AVERAGE(OFFSET($H$3,0,0,'Données projet'!$E$12+1,1))</f>
        <v>219.43439115440339</v>
      </c>
      <c r="CE174" s="59">
        <f t="shared" si="148"/>
        <v>217.8880462742099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4.7487971572094905</v>
      </c>
      <c r="CL174" s="21">
        <f>EXP(-LN(2)/25)*CL173+(1-EXP(-LN(2)/25))/(LN(2)/25)*Calculateur!CG174*Calculateur!CI174*VLOOKUP('Données projet'!$B$12,Paramètres!$A$1:$I$89,3,0)*0.475*44/12</f>
        <v>0.6680969939048671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5.4168941511143576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261.10917418234862</v>
      </c>
      <c r="T175" s="59">
        <f t="shared" si="142"/>
        <v>327.65691162938418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5.6752469390630732E-13</v>
      </c>
      <c r="AK175" s="13">
        <f t="shared" si="164"/>
        <v>6.9658320883814946E-12</v>
      </c>
      <c r="AL175" s="20">
        <f t="shared" si="165"/>
        <v>1.3120596395817921E-11</v>
      </c>
      <c r="AM175" s="59">
        <f t="shared" si="113"/>
        <v>293.33333333334645</v>
      </c>
      <c r="AN175" s="59">
        <f ca="1">AVERAGE(OFFSET($AM$3,0,0,'Données projet'!$E$10+1,1))-AVERAGE(OFFSET($H$3,0,0,'Données projet'!$E$10+1,1))</f>
        <v>306.38046634523579</v>
      </c>
      <c r="AO175" s="59">
        <f t="shared" si="144"/>
        <v>229.77251296097705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83.767766989733744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83.767766989733744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5.6843418860808015E-13</v>
      </c>
      <c r="BE175" s="13">
        <f>BD175*VLOOKUP('Données projet'!$B$11,Paramètres!$A$1:$I$89,3,0)*VLOOKUP('Données projet'!$B$11,Paramètres!$A$1:$I$89,5,0)</f>
        <v>5.763922672485933E-13</v>
      </c>
      <c r="BF175" s="13">
        <f t="shared" si="167"/>
        <v>7.0619171555808457E-12</v>
      </c>
      <c r="BG175" s="20">
        <f t="shared" si="168"/>
        <v>1.3303388911427938E-11</v>
      </c>
      <c r="BH175" s="59">
        <f t="shared" si="116"/>
        <v>293.33333333334662</v>
      </c>
      <c r="BI175" s="59">
        <f ca="1">AVERAGE(OFFSET($BH$3,0,0,'Données projet'!$E$11+1,1))-AVERAGE(OFFSET($H$3,0,0,'Données projet'!$E$11+1,1))</f>
        <v>312.29056285877169</v>
      </c>
      <c r="BJ175" s="59">
        <f t="shared" si="146"/>
        <v>233.85454224241693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85.076638348948293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85.076638348948293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266.99999999999983</v>
      </c>
      <c r="BZ175" s="13">
        <f>BY175*VLOOKUP('Données projet'!$B$12,Paramètres!$A$1:$I$89,3,0)*VLOOKUP('Données projet'!$B$12,Paramètres!$A$1:$I$89,5,0)</f>
        <v>212.42519999999985</v>
      </c>
      <c r="CA175" s="13">
        <f t="shared" si="170"/>
        <v>52.465198231787184</v>
      </c>
      <c r="CB175" s="20">
        <f t="shared" si="171"/>
        <v>461.35077692036231</v>
      </c>
      <c r="CC175" s="59">
        <f t="shared" si="119"/>
        <v>754.68411025369562</v>
      </c>
      <c r="CD175" s="59">
        <f ca="1">AVERAGE(OFFSET($CC$3,0,0,'Données projet'!$E$12+1,1))-AVERAGE(OFFSET($H$3,0,0,'Données projet'!$E$12+1,1))</f>
        <v>219.43439115440339</v>
      </c>
      <c r="CE175" s="59">
        <f t="shared" si="148"/>
        <v>217.8880462742099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4.6556761414368744</v>
      </c>
      <c r="CL175" s="21">
        <f>EXP(-LN(2)/25)*CL174+(1-EXP(-LN(2)/25))/(LN(2)/25)*Calculateur!CG175*Calculateur!CI175*VLOOKUP('Données projet'!$B$12,Paramètres!$A$1:$I$89,3,0)*0.475*44/12</f>
        <v>0.64982784647284453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5.3055039879097192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261.10917418234862</v>
      </c>
      <c r="T176" s="59">
        <f t="shared" si="142"/>
        <v>327.65691162938418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5.6752469390630732E-13</v>
      </c>
      <c r="AK176" s="13">
        <f t="shared" si="164"/>
        <v>6.9658320883814946E-12</v>
      </c>
      <c r="AL176" s="20">
        <f t="shared" si="165"/>
        <v>1.3120596395817921E-11</v>
      </c>
      <c r="AM176" s="59">
        <f t="shared" si="113"/>
        <v>293.33333333334645</v>
      </c>
      <c r="AN176" s="59">
        <f ca="1">AVERAGE(OFFSET($AM$3,0,0,'Données projet'!$E$10+1,1))-AVERAGE(OFFSET($H$3,0,0,'Données projet'!$E$10+1,1))</f>
        <v>306.38046634523579</v>
      </c>
      <c r="AO176" s="59">
        <f t="shared" si="144"/>
        <v>229.77251296097705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82.12513217235788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82.12513217235788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5.6843418860808015E-13</v>
      </c>
      <c r="BE176" s="13">
        <f>BD176*VLOOKUP('Données projet'!$B$11,Paramètres!$A$1:$I$89,3,0)*VLOOKUP('Données projet'!$B$11,Paramètres!$A$1:$I$89,5,0)</f>
        <v>5.763922672485933E-13</v>
      </c>
      <c r="BF176" s="13">
        <f t="shared" si="167"/>
        <v>7.0619171555808457E-12</v>
      </c>
      <c r="BG176" s="20">
        <f t="shared" si="168"/>
        <v>1.3303388911427938E-11</v>
      </c>
      <c r="BH176" s="59">
        <f t="shared" si="116"/>
        <v>293.33333333334662</v>
      </c>
      <c r="BI176" s="59">
        <f ca="1">AVERAGE(OFFSET($BH$3,0,0,'Données projet'!$E$11+1,1))-AVERAGE(OFFSET($H$3,0,0,'Données projet'!$E$11+1,1))</f>
        <v>312.29056285877169</v>
      </c>
      <c r="BJ176" s="59">
        <f t="shared" si="146"/>
        <v>233.85454224241693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83.408337362550938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83.408337362550938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266.99999999999983</v>
      </c>
      <c r="BZ176" s="13">
        <f>BY176*VLOOKUP('Données projet'!$B$12,Paramètres!$A$1:$I$89,3,0)*VLOOKUP('Données projet'!$B$12,Paramètres!$A$1:$I$89,5,0)</f>
        <v>212.42519999999985</v>
      </c>
      <c r="CA176" s="13">
        <f t="shared" si="170"/>
        <v>52.465198231787184</v>
      </c>
      <c r="CB176" s="20">
        <f t="shared" si="171"/>
        <v>461.35077692036231</v>
      </c>
      <c r="CC176" s="59">
        <f t="shared" si="119"/>
        <v>754.68411025369562</v>
      </c>
      <c r="CD176" s="59">
        <f ca="1">AVERAGE(OFFSET($CC$3,0,0,'Données projet'!$E$12+1,1))-AVERAGE(OFFSET($H$3,0,0,'Données projet'!$E$12+1,1))</f>
        <v>219.43439115440339</v>
      </c>
      <c r="CE176" s="59">
        <f t="shared" si="148"/>
        <v>217.8880462742099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4.5643811719853487</v>
      </c>
      <c r="CL176" s="21">
        <f>EXP(-LN(2)/25)*CL175+(1-EXP(-LN(2)/25))/(LN(2)/25)*Calculateur!CG176*Calculateur!CI176*VLOOKUP('Données projet'!$B$12,Paramètres!$A$1:$I$89,3,0)*0.475*44/12</f>
        <v>0.63205826983808333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5.1964394418234319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261.10917418234862</v>
      </c>
      <c r="T177" s="59">
        <f t="shared" si="142"/>
        <v>327.65691162938418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5.6752469390630732E-13</v>
      </c>
      <c r="AK177" s="13">
        <f t="shared" si="164"/>
        <v>6.9658320883814946E-12</v>
      </c>
      <c r="AL177" s="20">
        <f t="shared" si="165"/>
        <v>1.3120596395817921E-11</v>
      </c>
      <c r="AM177" s="59">
        <f t="shared" si="113"/>
        <v>293.33333333334645</v>
      </c>
      <c r="AN177" s="59">
        <f ca="1">AVERAGE(OFFSET($AM$3,0,0,'Données projet'!$E$10+1,1))-AVERAGE(OFFSET($H$3,0,0,'Données projet'!$E$10+1,1))</f>
        <v>306.38046634523579</v>
      </c>
      <c r="AO177" s="59">
        <f t="shared" si="144"/>
        <v>229.77251296097705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80.514708421842457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80.514708421842457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5.6843418860808015E-13</v>
      </c>
      <c r="BE177" s="13">
        <f>BD177*VLOOKUP('Données projet'!$B$11,Paramètres!$A$1:$I$89,3,0)*VLOOKUP('Données projet'!$B$11,Paramètres!$A$1:$I$89,5,0)</f>
        <v>5.763922672485933E-13</v>
      </c>
      <c r="BF177" s="13">
        <f t="shared" si="167"/>
        <v>7.0619171555808457E-12</v>
      </c>
      <c r="BG177" s="20">
        <f t="shared" si="168"/>
        <v>1.3303388911427938E-11</v>
      </c>
      <c r="BH177" s="59">
        <f t="shared" si="116"/>
        <v>293.33333333334662</v>
      </c>
      <c r="BI177" s="59">
        <f ca="1">AVERAGE(OFFSET($BH$3,0,0,'Données projet'!$E$11+1,1))-AVERAGE(OFFSET($H$3,0,0,'Données projet'!$E$11+1,1))</f>
        <v>312.29056285877169</v>
      </c>
      <c r="BJ177" s="59">
        <f t="shared" si="146"/>
        <v>233.85454224241693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81.772750740933702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81.772750740933702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266.99999999999983</v>
      </c>
      <c r="BZ177" s="13">
        <f>BY177*VLOOKUP('Données projet'!$B$12,Paramètres!$A$1:$I$89,3,0)*VLOOKUP('Données projet'!$B$12,Paramètres!$A$1:$I$89,5,0)</f>
        <v>212.42519999999985</v>
      </c>
      <c r="CA177" s="13">
        <f t="shared" si="170"/>
        <v>52.465198231787184</v>
      </c>
      <c r="CB177" s="20">
        <f t="shared" si="171"/>
        <v>461.35077692036231</v>
      </c>
      <c r="CC177" s="59">
        <f t="shared" si="119"/>
        <v>754.68411025369562</v>
      </c>
      <c r="CD177" s="59">
        <f ca="1">AVERAGE(OFFSET($CC$3,0,0,'Données projet'!$E$12+1,1))-AVERAGE(OFFSET($H$3,0,0,'Données projet'!$E$12+1,1))</f>
        <v>219.43439115440339</v>
      </c>
      <c r="CE177" s="59">
        <f t="shared" si="148"/>
        <v>217.8880462742099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4.4748764412003341</v>
      </c>
      <c r="CL177" s="21">
        <f>EXP(-LN(2)/25)*CL176+(1-EXP(-LN(2)/25))/(LN(2)/25)*Calculateur!CG177*Calculateur!CI177*VLOOKUP('Données projet'!$B$12,Paramètres!$A$1:$I$89,3,0)*0.475*44/12</f>
        <v>0.61477460321086108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5.0896510444111955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261.10917418234862</v>
      </c>
      <c r="T178" s="59">
        <f t="shared" si="142"/>
        <v>327.65691162938418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5.6752469390630732E-13</v>
      </c>
      <c r="AK178" s="13">
        <f t="shared" si="164"/>
        <v>6.9658320883814946E-12</v>
      </c>
      <c r="AL178" s="20">
        <f t="shared" si="165"/>
        <v>1.3120596395817921E-11</v>
      </c>
      <c r="AM178" s="59">
        <f t="shared" si="113"/>
        <v>293.33333333334645</v>
      </c>
      <c r="AN178" s="59">
        <f ca="1">AVERAGE(OFFSET($AM$3,0,0,'Données projet'!$E$10+1,1))-AVERAGE(OFFSET($H$3,0,0,'Données projet'!$E$10+1,1))</f>
        <v>306.38046634523579</v>
      </c>
      <c r="AO178" s="59">
        <f t="shared" si="144"/>
        <v>229.77251296097705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78.935864098813141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78.935864098813141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5.6843418860808015E-13</v>
      </c>
      <c r="BE178" s="13">
        <f>BD178*VLOOKUP('Données projet'!$B$11,Paramètres!$A$1:$I$89,3,0)*VLOOKUP('Données projet'!$B$11,Paramètres!$A$1:$I$89,5,0)</f>
        <v>5.763922672485933E-13</v>
      </c>
      <c r="BF178" s="13">
        <f t="shared" si="167"/>
        <v>7.0619171555808457E-12</v>
      </c>
      <c r="BG178" s="20">
        <f t="shared" si="168"/>
        <v>1.3303388911427938E-11</v>
      </c>
      <c r="BH178" s="59">
        <f t="shared" si="116"/>
        <v>293.33333333334662</v>
      </c>
      <c r="BI178" s="59">
        <f ca="1">AVERAGE(OFFSET($BH$3,0,0,'Données projet'!$E$11+1,1))-AVERAGE(OFFSET($H$3,0,0,'Données projet'!$E$11+1,1))</f>
        <v>312.29056285877169</v>
      </c>
      <c r="BJ178" s="59">
        <f t="shared" si="146"/>
        <v>233.85454224241693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80.169236975357052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80.169236975357052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266.99999999999983</v>
      </c>
      <c r="BZ178" s="13">
        <f>BY178*VLOOKUP('Données projet'!$B$12,Paramètres!$A$1:$I$89,3,0)*VLOOKUP('Données projet'!$B$12,Paramètres!$A$1:$I$89,5,0)</f>
        <v>212.42519999999985</v>
      </c>
      <c r="CA178" s="13">
        <f t="shared" si="170"/>
        <v>52.465198231787184</v>
      </c>
      <c r="CB178" s="20">
        <f t="shared" si="171"/>
        <v>461.35077692036231</v>
      </c>
      <c r="CC178" s="59">
        <f t="shared" si="119"/>
        <v>754.68411025369562</v>
      </c>
      <c r="CD178" s="59">
        <f ca="1">AVERAGE(OFFSET($CC$3,0,0,'Données projet'!$E$12+1,1))-AVERAGE(OFFSET($H$3,0,0,'Données projet'!$E$12+1,1))</f>
        <v>219.43439115440339</v>
      </c>
      <c r="CE178" s="59">
        <f t="shared" si="148"/>
        <v>217.8880462742099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4.387126843593518</v>
      </c>
      <c r="CL178" s="21">
        <f>EXP(-LN(2)/25)*CL177+(1-EXP(-LN(2)/25))/(LN(2)/25)*Calculateur!CG178*Calculateur!CI178*VLOOKUP('Données projet'!$B$12,Paramètres!$A$1:$I$89,3,0)*0.475*44/12</f>
        <v>0.59796355935646883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4.9850904029499867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261.10917418234862</v>
      </c>
      <c r="T179" s="59">
        <f t="shared" si="142"/>
        <v>327.65691162938418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5.6752469390630732E-13</v>
      </c>
      <c r="AK179" s="13">
        <f t="shared" si="164"/>
        <v>6.9658320883814946E-12</v>
      </c>
      <c r="AL179" s="20">
        <f t="shared" si="165"/>
        <v>1.3120596395817921E-11</v>
      </c>
      <c r="AM179" s="59">
        <f t="shared" si="113"/>
        <v>293.33333333334645</v>
      </c>
      <c r="AN179" s="59">
        <f ca="1">AVERAGE(OFFSET($AM$3,0,0,'Données projet'!$E$10+1,1))-AVERAGE(OFFSET($H$3,0,0,'Données projet'!$E$10+1,1))</f>
        <v>306.38046634523579</v>
      </c>
      <c r="AO179" s="59">
        <f t="shared" si="144"/>
        <v>229.77251296097705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77.387979949958478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77.387979949958478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5.6843418860808015E-13</v>
      </c>
      <c r="BE179" s="13">
        <f>BD179*VLOOKUP('Données projet'!$B$11,Paramètres!$A$1:$I$89,3,0)*VLOOKUP('Données projet'!$B$11,Paramètres!$A$1:$I$89,5,0)</f>
        <v>5.763922672485933E-13</v>
      </c>
      <c r="BF179" s="13">
        <f t="shared" si="167"/>
        <v>7.0619171555808457E-12</v>
      </c>
      <c r="BG179" s="20">
        <f t="shared" si="168"/>
        <v>1.3303388911427938E-11</v>
      </c>
      <c r="BH179" s="59">
        <f t="shared" si="116"/>
        <v>293.33333333334662</v>
      </c>
      <c r="BI179" s="59">
        <f ca="1">AVERAGE(OFFSET($BH$3,0,0,'Données projet'!$E$11+1,1))-AVERAGE(OFFSET($H$3,0,0,'Données projet'!$E$11+1,1))</f>
        <v>312.29056285877169</v>
      </c>
      <c r="BJ179" s="59">
        <f t="shared" si="146"/>
        <v>233.85454224241693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78.597167136676532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78.597167136676532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266.99999999999983</v>
      </c>
      <c r="BZ179" s="13">
        <f>BY179*VLOOKUP('Données projet'!$B$12,Paramètres!$A$1:$I$89,3,0)*VLOOKUP('Données projet'!$B$12,Paramètres!$A$1:$I$89,5,0)</f>
        <v>212.42519999999985</v>
      </c>
      <c r="CA179" s="13">
        <f t="shared" si="170"/>
        <v>52.465198231787184</v>
      </c>
      <c r="CB179" s="20">
        <f t="shared" si="171"/>
        <v>461.35077692036231</v>
      </c>
      <c r="CC179" s="59">
        <f t="shared" si="119"/>
        <v>754.68411025369562</v>
      </c>
      <c r="CD179" s="59">
        <f ca="1">AVERAGE(OFFSET($CC$3,0,0,'Données projet'!$E$12+1,1))-AVERAGE(OFFSET($H$3,0,0,'Données projet'!$E$12+1,1))</f>
        <v>219.43439115440339</v>
      </c>
      <c r="CE179" s="59">
        <f t="shared" si="148"/>
        <v>217.8880462742099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4.3010979620738023</v>
      </c>
      <c r="CL179" s="21">
        <f>EXP(-LN(2)/25)*CL178+(1-EXP(-LN(2)/25))/(LN(2)/25)*Calculateur!CG179*Calculateur!CI179*VLOOKUP('Données projet'!$B$12,Paramètres!$A$1:$I$89,3,0)*0.475*44/12</f>
        <v>0.58161221438032928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4.8827101764541316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261.10917418234862</v>
      </c>
      <c r="T180" s="59">
        <f t="shared" si="142"/>
        <v>327.65691162938418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5.6752469390630732E-13</v>
      </c>
      <c r="AK180" s="13">
        <f t="shared" si="164"/>
        <v>6.9658320883814946E-12</v>
      </c>
      <c r="AL180" s="20">
        <f t="shared" si="165"/>
        <v>1.3120596395817921E-11</v>
      </c>
      <c r="AM180" s="59">
        <f t="shared" si="113"/>
        <v>293.33333333334645</v>
      </c>
      <c r="AN180" s="59">
        <f ca="1">AVERAGE(OFFSET($AM$3,0,0,'Données projet'!$E$10+1,1))-AVERAGE(OFFSET($H$3,0,0,'Données projet'!$E$10+1,1))</f>
        <v>306.38046634523579</v>
      </c>
      <c r="AO180" s="59">
        <f t="shared" si="144"/>
        <v>229.77251296097705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75.870448865146756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75.870448865146756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5.6843418860808015E-13</v>
      </c>
      <c r="BE180" s="13">
        <f>BD180*VLOOKUP('Données projet'!$B$11,Paramètres!$A$1:$I$89,3,0)*VLOOKUP('Données projet'!$B$11,Paramètres!$A$1:$I$89,5,0)</f>
        <v>5.763922672485933E-13</v>
      </c>
      <c r="BF180" s="13">
        <f t="shared" si="167"/>
        <v>7.0619171555808457E-12</v>
      </c>
      <c r="BG180" s="20">
        <f t="shared" si="168"/>
        <v>1.3303388911427938E-11</v>
      </c>
      <c r="BH180" s="59">
        <f t="shared" si="116"/>
        <v>293.33333333334662</v>
      </c>
      <c r="BI180" s="59">
        <f ca="1">AVERAGE(OFFSET($BH$3,0,0,'Données projet'!$E$11+1,1))-AVERAGE(OFFSET($H$3,0,0,'Données projet'!$E$11+1,1))</f>
        <v>312.29056285877169</v>
      </c>
      <c r="BJ180" s="59">
        <f t="shared" si="146"/>
        <v>233.85454224241693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77.055924628664627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77.055924628664627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266.99999999999983</v>
      </c>
      <c r="BZ180" s="13">
        <f>BY180*VLOOKUP('Données projet'!$B$12,Paramètres!$A$1:$I$89,3,0)*VLOOKUP('Données projet'!$B$12,Paramètres!$A$1:$I$89,5,0)</f>
        <v>212.42519999999985</v>
      </c>
      <c r="CA180" s="13">
        <f t="shared" si="170"/>
        <v>52.465198231787184</v>
      </c>
      <c r="CB180" s="20">
        <f t="shared" si="171"/>
        <v>461.35077692036231</v>
      </c>
      <c r="CC180" s="59">
        <f t="shared" si="119"/>
        <v>754.68411025369562</v>
      </c>
      <c r="CD180" s="59">
        <f ca="1">AVERAGE(OFFSET($CC$3,0,0,'Données projet'!$E$12+1,1))-AVERAGE(OFFSET($H$3,0,0,'Données projet'!$E$12+1,1))</f>
        <v>219.43439115440339</v>
      </c>
      <c r="CE180" s="59">
        <f t="shared" si="148"/>
        <v>217.8880462742099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4.2167560544482514</v>
      </c>
      <c r="CL180" s="21">
        <f>EXP(-LN(2)/25)*CL179+(1-EXP(-LN(2)/25))/(LN(2)/25)*Calculateur!CG180*Calculateur!CI180*VLOOKUP('Données projet'!$B$12,Paramètres!$A$1:$I$89,3,0)*0.475*44/12</f>
        <v>0.56570799779244207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4.7824640522406936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261.10917418234862</v>
      </c>
      <c r="T181" s="59">
        <f t="shared" si="142"/>
        <v>327.65691162938418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5.6752469390630732E-13</v>
      </c>
      <c r="AK181" s="13">
        <f t="shared" si="164"/>
        <v>6.9658320883814946E-12</v>
      </c>
      <c r="AL181" s="20">
        <f t="shared" si="165"/>
        <v>1.3120596395817921E-11</v>
      </c>
      <c r="AM181" s="59">
        <f t="shared" si="113"/>
        <v>293.33333333334645</v>
      </c>
      <c r="AN181" s="59">
        <f ca="1">AVERAGE(OFFSET($AM$3,0,0,'Données projet'!$E$10+1,1))-AVERAGE(OFFSET($H$3,0,0,'Données projet'!$E$10+1,1))</f>
        <v>306.38046634523579</v>
      </c>
      <c r="AO181" s="59">
        <f t="shared" si="144"/>
        <v>229.77251296097705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74.382675639305617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74.382675639305617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5.6843418860808015E-13</v>
      </c>
      <c r="BE181" s="13">
        <f>BD181*VLOOKUP('Données projet'!$B$11,Paramètres!$A$1:$I$89,3,0)*VLOOKUP('Données projet'!$B$11,Paramètres!$A$1:$I$89,5,0)</f>
        <v>5.763922672485933E-13</v>
      </c>
      <c r="BF181" s="13">
        <f t="shared" si="167"/>
        <v>7.0619171555808457E-12</v>
      </c>
      <c r="BG181" s="20">
        <f t="shared" si="168"/>
        <v>1.3303388911427938E-11</v>
      </c>
      <c r="BH181" s="59">
        <f t="shared" si="116"/>
        <v>293.33333333334662</v>
      </c>
      <c r="BI181" s="59">
        <f ca="1">AVERAGE(OFFSET($BH$3,0,0,'Données projet'!$E$11+1,1))-AVERAGE(OFFSET($H$3,0,0,'Données projet'!$E$11+1,1))</f>
        <v>312.29056285877169</v>
      </c>
      <c r="BJ181" s="59">
        <f t="shared" si="146"/>
        <v>233.85454224241693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75.544904946169723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75.544904946169723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266.99999999999983</v>
      </c>
      <c r="BZ181" s="13">
        <f>BY181*VLOOKUP('Données projet'!$B$12,Paramètres!$A$1:$I$89,3,0)*VLOOKUP('Données projet'!$B$12,Paramètres!$A$1:$I$89,5,0)</f>
        <v>212.42519999999985</v>
      </c>
      <c r="CA181" s="13">
        <f t="shared" si="170"/>
        <v>52.465198231787184</v>
      </c>
      <c r="CB181" s="20">
        <f t="shared" si="171"/>
        <v>461.35077692036231</v>
      </c>
      <c r="CC181" s="59">
        <f t="shared" si="119"/>
        <v>754.68411025369562</v>
      </c>
      <c r="CD181" s="59">
        <f ca="1">AVERAGE(OFFSET($CC$3,0,0,'Données projet'!$E$12+1,1))-AVERAGE(OFFSET($H$3,0,0,'Données projet'!$E$12+1,1))</f>
        <v>219.43439115440339</v>
      </c>
      <c r="CE181" s="59">
        <f t="shared" si="148"/>
        <v>217.8880462742099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4.1340680401877536</v>
      </c>
      <c r="CL181" s="21">
        <f>EXP(-LN(2)/25)*CL180+(1-EXP(-LN(2)/25))/(LN(2)/25)*Calculateur!CG181*Calculateur!CI181*VLOOKUP('Données projet'!$B$12,Paramètres!$A$1:$I$89,3,0)*0.475*44/12</f>
        <v>0.55023868284351707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4.6843067230312707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261.10917418234862</v>
      </c>
      <c r="T182" s="59">
        <f t="shared" si="142"/>
        <v>327.65691162938418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5.6752469390630732E-13</v>
      </c>
      <c r="AK182" s="13">
        <f t="shared" si="164"/>
        <v>6.9658320883814946E-12</v>
      </c>
      <c r="AL182" s="20">
        <f t="shared" si="165"/>
        <v>1.3120596395817921E-11</v>
      </c>
      <c r="AM182" s="59">
        <f t="shared" si="113"/>
        <v>293.33333333334645</v>
      </c>
      <c r="AN182" s="59">
        <f ca="1">AVERAGE(OFFSET($AM$3,0,0,'Données projet'!$E$10+1,1))-AVERAGE(OFFSET($H$3,0,0,'Données projet'!$E$10+1,1))</f>
        <v>306.38046634523579</v>
      </c>
      <c r="AO182" s="59">
        <f t="shared" si="144"/>
        <v>229.77251296097705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72.924076738971166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72.924076738971166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5.6843418860808015E-13</v>
      </c>
      <c r="BE182" s="13">
        <f>BD182*VLOOKUP('Données projet'!$B$11,Paramètres!$A$1:$I$89,3,0)*VLOOKUP('Données projet'!$B$11,Paramètres!$A$1:$I$89,5,0)</f>
        <v>5.763922672485933E-13</v>
      </c>
      <c r="BF182" s="13">
        <f t="shared" si="167"/>
        <v>7.0619171555808457E-12</v>
      </c>
      <c r="BG182" s="20">
        <f t="shared" si="168"/>
        <v>1.3303388911427938E-11</v>
      </c>
      <c r="BH182" s="59">
        <f t="shared" si="116"/>
        <v>293.33333333334662</v>
      </c>
      <c r="BI182" s="59">
        <f ca="1">AVERAGE(OFFSET($BH$3,0,0,'Données projet'!$E$11+1,1))-AVERAGE(OFFSET($H$3,0,0,'Données projet'!$E$11+1,1))</f>
        <v>312.29056285877169</v>
      </c>
      <c r="BJ182" s="59">
        <f t="shared" si="146"/>
        <v>233.85454224241693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74.063515438017546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74.063515438017546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266.99999999999983</v>
      </c>
      <c r="BZ182" s="13">
        <f>BY182*VLOOKUP('Données projet'!$B$12,Paramètres!$A$1:$I$89,3,0)*VLOOKUP('Données projet'!$B$12,Paramètres!$A$1:$I$89,5,0)</f>
        <v>212.42519999999985</v>
      </c>
      <c r="CA182" s="13">
        <f t="shared" si="170"/>
        <v>52.465198231787184</v>
      </c>
      <c r="CB182" s="20">
        <f t="shared" si="171"/>
        <v>461.35077692036231</v>
      </c>
      <c r="CC182" s="59">
        <f t="shared" si="119"/>
        <v>754.68411025369562</v>
      </c>
      <c r="CD182" s="59">
        <f ca="1">AVERAGE(OFFSET($CC$3,0,0,'Données projet'!$E$12+1,1))-AVERAGE(OFFSET($H$3,0,0,'Données projet'!$E$12+1,1))</f>
        <v>219.43439115440339</v>
      </c>
      <c r="CE182" s="59">
        <f t="shared" si="148"/>
        <v>217.8880462742099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4.053001487452196</v>
      </c>
      <c r="CL182" s="21">
        <f>EXP(-LN(2)/25)*CL181+(1-EXP(-LN(2)/25))/(LN(2)/25)*Calculateur!CG182*Calculateur!CI182*VLOOKUP('Données projet'!$B$12,Paramètres!$A$1:$I$89,3,0)*0.475*44/12</f>
        <v>0.53519237712536638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4.588193864577562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261.10917418234862</v>
      </c>
      <c r="T183" s="59">
        <f t="shared" si="142"/>
        <v>327.65691162938418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5.6752469390630732E-13</v>
      </c>
      <c r="AK183" s="13">
        <f t="shared" si="164"/>
        <v>6.9658320883814946E-12</v>
      </c>
      <c r="AL183" s="20">
        <f t="shared" si="165"/>
        <v>1.3120596395817921E-11</v>
      </c>
      <c r="AM183" s="59">
        <f t="shared" si="113"/>
        <v>293.33333333334645</v>
      </c>
      <c r="AN183" s="59">
        <f ca="1">AVERAGE(OFFSET($AM$3,0,0,'Données projet'!$E$10+1,1))-AVERAGE(OFFSET($H$3,0,0,'Données projet'!$E$10+1,1))</f>
        <v>306.38046634523579</v>
      </c>
      <c r="AO183" s="59">
        <f t="shared" si="144"/>
        <v>229.77251296097705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71.494080073414793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71.494080073414793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5.6843418860808015E-13</v>
      </c>
      <c r="BE183" s="13">
        <f>BD183*VLOOKUP('Données projet'!$B$11,Paramètres!$A$1:$I$89,3,0)*VLOOKUP('Données projet'!$B$11,Paramètres!$A$1:$I$89,5,0)</f>
        <v>5.763922672485933E-13</v>
      </c>
      <c r="BF183" s="13">
        <f t="shared" si="167"/>
        <v>7.0619171555808457E-12</v>
      </c>
      <c r="BG183" s="20">
        <f t="shared" si="168"/>
        <v>1.3303388911427938E-11</v>
      </c>
      <c r="BH183" s="59">
        <f t="shared" si="116"/>
        <v>293.33333333334662</v>
      </c>
      <c r="BI183" s="59">
        <f ca="1">AVERAGE(OFFSET($BH$3,0,0,'Données projet'!$E$11+1,1))-AVERAGE(OFFSET($H$3,0,0,'Données projet'!$E$11+1,1))</f>
        <v>312.29056285877169</v>
      </c>
      <c r="BJ183" s="59">
        <f t="shared" si="146"/>
        <v>233.85454224241693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72.611175074561856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72.611175074561856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266.99999999999983</v>
      </c>
      <c r="BZ183" s="13">
        <f>BY183*VLOOKUP('Données projet'!$B$12,Paramètres!$A$1:$I$89,3,0)*VLOOKUP('Données projet'!$B$12,Paramètres!$A$1:$I$89,5,0)</f>
        <v>212.42519999999985</v>
      </c>
      <c r="CA183" s="13">
        <f t="shared" si="170"/>
        <v>52.465198231787184</v>
      </c>
      <c r="CB183" s="20">
        <f t="shared" si="171"/>
        <v>461.35077692036231</v>
      </c>
      <c r="CC183" s="59">
        <f t="shared" si="119"/>
        <v>754.68411025369562</v>
      </c>
      <c r="CD183" s="59">
        <f ca="1">AVERAGE(OFFSET($CC$3,0,0,'Données projet'!$E$12+1,1))-AVERAGE(OFFSET($H$3,0,0,'Données projet'!$E$12+1,1))</f>
        <v>219.43439115440339</v>
      </c>
      <c r="CE183" s="59">
        <f t="shared" si="148"/>
        <v>217.8880462742099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3.9735246003700677</v>
      </c>
      <c r="CL183" s="21">
        <f>EXP(-LN(2)/25)*CL182+(1-EXP(-LN(2)/25))/(LN(2)/25)*Calculateur!CG183*Calculateur!CI183*VLOOKUP('Données projet'!$B$12,Paramètres!$A$1:$I$89,3,0)*0.475*44/12</f>
        <v>0.52055751342832934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4.4940821137983971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261.10917418234862</v>
      </c>
      <c r="T184" s="59">
        <f t="shared" si="142"/>
        <v>327.65691162938418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5.6752469390630732E-13</v>
      </c>
      <c r="AK184" s="13">
        <f t="shared" si="164"/>
        <v>6.9658320883814946E-12</v>
      </c>
      <c r="AL184" s="20">
        <f t="shared" si="165"/>
        <v>1.3120596395817921E-11</v>
      </c>
      <c r="AM184" s="59">
        <f t="shared" si="113"/>
        <v>293.33333333334645</v>
      </c>
      <c r="AN184" s="59">
        <f ca="1">AVERAGE(OFFSET($AM$3,0,0,'Données projet'!$E$10+1,1))-AVERAGE(OFFSET($H$3,0,0,'Données projet'!$E$10+1,1))</f>
        <v>306.38046634523579</v>
      </c>
      <c r="AO184" s="59">
        <f t="shared" si="144"/>
        <v>229.77251296097705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70.092124770258138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70.092124770258138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5.6843418860808015E-13</v>
      </c>
      <c r="BE184" s="13">
        <f>BD184*VLOOKUP('Données projet'!$B$11,Paramètres!$A$1:$I$89,3,0)*VLOOKUP('Données projet'!$B$11,Paramètres!$A$1:$I$89,5,0)</f>
        <v>5.763922672485933E-13</v>
      </c>
      <c r="BF184" s="13">
        <f t="shared" si="167"/>
        <v>7.0619171555808457E-12</v>
      </c>
      <c r="BG184" s="20">
        <f t="shared" si="168"/>
        <v>1.3303388911427938E-11</v>
      </c>
      <c r="BH184" s="59">
        <f t="shared" si="116"/>
        <v>293.33333333334662</v>
      </c>
      <c r="BI184" s="59">
        <f ca="1">AVERAGE(OFFSET($BH$3,0,0,'Données projet'!$E$11+1,1))-AVERAGE(OFFSET($H$3,0,0,'Données projet'!$E$11+1,1))</f>
        <v>312.29056285877169</v>
      </c>
      <c r="BJ184" s="59">
        <f t="shared" si="146"/>
        <v>233.85454224241693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71.187314219793379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71.187314219793379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266.99999999999983</v>
      </c>
      <c r="BZ184" s="13">
        <f>BY184*VLOOKUP('Données projet'!$B$12,Paramètres!$A$1:$I$89,3,0)*VLOOKUP('Données projet'!$B$12,Paramètres!$A$1:$I$89,5,0)</f>
        <v>212.42519999999985</v>
      </c>
      <c r="CA184" s="13">
        <f t="shared" si="170"/>
        <v>52.465198231787184</v>
      </c>
      <c r="CB184" s="20">
        <f t="shared" si="171"/>
        <v>461.35077692036231</v>
      </c>
      <c r="CC184" s="59">
        <f t="shared" si="119"/>
        <v>754.68411025369562</v>
      </c>
      <c r="CD184" s="59">
        <f ca="1">AVERAGE(OFFSET($CC$3,0,0,'Données projet'!$E$12+1,1))-AVERAGE(OFFSET($H$3,0,0,'Données projet'!$E$12+1,1))</f>
        <v>219.43439115440339</v>
      </c>
      <c r="CE184" s="59">
        <f t="shared" si="148"/>
        <v>217.8880462742099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3.8956062065675052</v>
      </c>
      <c r="CL184" s="21">
        <f>EXP(-LN(2)/25)*CL183+(1-EXP(-LN(2)/25))/(LN(2)/25)*Calculateur!CG184*Calculateur!CI184*VLOOKUP('Données projet'!$B$12,Paramètres!$A$1:$I$89,3,0)*0.475*44/12</f>
        <v>0.50632284084870183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4.4019290474162069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261.10917418234862</v>
      </c>
      <c r="T185" s="59">
        <f t="shared" si="142"/>
        <v>327.65691162938418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5.6752469390630732E-13</v>
      </c>
      <c r="AK185" s="13">
        <f t="shared" si="164"/>
        <v>6.9658320883814946E-12</v>
      </c>
      <c r="AL185" s="20">
        <f t="shared" si="165"/>
        <v>1.3120596395817921E-11</v>
      </c>
      <c r="AM185" s="59">
        <f t="shared" si="113"/>
        <v>293.33333333334645</v>
      </c>
      <c r="AN185" s="59">
        <f ca="1">AVERAGE(OFFSET($AM$3,0,0,'Données projet'!$E$10+1,1))-AVERAGE(OFFSET($H$3,0,0,'Données projet'!$E$10+1,1))</f>
        <v>306.38046634523579</v>
      </c>
      <c r="AO185" s="59">
        <f t="shared" si="144"/>
        <v>229.77251296097705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68.717660955488086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68.717660955488086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5.6843418860808015E-13</v>
      </c>
      <c r="BE185" s="13">
        <f>BD185*VLOOKUP('Données projet'!$B$11,Paramètres!$A$1:$I$89,3,0)*VLOOKUP('Données projet'!$B$11,Paramètres!$A$1:$I$89,5,0)</f>
        <v>5.763922672485933E-13</v>
      </c>
      <c r="BF185" s="13">
        <f t="shared" si="167"/>
        <v>7.0619171555808457E-12</v>
      </c>
      <c r="BG185" s="20">
        <f t="shared" si="168"/>
        <v>1.3303388911427938E-11</v>
      </c>
      <c r="BH185" s="59">
        <f t="shared" si="116"/>
        <v>293.33333333334662</v>
      </c>
      <c r="BI185" s="59">
        <f ca="1">AVERAGE(OFFSET($BH$3,0,0,'Données projet'!$E$11+1,1))-AVERAGE(OFFSET($H$3,0,0,'Données projet'!$E$11+1,1))</f>
        <v>312.29056285877169</v>
      </c>
      <c r="BJ185" s="59">
        <f t="shared" si="146"/>
        <v>233.85454224241693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69.791374407917544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69.791374407917544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266.99999999999983</v>
      </c>
      <c r="BZ185" s="13">
        <f>BY185*VLOOKUP('Données projet'!$B$12,Paramètres!$A$1:$I$89,3,0)*VLOOKUP('Données projet'!$B$12,Paramètres!$A$1:$I$89,5,0)</f>
        <v>212.42519999999985</v>
      </c>
      <c r="CA185" s="13">
        <f t="shared" si="170"/>
        <v>52.465198231787184</v>
      </c>
      <c r="CB185" s="20">
        <f t="shared" si="171"/>
        <v>461.35077692036231</v>
      </c>
      <c r="CC185" s="59">
        <f t="shared" si="119"/>
        <v>754.68411025369562</v>
      </c>
      <c r="CD185" s="59">
        <f ca="1">AVERAGE(OFFSET($CC$3,0,0,'Données projet'!$E$12+1,1))-AVERAGE(OFFSET($H$3,0,0,'Données projet'!$E$12+1,1))</f>
        <v>219.43439115440339</v>
      </c>
      <c r="CE185" s="59">
        <f t="shared" si="148"/>
        <v>217.8880462742099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3.8192157449418835</v>
      </c>
      <c r="CL185" s="21">
        <f>EXP(-LN(2)/25)*CL184+(1-EXP(-LN(2)/25))/(LN(2)/25)*Calculateur!CG185*Calculateur!CI185*VLOOKUP('Données projet'!$B$12,Paramètres!$A$1:$I$89,3,0)*0.475*44/12</f>
        <v>0.4924774161393331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4.3116931610812168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261.10917418234862</v>
      </c>
      <c r="T186" s="59">
        <f t="shared" si="142"/>
        <v>327.65691162938418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5.6752469390630732E-13</v>
      </c>
      <c r="AK186" s="13">
        <f t="shared" si="164"/>
        <v>6.9658320883814946E-12</v>
      </c>
      <c r="AL186" s="20">
        <f t="shared" si="165"/>
        <v>1.3120596395817921E-11</v>
      </c>
      <c r="AM186" s="59">
        <f t="shared" si="113"/>
        <v>293.33333333334645</v>
      </c>
      <c r="AN186" s="59">
        <f ca="1">AVERAGE(OFFSET($AM$3,0,0,'Données projet'!$E$10+1,1))-AVERAGE(OFFSET($H$3,0,0,'Données projet'!$E$10+1,1))</f>
        <v>306.38046634523579</v>
      </c>
      <c r="AO186" s="59">
        <f t="shared" si="144"/>
        <v>229.77251296097705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67.370149537785522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67.370149537785522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5.6843418860808015E-13</v>
      </c>
      <c r="BE186" s="13">
        <f>BD186*VLOOKUP('Données projet'!$B$11,Paramètres!$A$1:$I$89,3,0)*VLOOKUP('Données projet'!$B$11,Paramètres!$A$1:$I$89,5,0)</f>
        <v>5.763922672485933E-13</v>
      </c>
      <c r="BF186" s="13">
        <f t="shared" si="167"/>
        <v>7.0619171555808457E-12</v>
      </c>
      <c r="BG186" s="20">
        <f t="shared" si="168"/>
        <v>1.3303388911427938E-11</v>
      </c>
      <c r="BH186" s="59">
        <f t="shared" si="116"/>
        <v>293.33333333334662</v>
      </c>
      <c r="BI186" s="59">
        <f ca="1">AVERAGE(OFFSET($BH$3,0,0,'Données projet'!$E$11+1,1))-AVERAGE(OFFSET($H$3,0,0,'Données projet'!$E$11+1,1))</f>
        <v>312.29056285877169</v>
      </c>
      <c r="BJ186" s="59">
        <f t="shared" si="146"/>
        <v>233.85454224241693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68.422808124313377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68.422808124313377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266.99999999999983</v>
      </c>
      <c r="BZ186" s="13">
        <f>BY186*VLOOKUP('Données projet'!$B$12,Paramètres!$A$1:$I$89,3,0)*VLOOKUP('Données projet'!$B$12,Paramètres!$A$1:$I$89,5,0)</f>
        <v>212.42519999999985</v>
      </c>
      <c r="CA186" s="13">
        <f t="shared" si="170"/>
        <v>52.465198231787184</v>
      </c>
      <c r="CB186" s="20">
        <f t="shared" si="171"/>
        <v>461.35077692036231</v>
      </c>
      <c r="CC186" s="59">
        <f t="shared" si="119"/>
        <v>754.68411025369562</v>
      </c>
      <c r="CD186" s="59">
        <f ca="1">AVERAGE(OFFSET($CC$3,0,0,'Données projet'!$E$12+1,1))-AVERAGE(OFFSET($H$3,0,0,'Données projet'!$E$12+1,1))</f>
        <v>219.43439115440339</v>
      </c>
      <c r="CE186" s="59">
        <f t="shared" si="148"/>
        <v>217.8880462742099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3.7443232536751596</v>
      </c>
      <c r="CL186" s="21">
        <f>EXP(-LN(2)/25)*CL185+(1-EXP(-LN(2)/25))/(LN(2)/25)*Calculateur!CG186*Calculateur!CI186*VLOOKUP('Données projet'!$B$12,Paramètres!$A$1:$I$89,3,0)*0.475*44/12</f>
        <v>0.47901059529674128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4.223333848971901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261.10917418234862</v>
      </c>
      <c r="T187" s="59">
        <f t="shared" si="142"/>
        <v>327.65691162938418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5.6752469390630732E-13</v>
      </c>
      <c r="AK187" s="13">
        <f t="shared" si="164"/>
        <v>6.9658320883814946E-12</v>
      </c>
      <c r="AL187" s="20">
        <f t="shared" si="165"/>
        <v>1.3120596395817921E-11</v>
      </c>
      <c r="AM187" s="59">
        <f t="shared" si="113"/>
        <v>293.33333333334645</v>
      </c>
      <c r="AN187" s="59">
        <f ca="1">AVERAGE(OFFSET($AM$3,0,0,'Données projet'!$E$10+1,1))-AVERAGE(OFFSET($H$3,0,0,'Données projet'!$E$10+1,1))</f>
        <v>306.38046634523579</v>
      </c>
      <c r="AO187" s="59">
        <f t="shared" si="144"/>
        <v>229.77251296097705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66.0490619970833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66.0490619970833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5.6843418860808015E-13</v>
      </c>
      <c r="BE187" s="13">
        <f>BD187*VLOOKUP('Données projet'!$B$11,Paramètres!$A$1:$I$89,3,0)*VLOOKUP('Données projet'!$B$11,Paramètres!$A$1:$I$89,5,0)</f>
        <v>5.763922672485933E-13</v>
      </c>
      <c r="BF187" s="13">
        <f t="shared" si="167"/>
        <v>7.0619171555808457E-12</v>
      </c>
      <c r="BG187" s="20">
        <f t="shared" si="168"/>
        <v>1.3303388911427938E-11</v>
      </c>
      <c r="BH187" s="59">
        <f t="shared" si="116"/>
        <v>293.33333333334662</v>
      </c>
      <c r="BI187" s="59">
        <f ca="1">AVERAGE(OFFSET($BH$3,0,0,'Données projet'!$E$11+1,1))-AVERAGE(OFFSET($H$3,0,0,'Données projet'!$E$11+1,1))</f>
        <v>312.29056285877169</v>
      </c>
      <c r="BJ187" s="59">
        <f t="shared" si="146"/>
        <v>233.85454224241693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67.081078590787683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67.081078590787683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266.99999999999983</v>
      </c>
      <c r="BZ187" s="13">
        <f>BY187*VLOOKUP('Données projet'!$B$12,Paramètres!$A$1:$I$89,3,0)*VLOOKUP('Données projet'!$B$12,Paramètres!$A$1:$I$89,5,0)</f>
        <v>212.42519999999985</v>
      </c>
      <c r="CA187" s="13">
        <f t="shared" si="170"/>
        <v>52.465198231787184</v>
      </c>
      <c r="CB187" s="20">
        <f t="shared" si="171"/>
        <v>461.35077692036231</v>
      </c>
      <c r="CC187" s="59">
        <f t="shared" si="119"/>
        <v>754.68411025369562</v>
      </c>
      <c r="CD187" s="59">
        <f ca="1">AVERAGE(OFFSET($CC$3,0,0,'Données projet'!$E$12+1,1))-AVERAGE(OFFSET($H$3,0,0,'Données projet'!$E$12+1,1))</f>
        <v>219.43439115440339</v>
      </c>
      <c r="CE187" s="59">
        <f t="shared" si="148"/>
        <v>217.8880462742099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3.6708993584822669</v>
      </c>
      <c r="CL187" s="21">
        <f>EXP(-LN(2)/25)*CL186+(1-EXP(-LN(2)/25))/(LN(2)/25)*Calculateur!CG187*Calculateur!CI187*VLOOKUP('Données projet'!$B$12,Paramètres!$A$1:$I$89,3,0)*0.475*44/12</f>
        <v>0.46591202537827947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4.1368113838605467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261.10917418234862</v>
      </c>
      <c r="T188" s="59">
        <f t="shared" si="142"/>
        <v>327.65691162938418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5.6752469390630732E-13</v>
      </c>
      <c r="AK188" s="13">
        <f t="shared" si="164"/>
        <v>6.9658320883814946E-12</v>
      </c>
      <c r="AL188" s="20">
        <f t="shared" si="165"/>
        <v>1.3120596395817921E-11</v>
      </c>
      <c r="AM188" s="59">
        <f t="shared" si="113"/>
        <v>293.33333333334645</v>
      </c>
      <c r="AN188" s="59">
        <f ca="1">AVERAGE(OFFSET($AM$3,0,0,'Données projet'!$E$10+1,1))-AVERAGE(OFFSET($H$3,0,0,'Données projet'!$E$10+1,1))</f>
        <v>306.38046634523579</v>
      </c>
      <c r="AO188" s="59">
        <f t="shared" si="144"/>
        <v>229.77251296097705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64.753880177270403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64.753880177270403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5.6843418860808015E-13</v>
      </c>
      <c r="BE188" s="13">
        <f>BD188*VLOOKUP('Données projet'!$B$11,Paramètres!$A$1:$I$89,3,0)*VLOOKUP('Données projet'!$B$11,Paramètres!$A$1:$I$89,5,0)</f>
        <v>5.763922672485933E-13</v>
      </c>
      <c r="BF188" s="13">
        <f t="shared" si="167"/>
        <v>7.0619171555808457E-12</v>
      </c>
      <c r="BG188" s="20">
        <f t="shared" si="168"/>
        <v>1.3303388911427938E-11</v>
      </c>
      <c r="BH188" s="59">
        <f t="shared" si="116"/>
        <v>293.33333333334662</v>
      </c>
      <c r="BI188" s="59">
        <f ca="1">AVERAGE(OFFSET($BH$3,0,0,'Données projet'!$E$11+1,1))-AVERAGE(OFFSET($H$3,0,0,'Données projet'!$E$11+1,1))</f>
        <v>312.29056285877169</v>
      </c>
      <c r="BJ188" s="59">
        <f t="shared" si="146"/>
        <v>233.85454224241693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65.765659555040216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65.765659555040216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266.99999999999983</v>
      </c>
      <c r="BZ188" s="13">
        <f>BY188*VLOOKUP('Données projet'!$B$12,Paramètres!$A$1:$I$89,3,0)*VLOOKUP('Données projet'!$B$12,Paramètres!$A$1:$I$89,5,0)</f>
        <v>212.42519999999985</v>
      </c>
      <c r="CA188" s="13">
        <f t="shared" si="170"/>
        <v>52.465198231787184</v>
      </c>
      <c r="CB188" s="20">
        <f t="shared" si="171"/>
        <v>461.35077692036231</v>
      </c>
      <c r="CC188" s="59">
        <f t="shared" si="119"/>
        <v>754.68411025369562</v>
      </c>
      <c r="CD188" s="59">
        <f ca="1">AVERAGE(OFFSET($CC$3,0,0,'Données projet'!$E$12+1,1))-AVERAGE(OFFSET($H$3,0,0,'Données projet'!$E$12+1,1))</f>
        <v>219.43439115440339</v>
      </c>
      <c r="CE188" s="59">
        <f t="shared" si="148"/>
        <v>217.8880462742099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3.5989152610899526</v>
      </c>
      <c r="CL188" s="21">
        <f>EXP(-LN(2)/25)*CL187+(1-EXP(-LN(2)/25))/(LN(2)/25)*Calculateur!CG188*Calculateur!CI188*VLOOKUP('Données projet'!$B$12,Paramètres!$A$1:$I$89,3,0)*0.475*44/12</f>
        <v>0.45317163654306186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4.0520868976330142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261.10917418234862</v>
      </c>
      <c r="T189" s="59">
        <f t="shared" si="142"/>
        <v>327.65691162938418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5.6752469390630732E-13</v>
      </c>
      <c r="AK189" s="13">
        <f t="shared" si="164"/>
        <v>6.9658320883814946E-12</v>
      </c>
      <c r="AL189" s="20">
        <f t="shared" si="165"/>
        <v>1.3120596395817921E-11</v>
      </c>
      <c r="AM189" s="59">
        <f t="shared" si="113"/>
        <v>293.33333333334645</v>
      </c>
      <c r="AN189" s="59">
        <f ca="1">AVERAGE(OFFSET($AM$3,0,0,'Données projet'!$E$10+1,1))-AVERAGE(OFFSET($H$3,0,0,'Données projet'!$E$10+1,1))</f>
        <v>306.38046634523579</v>
      </c>
      <c r="AO189" s="59">
        <f t="shared" si="144"/>
        <v>229.77251296097705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63.484096082961138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63.484096082961138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5.6843418860808015E-13</v>
      </c>
      <c r="BE189" s="13">
        <f>BD189*VLOOKUP('Données projet'!$B$11,Paramètres!$A$1:$I$89,3,0)*VLOOKUP('Données projet'!$B$11,Paramètres!$A$1:$I$89,5,0)</f>
        <v>5.763922672485933E-13</v>
      </c>
      <c r="BF189" s="13">
        <f t="shared" si="167"/>
        <v>7.0619171555808457E-12</v>
      </c>
      <c r="BG189" s="20">
        <f t="shared" si="168"/>
        <v>1.3303388911427938E-11</v>
      </c>
      <c r="BH189" s="59">
        <f t="shared" si="116"/>
        <v>293.33333333334662</v>
      </c>
      <c r="BI189" s="59">
        <f ca="1">AVERAGE(OFFSET($BH$3,0,0,'Données projet'!$E$11+1,1))-AVERAGE(OFFSET($H$3,0,0,'Données projet'!$E$11+1,1))</f>
        <v>312.29056285877169</v>
      </c>
      <c r="BJ189" s="59">
        <f t="shared" si="146"/>
        <v>233.85454224241693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64.476035084257362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64.476035084257362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266.99999999999983</v>
      </c>
      <c r="BZ189" s="13">
        <f>BY189*VLOOKUP('Données projet'!$B$12,Paramètres!$A$1:$I$89,3,0)*VLOOKUP('Données projet'!$B$12,Paramètres!$A$1:$I$89,5,0)</f>
        <v>212.42519999999985</v>
      </c>
      <c r="CA189" s="13">
        <f t="shared" si="170"/>
        <v>52.465198231787184</v>
      </c>
      <c r="CB189" s="20">
        <f t="shared" si="171"/>
        <v>461.35077692036231</v>
      </c>
      <c r="CC189" s="59">
        <f t="shared" si="119"/>
        <v>754.68411025369562</v>
      </c>
      <c r="CD189" s="59">
        <f ca="1">AVERAGE(OFFSET($CC$3,0,0,'Données projet'!$E$12+1,1))-AVERAGE(OFFSET($H$3,0,0,'Données projet'!$E$12+1,1))</f>
        <v>219.43439115440339</v>
      </c>
      <c r="CE189" s="59">
        <f t="shared" si="148"/>
        <v>217.8880462742099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3.5283427279415376</v>
      </c>
      <c r="CL189" s="21">
        <f>EXP(-LN(2)/25)*CL188+(1-EXP(-LN(2)/25))/(LN(2)/25)*Calculateur!CG189*Calculateur!CI189*VLOOKUP('Données projet'!$B$12,Paramètres!$A$1:$I$89,3,0)*0.475*44/12</f>
        <v>0.44077963431053119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3.9691223622520688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261.10917418234862</v>
      </c>
      <c r="T190" s="59">
        <f t="shared" si="142"/>
        <v>327.65691162938418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5.6752469390630732E-13</v>
      </c>
      <c r="AK190" s="13">
        <f t="shared" si="164"/>
        <v>6.9658320883814946E-12</v>
      </c>
      <c r="AL190" s="20">
        <f t="shared" si="165"/>
        <v>1.3120596395817921E-11</v>
      </c>
      <c r="AM190" s="59">
        <f t="shared" si="113"/>
        <v>293.33333333334645</v>
      </c>
      <c r="AN190" s="59">
        <f ca="1">AVERAGE(OFFSET($AM$3,0,0,'Données projet'!$E$10+1,1))-AVERAGE(OFFSET($H$3,0,0,'Données projet'!$E$10+1,1))</f>
        <v>306.38046634523579</v>
      </c>
      <c r="AO190" s="59">
        <f t="shared" si="144"/>
        <v>229.77251296097705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62.239211680249454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62.239211680249454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5.6843418860808015E-13</v>
      </c>
      <c r="BE190" s="13">
        <f>BD190*VLOOKUP('Données projet'!$B$11,Paramètres!$A$1:$I$89,3,0)*VLOOKUP('Données projet'!$B$11,Paramètres!$A$1:$I$89,5,0)</f>
        <v>5.763922672485933E-13</v>
      </c>
      <c r="BF190" s="13">
        <f t="shared" si="167"/>
        <v>7.0619171555808457E-12</v>
      </c>
      <c r="BG190" s="20">
        <f t="shared" si="168"/>
        <v>1.3303388911427938E-11</v>
      </c>
      <c r="BH190" s="59">
        <f t="shared" si="116"/>
        <v>293.33333333334662</v>
      </c>
      <c r="BI190" s="59">
        <f ca="1">AVERAGE(OFFSET($BH$3,0,0,'Données projet'!$E$11+1,1))-AVERAGE(OFFSET($H$3,0,0,'Données projet'!$E$11+1,1))</f>
        <v>312.29056285877169</v>
      </c>
      <c r="BJ190" s="59">
        <f t="shared" si="146"/>
        <v>233.85454224241693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63.211699362753308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63.211699362753308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266.99999999999983</v>
      </c>
      <c r="BZ190" s="13">
        <f>BY190*VLOOKUP('Données projet'!$B$12,Paramètres!$A$1:$I$89,3,0)*VLOOKUP('Données projet'!$B$12,Paramètres!$A$1:$I$89,5,0)</f>
        <v>212.42519999999985</v>
      </c>
      <c r="CA190" s="13">
        <f t="shared" si="170"/>
        <v>52.465198231787184</v>
      </c>
      <c r="CB190" s="20">
        <f t="shared" si="171"/>
        <v>461.35077692036231</v>
      </c>
      <c r="CC190" s="59">
        <f t="shared" si="119"/>
        <v>754.68411025369562</v>
      </c>
      <c r="CD190" s="59">
        <f ca="1">AVERAGE(OFFSET($CC$3,0,0,'Données projet'!$E$12+1,1))-AVERAGE(OFFSET($H$3,0,0,'Données projet'!$E$12+1,1))</f>
        <v>219.43439115440339</v>
      </c>
      <c r="CE190" s="59">
        <f t="shared" si="148"/>
        <v>217.8880462742099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3.4591540791231683</v>
      </c>
      <c r="CL190" s="21">
        <f>EXP(-LN(2)/25)*CL189+(1-EXP(-LN(2)/25))/(LN(2)/25)*Calculateur!CG190*Calculateur!CI190*VLOOKUP('Données projet'!$B$12,Paramètres!$A$1:$I$89,3,0)*0.475*44/12</f>
        <v>0.42872649203071617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3.8878805711538846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261.10917418234862</v>
      </c>
      <c r="T191" s="59">
        <f t="shared" si="142"/>
        <v>327.65691162938418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5.6752469390630732E-13</v>
      </c>
      <c r="AK191" s="13">
        <f t="shared" si="164"/>
        <v>6.9658320883814946E-12</v>
      </c>
      <c r="AL191" s="20">
        <f t="shared" si="165"/>
        <v>1.3120596395817921E-11</v>
      </c>
      <c r="AM191" s="59">
        <f t="shared" si="113"/>
        <v>293.33333333334645</v>
      </c>
      <c r="AN191" s="59">
        <f ca="1">AVERAGE(OFFSET($AM$3,0,0,'Données projet'!$E$10+1,1))-AVERAGE(OFFSET($H$3,0,0,'Données projet'!$E$10+1,1))</f>
        <v>306.38046634523579</v>
      </c>
      <c r="AO191" s="59">
        <f t="shared" si="144"/>
        <v>229.77251296097705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61.018738701370431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61.018738701370431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5.6843418860808015E-13</v>
      </c>
      <c r="BE191" s="13">
        <f>BD191*VLOOKUP('Données projet'!$B$11,Paramètres!$A$1:$I$89,3,0)*VLOOKUP('Données projet'!$B$11,Paramètres!$A$1:$I$89,5,0)</f>
        <v>5.763922672485933E-13</v>
      </c>
      <c r="BF191" s="13">
        <f t="shared" si="167"/>
        <v>7.0619171555808457E-12</v>
      </c>
      <c r="BG191" s="20">
        <f t="shared" si="168"/>
        <v>1.3303388911427938E-11</v>
      </c>
      <c r="BH191" s="59">
        <f t="shared" si="116"/>
        <v>293.33333333334662</v>
      </c>
      <c r="BI191" s="59">
        <f ca="1">AVERAGE(OFFSET($BH$3,0,0,'Données projet'!$E$11+1,1))-AVERAGE(OFFSET($H$3,0,0,'Données projet'!$E$11+1,1))</f>
        <v>312.29056285877169</v>
      </c>
      <c r="BJ191" s="59">
        <f t="shared" si="146"/>
        <v>233.85454224241693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61.972156493579305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61.972156493579305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266.99999999999983</v>
      </c>
      <c r="BZ191" s="13">
        <f>BY191*VLOOKUP('Données projet'!$B$12,Paramètres!$A$1:$I$89,3,0)*VLOOKUP('Données projet'!$B$12,Paramètres!$A$1:$I$89,5,0)</f>
        <v>212.42519999999985</v>
      </c>
      <c r="CA191" s="13">
        <f t="shared" si="170"/>
        <v>52.465198231787184</v>
      </c>
      <c r="CB191" s="20">
        <f t="shared" si="171"/>
        <v>461.35077692036231</v>
      </c>
      <c r="CC191" s="59">
        <f t="shared" si="119"/>
        <v>754.68411025369562</v>
      </c>
      <c r="CD191" s="59">
        <f ca="1">AVERAGE(OFFSET($CC$3,0,0,'Données projet'!$E$12+1,1))-AVERAGE(OFFSET($H$3,0,0,'Données projet'!$E$12+1,1))</f>
        <v>219.43439115440339</v>
      </c>
      <c r="CE191" s="59">
        <f t="shared" si="148"/>
        <v>217.8880462742099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3.3913221775072184</v>
      </c>
      <c r="CL191" s="21">
        <f>EXP(-LN(2)/25)*CL190+(1-EXP(-LN(2)/25))/(LN(2)/25)*Calculateur!CG191*Calculateur!CI191*VLOOKUP('Données projet'!$B$12,Paramètres!$A$1:$I$89,3,0)*0.475*44/12</f>
        <v>0.41700294356038986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3.8083251210676083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261.10917418234862</v>
      </c>
      <c r="T192" s="59">
        <f t="shared" si="142"/>
        <v>327.65691162938418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5.6752469390630732E-13</v>
      </c>
      <c r="AK192" s="13">
        <f t="shared" si="164"/>
        <v>6.9658320883814946E-12</v>
      </c>
      <c r="AL192" s="20">
        <f t="shared" si="165"/>
        <v>1.3120596395817921E-11</v>
      </c>
      <c r="AM192" s="59">
        <f t="shared" si="113"/>
        <v>293.33333333334645</v>
      </c>
      <c r="AN192" s="59">
        <f ca="1">AVERAGE(OFFSET($AM$3,0,0,'Données projet'!$E$10+1,1))-AVERAGE(OFFSET($H$3,0,0,'Données projet'!$E$10+1,1))</f>
        <v>306.38046634523579</v>
      </c>
      <c r="AO192" s="59">
        <f t="shared" si="144"/>
        <v>229.77251296097705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59.822198453192215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59.822198453192215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5.6843418860808015E-13</v>
      </c>
      <c r="BE192" s="13">
        <f>BD192*VLOOKUP('Données projet'!$B$11,Paramètres!$A$1:$I$89,3,0)*VLOOKUP('Données projet'!$B$11,Paramètres!$A$1:$I$89,5,0)</f>
        <v>5.763922672485933E-13</v>
      </c>
      <c r="BF192" s="13">
        <f t="shared" si="167"/>
        <v>7.0619171555808457E-12</v>
      </c>
      <c r="BG192" s="20">
        <f t="shared" si="168"/>
        <v>1.3303388911427938E-11</v>
      </c>
      <c r="BH192" s="59">
        <f t="shared" si="116"/>
        <v>293.33333333334662</v>
      </c>
      <c r="BI192" s="59">
        <f ca="1">AVERAGE(OFFSET($BH$3,0,0,'Données projet'!$E$11+1,1))-AVERAGE(OFFSET($H$3,0,0,'Données projet'!$E$11+1,1))</f>
        <v>312.29056285877169</v>
      </c>
      <c r="BJ192" s="59">
        <f t="shared" si="146"/>
        <v>233.85454224241693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60.756920304023311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60.756920304023311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266.99999999999983</v>
      </c>
      <c r="BZ192" s="13">
        <f>BY192*VLOOKUP('Données projet'!$B$12,Paramètres!$A$1:$I$89,3,0)*VLOOKUP('Données projet'!$B$12,Paramètres!$A$1:$I$89,5,0)</f>
        <v>212.42519999999985</v>
      </c>
      <c r="CA192" s="13">
        <f t="shared" si="170"/>
        <v>52.465198231787184</v>
      </c>
      <c r="CB192" s="20">
        <f t="shared" si="171"/>
        <v>461.35077692036231</v>
      </c>
      <c r="CC192" s="59">
        <f t="shared" si="119"/>
        <v>754.68411025369562</v>
      </c>
      <c r="CD192" s="59">
        <f ca="1">AVERAGE(OFFSET($CC$3,0,0,'Données projet'!$E$12+1,1))-AVERAGE(OFFSET($H$3,0,0,'Données projet'!$E$12+1,1))</f>
        <v>219.43439115440339</v>
      </c>
      <c r="CE192" s="59">
        <f t="shared" si="148"/>
        <v>217.8880462742099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3.3248204181085823</v>
      </c>
      <c r="CL192" s="21">
        <f>EXP(-LN(2)/25)*CL191+(1-EXP(-LN(2)/25))/(LN(2)/25)*Calculateur!CG192*Calculateur!CI192*VLOOKUP('Données projet'!$B$12,Paramètres!$A$1:$I$89,3,0)*0.475*44/12</f>
        <v>0.40559997613949927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3.7304203942480818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261.10917418234862</v>
      </c>
      <c r="T193" s="59">
        <f t="shared" si="142"/>
        <v>327.65691162938418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5.6752469390630732E-13</v>
      </c>
      <c r="AK193" s="13">
        <f t="shared" si="164"/>
        <v>6.9658320883814946E-12</v>
      </c>
      <c r="AL193" s="20">
        <f t="shared" si="165"/>
        <v>1.3120596395817921E-11</v>
      </c>
      <c r="AM193" s="59">
        <f t="shared" si="113"/>
        <v>293.33333333334645</v>
      </c>
      <c r="AN193" s="59">
        <f ca="1">AVERAGE(OFFSET($AM$3,0,0,'Données projet'!$E$10+1,1))-AVERAGE(OFFSET($H$3,0,0,'Données projet'!$E$10+1,1))</f>
        <v>306.38046634523579</v>
      </c>
      <c r="AO193" s="59">
        <f t="shared" si="144"/>
        <v>229.77251296097705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58.649121629463288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58.649121629463288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5.6843418860808015E-13</v>
      </c>
      <c r="BE193" s="13">
        <f>BD193*VLOOKUP('Données projet'!$B$11,Paramètres!$A$1:$I$89,3,0)*VLOOKUP('Données projet'!$B$11,Paramètres!$A$1:$I$89,5,0)</f>
        <v>5.763922672485933E-13</v>
      </c>
      <c r="BF193" s="13">
        <f t="shared" si="167"/>
        <v>7.0619171555808457E-12</v>
      </c>
      <c r="BG193" s="20">
        <f t="shared" si="168"/>
        <v>1.3303388911427938E-11</v>
      </c>
      <c r="BH193" s="59">
        <f t="shared" si="116"/>
        <v>293.33333333334662</v>
      </c>
      <c r="BI193" s="59">
        <f ca="1">AVERAGE(OFFSET($BH$3,0,0,'Données projet'!$E$11+1,1))-AVERAGE(OFFSET($H$3,0,0,'Données projet'!$E$11+1,1))</f>
        <v>312.29056285877169</v>
      </c>
      <c r="BJ193" s="59">
        <f t="shared" si="146"/>
        <v>233.85454224241693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59.565514154923619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59.565514154923619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266.99999999999983</v>
      </c>
      <c r="BZ193" s="13">
        <f>BY193*VLOOKUP('Données projet'!$B$12,Paramètres!$A$1:$I$89,3,0)*VLOOKUP('Données projet'!$B$12,Paramètres!$A$1:$I$89,5,0)</f>
        <v>212.42519999999985</v>
      </c>
      <c r="CA193" s="13">
        <f t="shared" si="170"/>
        <v>52.465198231787184</v>
      </c>
      <c r="CB193" s="20">
        <f t="shared" si="171"/>
        <v>461.35077692036231</v>
      </c>
      <c r="CC193" s="59">
        <f t="shared" si="119"/>
        <v>754.68411025369562</v>
      </c>
      <c r="CD193" s="59">
        <f ca="1">AVERAGE(OFFSET($CC$3,0,0,'Données projet'!$E$12+1,1))-AVERAGE(OFFSET($H$3,0,0,'Données projet'!$E$12+1,1))</f>
        <v>219.43439115440339</v>
      </c>
      <c r="CE193" s="59">
        <f t="shared" si="148"/>
        <v>217.8880462742099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3.2596227176496857</v>
      </c>
      <c r="CL193" s="21">
        <f>EXP(-LN(2)/25)*CL192+(1-EXP(-LN(2)/25))/(LN(2)/25)*Calculateur!CG193*Calculateur!CI193*VLOOKUP('Données projet'!$B$12,Paramètres!$A$1:$I$89,3,0)*0.475*44/12</f>
        <v>0.39450882346238891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3.6541315411120747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261.10917418234862</v>
      </c>
      <c r="T194" s="59">
        <f t="shared" si="142"/>
        <v>327.65691162938418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5.6752469390630732E-13</v>
      </c>
      <c r="AK194" s="13">
        <f t="shared" si="164"/>
        <v>6.9658320883814946E-12</v>
      </c>
      <c r="AL194" s="20">
        <f t="shared" si="165"/>
        <v>1.3120596395817921E-11</v>
      </c>
      <c r="AM194" s="59">
        <f t="shared" si="113"/>
        <v>293.33333333334645</v>
      </c>
      <c r="AN194" s="59">
        <f ca="1">AVERAGE(OFFSET($AM$3,0,0,'Données projet'!$E$10+1,1))-AVERAGE(OFFSET($H$3,0,0,'Données projet'!$E$10+1,1))</f>
        <v>306.38046634523579</v>
      </c>
      <c r="AO194" s="59">
        <f t="shared" si="144"/>
        <v>229.77251296097705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57.499048126741471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57.499048126741471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5.6843418860808015E-13</v>
      </c>
      <c r="BE194" s="13">
        <f>BD194*VLOOKUP('Données projet'!$B$11,Paramètres!$A$1:$I$89,3,0)*VLOOKUP('Données projet'!$B$11,Paramètres!$A$1:$I$89,5,0)</f>
        <v>5.763922672485933E-13</v>
      </c>
      <c r="BF194" s="13">
        <f t="shared" si="167"/>
        <v>7.0619171555808457E-12</v>
      </c>
      <c r="BG194" s="20">
        <f t="shared" si="168"/>
        <v>1.3303388911427938E-11</v>
      </c>
      <c r="BH194" s="59">
        <f t="shared" si="116"/>
        <v>293.33333333334662</v>
      </c>
      <c r="BI194" s="59">
        <f ca="1">AVERAGE(OFFSET($BH$3,0,0,'Données projet'!$E$11+1,1))-AVERAGE(OFFSET($H$3,0,0,'Données projet'!$E$11+1,1))</f>
        <v>312.29056285877169</v>
      </c>
      <c r="BJ194" s="59">
        <f t="shared" si="146"/>
        <v>233.85454224241693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58.397470753721777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58.397470753721777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266.99999999999983</v>
      </c>
      <c r="BZ194" s="13">
        <f>BY194*VLOOKUP('Données projet'!$B$12,Paramètres!$A$1:$I$89,3,0)*VLOOKUP('Données projet'!$B$12,Paramètres!$A$1:$I$89,5,0)</f>
        <v>212.42519999999985</v>
      </c>
      <c r="CA194" s="13">
        <f t="shared" si="170"/>
        <v>52.465198231787184</v>
      </c>
      <c r="CB194" s="20">
        <f t="shared" si="171"/>
        <v>461.35077692036231</v>
      </c>
      <c r="CC194" s="59">
        <f t="shared" si="119"/>
        <v>754.68411025369562</v>
      </c>
      <c r="CD194" s="59">
        <f ca="1">AVERAGE(OFFSET($CC$3,0,0,'Données projet'!$E$12+1,1))-AVERAGE(OFFSET($H$3,0,0,'Données projet'!$E$12+1,1))</f>
        <v>219.43439115440339</v>
      </c>
      <c r="CE194" s="59">
        <f t="shared" si="148"/>
        <v>217.8880462742099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3.1957035043301172</v>
      </c>
      <c r="CL194" s="21">
        <f>EXP(-LN(2)/25)*CL193+(1-EXP(-LN(2)/25))/(LN(2)/25)*Calculateur!CG194*Calculateur!CI194*VLOOKUP('Données projet'!$B$12,Paramètres!$A$1:$I$89,3,0)*0.475*44/12</f>
        <v>0.38372095893849251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3.5794244632686096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261.10917418234862</v>
      </c>
      <c r="T195" s="59">
        <f t="shared" si="142"/>
        <v>327.65691162938418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5.6752469390630732E-13</v>
      </c>
      <c r="AK195" s="13">
        <f t="shared" si="164"/>
        <v>6.9658320883814946E-12</v>
      </c>
      <c r="AL195" s="20">
        <f t="shared" si="165"/>
        <v>1.3120596395817921E-11</v>
      </c>
      <c r="AM195" s="59">
        <f t="shared" si="113"/>
        <v>293.33333333334645</v>
      </c>
      <c r="AN195" s="59">
        <f ca="1">AVERAGE(OFFSET($AM$3,0,0,'Données projet'!$E$10+1,1))-AVERAGE(OFFSET($H$3,0,0,'Données projet'!$E$10+1,1))</f>
        <v>306.38046634523579</v>
      </c>
      <c r="AO195" s="59">
        <f t="shared" si="144"/>
        <v>229.77251296097705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56.371526863932459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56.371526863932459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5.6843418860808015E-13</v>
      </c>
      <c r="BE195" s="13">
        <f>BD195*VLOOKUP('Données projet'!$B$11,Paramètres!$A$1:$I$89,3,0)*VLOOKUP('Données projet'!$B$11,Paramètres!$A$1:$I$89,5,0)</f>
        <v>5.763922672485933E-13</v>
      </c>
      <c r="BF195" s="13">
        <f t="shared" si="167"/>
        <v>7.0619171555808457E-12</v>
      </c>
      <c r="BG195" s="20">
        <f t="shared" si="168"/>
        <v>1.3303388911427938E-11</v>
      </c>
      <c r="BH195" s="59">
        <f t="shared" si="116"/>
        <v>293.33333333334662</v>
      </c>
      <c r="BI195" s="59">
        <f ca="1">AVERAGE(OFFSET($BH$3,0,0,'Données projet'!$E$11+1,1))-AVERAGE(OFFSET($H$3,0,0,'Données projet'!$E$11+1,1))</f>
        <v>312.29056285877169</v>
      </c>
      <c r="BJ195" s="59">
        <f t="shared" si="146"/>
        <v>233.85454224241693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57.252331971181377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57.252331971181377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266.99999999999983</v>
      </c>
      <c r="BZ195" s="13">
        <f>BY195*VLOOKUP('Données projet'!$B$12,Paramètres!$A$1:$I$89,3,0)*VLOOKUP('Données projet'!$B$12,Paramètres!$A$1:$I$89,5,0)</f>
        <v>212.42519999999985</v>
      </c>
      <c r="CA195" s="13">
        <f t="shared" si="170"/>
        <v>52.465198231787184</v>
      </c>
      <c r="CB195" s="20">
        <f t="shared" si="171"/>
        <v>461.35077692036231</v>
      </c>
      <c r="CC195" s="59">
        <f t="shared" si="119"/>
        <v>754.68411025369562</v>
      </c>
      <c r="CD195" s="59">
        <f ca="1">AVERAGE(OFFSET($CC$3,0,0,'Données projet'!$E$12+1,1))-AVERAGE(OFFSET($H$3,0,0,'Données projet'!$E$12+1,1))</f>
        <v>219.43439115440339</v>
      </c>
      <c r="CE195" s="59">
        <f t="shared" si="148"/>
        <v>217.8880462742099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3.1330377077968752</v>
      </c>
      <c r="CL195" s="21">
        <f>EXP(-LN(2)/25)*CL194+(1-EXP(-LN(2)/25))/(LN(2)/25)*Calculateur!CG195*Calculateur!CI195*VLOOKUP('Données projet'!$B$12,Paramètres!$A$1:$I$89,3,0)*0.475*44/12</f>
        <v>0.3732280891373112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3.5062657969341862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261.10917418234862</v>
      </c>
      <c r="T196" s="59">
        <f t="shared" si="142"/>
        <v>327.65691162938418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5.6752469390630732E-13</v>
      </c>
      <c r="AK196" s="13">
        <f t="shared" si="164"/>
        <v>6.9658320883814946E-12</v>
      </c>
      <c r="AL196" s="20">
        <f t="shared" si="165"/>
        <v>1.3120596395817921E-11</v>
      </c>
      <c r="AM196" s="59">
        <f t="shared" ref="AM196:AM203" si="193">AL196+(AD196+AE196)*44/12</f>
        <v>293.33333333334645</v>
      </c>
      <c r="AN196" s="59">
        <f ca="1">AVERAGE(OFFSET($AM$3,0,0,'Données projet'!$E$10+1,1))-AVERAGE(OFFSET($H$3,0,0,'Données projet'!$E$10+1,1))</f>
        <v>306.38046634523579</v>
      </c>
      <c r="AO196" s="59">
        <f t="shared" si="144"/>
        <v>229.77251296097705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55.266115605367069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55.266115605367069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5.6843418860808015E-13</v>
      </c>
      <c r="BE196" s="13">
        <f>BD196*VLOOKUP('Données projet'!$B$11,Paramètres!$A$1:$I$89,3,0)*VLOOKUP('Données projet'!$B$11,Paramètres!$A$1:$I$89,5,0)</f>
        <v>5.763922672485933E-13</v>
      </c>
      <c r="BF196" s="13">
        <f t="shared" si="167"/>
        <v>7.0619171555808457E-12</v>
      </c>
      <c r="BG196" s="20">
        <f t="shared" si="168"/>
        <v>1.3303388911427938E-11</v>
      </c>
      <c r="BH196" s="59">
        <f t="shared" ref="BH196:BH203" si="194">BG196+(AY196+AZ196)*44/12</f>
        <v>293.33333333334662</v>
      </c>
      <c r="BI196" s="59">
        <f ca="1">AVERAGE(OFFSET($BH$3,0,0,'Données projet'!$E$11+1,1))-AVERAGE(OFFSET($H$3,0,0,'Données projet'!$E$11+1,1))</f>
        <v>312.29056285877169</v>
      </c>
      <c r="BJ196" s="59">
        <f t="shared" si="146"/>
        <v>233.85454224241693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56.129648661700905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56.129648661700905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266.99999999999983</v>
      </c>
      <c r="BZ196" s="13">
        <f>BY196*VLOOKUP('Données projet'!$B$12,Paramètres!$A$1:$I$89,3,0)*VLOOKUP('Données projet'!$B$12,Paramètres!$A$1:$I$89,5,0)</f>
        <v>212.42519999999985</v>
      </c>
      <c r="CA196" s="13">
        <f t="shared" si="170"/>
        <v>52.465198231787184</v>
      </c>
      <c r="CB196" s="20">
        <f t="shared" si="171"/>
        <v>461.35077692036231</v>
      </c>
      <c r="CC196" s="59">
        <f t="shared" ref="CC196:CC203" si="195">CB196+(BT196+BU196)*44/12</f>
        <v>754.68411025369562</v>
      </c>
      <c r="CD196" s="59">
        <f ca="1">AVERAGE(OFFSET($CC$3,0,0,'Données projet'!$E$12+1,1))-AVERAGE(OFFSET($H$3,0,0,'Données projet'!$E$12+1,1))</f>
        <v>219.43439115440339</v>
      </c>
      <c r="CE196" s="59">
        <f t="shared" si="148"/>
        <v>217.8880462742099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3.0716007493112882</v>
      </c>
      <c r="CL196" s="21">
        <f>EXP(-LN(2)/25)*CL195+(1-EXP(-LN(2)/25))/(LN(2)/25)*Calculateur!CG196*Calculateur!CI196*VLOOKUP('Données projet'!$B$12,Paramètres!$A$1:$I$89,3,0)*0.475*44/12</f>
        <v>0.36302214741263922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3.4346228967239276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261.10917418234862</v>
      </c>
      <c r="T197" s="59">
        <f t="shared" ref="T197:T203" si="204">$T$3</f>
        <v>327.65691162938418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5.6752469390630732E-13</v>
      </c>
      <c r="AK197" s="13">
        <f t="shared" si="164"/>
        <v>6.9658320883814946E-12</v>
      </c>
      <c r="AL197" s="20">
        <f t="shared" si="165"/>
        <v>1.3120596395817921E-11</v>
      </c>
      <c r="AM197" s="59">
        <f t="shared" si="193"/>
        <v>293.33333333334645</v>
      </c>
      <c r="AN197" s="59">
        <f ca="1">AVERAGE(OFFSET($AM$3,0,0,'Données projet'!$E$10+1,1))-AVERAGE(OFFSET($H$3,0,0,'Données projet'!$E$10+1,1))</f>
        <v>306.38046634523579</v>
      </c>
      <c r="AO197" s="59">
        <f t="shared" ref="AO197:AO203" si="205">$AO$3</f>
        <v>229.77251296097705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54.182380787347853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54.182380787347853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5.6843418860808015E-13</v>
      </c>
      <c r="BE197" s="13">
        <f>BD197*VLOOKUP('Données projet'!$B$11,Paramètres!$A$1:$I$89,3,0)*VLOOKUP('Données projet'!$B$11,Paramètres!$A$1:$I$89,5,0)</f>
        <v>5.763922672485933E-13</v>
      </c>
      <c r="BF197" s="13">
        <f t="shared" si="167"/>
        <v>7.0619171555808457E-12</v>
      </c>
      <c r="BG197" s="20">
        <f t="shared" si="168"/>
        <v>1.3303388911427938E-11</v>
      </c>
      <c r="BH197" s="59">
        <f t="shared" si="194"/>
        <v>293.33333333334662</v>
      </c>
      <c r="BI197" s="59">
        <f ca="1">AVERAGE(OFFSET($BH$3,0,0,'Données projet'!$E$11+1,1))-AVERAGE(OFFSET($H$3,0,0,'Données projet'!$E$11+1,1))</f>
        <v>312.29056285877169</v>
      </c>
      <c r="BJ197" s="59">
        <f t="shared" ref="BJ197:BJ203" si="206">$BJ$3</f>
        <v>233.85454224241693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55.028980487150136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55.028980487150136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266.99999999999983</v>
      </c>
      <c r="BZ197" s="13">
        <f>BY197*VLOOKUP('Données projet'!$B$12,Paramètres!$A$1:$I$89,3,0)*VLOOKUP('Données projet'!$B$12,Paramètres!$A$1:$I$89,5,0)</f>
        <v>212.42519999999985</v>
      </c>
      <c r="CA197" s="13">
        <f t="shared" si="170"/>
        <v>52.465198231787184</v>
      </c>
      <c r="CB197" s="20">
        <f t="shared" si="171"/>
        <v>461.35077692036231</v>
      </c>
      <c r="CC197" s="59">
        <f t="shared" si="195"/>
        <v>754.68411025369562</v>
      </c>
      <c r="CD197" s="59">
        <f ca="1">AVERAGE(OFFSET($CC$3,0,0,'Données projet'!$E$12+1,1))-AVERAGE(OFFSET($H$3,0,0,'Données projet'!$E$12+1,1))</f>
        <v>219.43439115440339</v>
      </c>
      <c r="CE197" s="59">
        <f t="shared" ref="CE197:CE203" si="207">$CE$3</f>
        <v>217.8880462742099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3.0113685321087589</v>
      </c>
      <c r="CL197" s="21">
        <f>EXP(-LN(2)/25)*CL196+(1-EXP(-LN(2)/25))/(LN(2)/25)*Calculateur!CG197*Calculateur!CI197*VLOOKUP('Données projet'!$B$12,Paramètres!$A$1:$I$89,3,0)*0.475*44/12</f>
        <v>0.35309528770113557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3.3644638198098944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261.10917418234862</v>
      </c>
      <c r="T198" s="59">
        <f t="shared" si="204"/>
        <v>327.65691162938418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5.6752469390630732E-13</v>
      </c>
      <c r="AK198" s="13">
        <f t="shared" si="164"/>
        <v>6.9658320883814946E-12</v>
      </c>
      <c r="AL198" s="20">
        <f t="shared" si="165"/>
        <v>1.3120596395817921E-11</v>
      </c>
      <c r="AM198" s="59">
        <f t="shared" si="193"/>
        <v>293.33333333334645</v>
      </c>
      <c r="AN198" s="59">
        <f ca="1">AVERAGE(OFFSET($AM$3,0,0,'Données projet'!$E$10+1,1))-AVERAGE(OFFSET($H$3,0,0,'Données projet'!$E$10+1,1))</f>
        <v>306.38046634523579</v>
      </c>
      <c r="AO198" s="59">
        <f t="shared" si="205"/>
        <v>229.77251296097705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53.119897348097027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53.119897348097027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5.6843418860808015E-13</v>
      </c>
      <c r="BE198" s="13">
        <f>BD198*VLOOKUP('Données projet'!$B$11,Paramètres!$A$1:$I$89,3,0)*VLOOKUP('Données projet'!$B$11,Paramètres!$A$1:$I$89,5,0)</f>
        <v>5.763922672485933E-13</v>
      </c>
      <c r="BF198" s="13">
        <f t="shared" si="167"/>
        <v>7.0619171555808457E-12</v>
      </c>
      <c r="BG198" s="20">
        <f t="shared" si="168"/>
        <v>1.3303388911427938E-11</v>
      </c>
      <c r="BH198" s="59">
        <f t="shared" si="194"/>
        <v>293.33333333334662</v>
      </c>
      <c r="BI198" s="59">
        <f ca="1">AVERAGE(OFFSET($BH$3,0,0,'Données projet'!$E$11+1,1))-AVERAGE(OFFSET($H$3,0,0,'Données projet'!$E$11+1,1))</f>
        <v>312.29056285877169</v>
      </c>
      <c r="BJ198" s="59">
        <f t="shared" si="206"/>
        <v>233.85454224241693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53.949895744161012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53.949895744161012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266.99999999999983</v>
      </c>
      <c r="BZ198" s="13">
        <f>BY198*VLOOKUP('Données projet'!$B$12,Paramètres!$A$1:$I$89,3,0)*VLOOKUP('Données projet'!$B$12,Paramètres!$A$1:$I$89,5,0)</f>
        <v>212.42519999999985</v>
      </c>
      <c r="CA198" s="13">
        <f t="shared" si="170"/>
        <v>52.465198231787184</v>
      </c>
      <c r="CB198" s="20">
        <f t="shared" si="171"/>
        <v>461.35077692036231</v>
      </c>
      <c r="CC198" s="59">
        <f t="shared" si="195"/>
        <v>754.68411025369562</v>
      </c>
      <c r="CD198" s="59">
        <f ca="1">AVERAGE(OFFSET($CC$3,0,0,'Données projet'!$E$12+1,1))-AVERAGE(OFFSET($H$3,0,0,'Données projet'!$E$12+1,1))</f>
        <v>219.43439115440339</v>
      </c>
      <c r="CE198" s="59">
        <f t="shared" si="207"/>
        <v>217.8880462742099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2.9523174319475465</v>
      </c>
      <c r="CL198" s="21">
        <f>EXP(-LN(2)/25)*CL197+(1-EXP(-LN(2)/25))/(LN(2)/25)*Calculateur!CG198*Calculateur!CI198*VLOOKUP('Données projet'!$B$12,Paramètres!$A$1:$I$89,3,0)*0.475*44/12</f>
        <v>0.34343987849047386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3.2957573104380202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261.10917418234862</v>
      </c>
      <c r="T199" s="59">
        <f t="shared" si="204"/>
        <v>327.65691162938418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5.6752469390630732E-13</v>
      </c>
      <c r="AK199" s="13">
        <f t="shared" si="164"/>
        <v>6.9658320883814946E-12</v>
      </c>
      <c r="AL199" s="20">
        <f t="shared" si="165"/>
        <v>1.3120596395817921E-11</v>
      </c>
      <c r="AM199" s="59">
        <f t="shared" si="193"/>
        <v>293.33333333334645</v>
      </c>
      <c r="AN199" s="59">
        <f ca="1">AVERAGE(OFFSET($AM$3,0,0,'Données projet'!$E$10+1,1))-AVERAGE(OFFSET($H$3,0,0,'Données projet'!$E$10+1,1))</f>
        <v>306.38046634523579</v>
      </c>
      <c r="AO199" s="59">
        <f t="shared" si="205"/>
        <v>229.77251296097705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52.078248561038997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52.078248561038997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5.6843418860808015E-13</v>
      </c>
      <c r="BE199" s="13">
        <f>BD199*VLOOKUP('Données projet'!$B$11,Paramètres!$A$1:$I$89,3,0)*VLOOKUP('Données projet'!$B$11,Paramètres!$A$1:$I$89,5,0)</f>
        <v>5.763922672485933E-13</v>
      </c>
      <c r="BF199" s="13">
        <f t="shared" si="167"/>
        <v>7.0619171555808457E-12</v>
      </c>
      <c r="BG199" s="20">
        <f t="shared" si="168"/>
        <v>1.3303388911427938E-11</v>
      </c>
      <c r="BH199" s="59">
        <f t="shared" si="194"/>
        <v>293.33333333334662</v>
      </c>
      <c r="BI199" s="59">
        <f ca="1">AVERAGE(OFFSET($BH$3,0,0,'Données projet'!$E$11+1,1))-AVERAGE(OFFSET($H$3,0,0,'Données projet'!$E$11+1,1))</f>
        <v>312.29056285877169</v>
      </c>
      <c r="BJ199" s="59">
        <f t="shared" si="206"/>
        <v>233.85454224241693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52.891971194805201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52.891971194805201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266.99999999999983</v>
      </c>
      <c r="BZ199" s="13">
        <f>BY199*VLOOKUP('Données projet'!$B$12,Paramètres!$A$1:$I$89,3,0)*VLOOKUP('Données projet'!$B$12,Paramètres!$A$1:$I$89,5,0)</f>
        <v>212.42519999999985</v>
      </c>
      <c r="CA199" s="13">
        <f t="shared" si="170"/>
        <v>52.465198231787184</v>
      </c>
      <c r="CB199" s="20">
        <f t="shared" si="171"/>
        <v>461.35077692036231</v>
      </c>
      <c r="CC199" s="59">
        <f t="shared" si="195"/>
        <v>754.68411025369562</v>
      </c>
      <c r="CD199" s="59">
        <f ca="1">AVERAGE(OFFSET($CC$3,0,0,'Données projet'!$E$12+1,1))-AVERAGE(OFFSET($H$3,0,0,'Données projet'!$E$12+1,1))</f>
        <v>219.43439115440339</v>
      </c>
      <c r="CE199" s="59">
        <f t="shared" si="207"/>
        <v>217.8880462742099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2.8944242878428805</v>
      </c>
      <c r="CL199" s="21">
        <f>EXP(-LN(2)/25)*CL198+(1-EXP(-LN(2)/25))/(LN(2)/25)*Calculateur!CG199*Calculateur!CI199*VLOOKUP('Données projet'!$B$12,Paramètres!$A$1:$I$89,3,0)*0.475*44/12</f>
        <v>0.3340484969524336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3.2284727847953141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261.10917418234862</v>
      </c>
      <c r="T200" s="59">
        <f t="shared" si="204"/>
        <v>327.65691162938418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5.6752469390630732E-13</v>
      </c>
      <c r="AK200" s="13">
        <f t="shared" si="164"/>
        <v>6.9658320883814946E-12</v>
      </c>
      <c r="AL200" s="20">
        <f t="shared" si="165"/>
        <v>1.3120596395817921E-11</v>
      </c>
      <c r="AM200" s="59">
        <f t="shared" si="193"/>
        <v>293.33333333334645</v>
      </c>
      <c r="AN200" s="59">
        <f ca="1">AVERAGE(OFFSET($AM$3,0,0,'Données projet'!$E$10+1,1))-AVERAGE(OFFSET($H$3,0,0,'Données projet'!$E$10+1,1))</f>
        <v>306.38046634523579</v>
      </c>
      <c r="AO200" s="59">
        <f t="shared" si="205"/>
        <v>229.77251296097705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51.057025871352153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51.057025871352153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5.6843418860808015E-13</v>
      </c>
      <c r="BE200" s="13">
        <f>BD200*VLOOKUP('Données projet'!$B$11,Paramètres!$A$1:$I$89,3,0)*VLOOKUP('Données projet'!$B$11,Paramètres!$A$1:$I$89,5,0)</f>
        <v>5.763922672485933E-13</v>
      </c>
      <c r="BF200" s="13">
        <f t="shared" si="167"/>
        <v>7.0619171555808457E-12</v>
      </c>
      <c r="BG200" s="20">
        <f t="shared" si="168"/>
        <v>1.3303388911427938E-11</v>
      </c>
      <c r="BH200" s="59">
        <f t="shared" si="194"/>
        <v>293.33333333334662</v>
      </c>
      <c r="BI200" s="59">
        <f ca="1">AVERAGE(OFFSET($BH$3,0,0,'Données projet'!$E$11+1,1))-AVERAGE(OFFSET($H$3,0,0,'Données projet'!$E$11+1,1))</f>
        <v>312.29056285877169</v>
      </c>
      <c r="BJ200" s="59">
        <f t="shared" si="206"/>
        <v>233.85454224241693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51.854791900591998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51.854791900591998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266.99999999999983</v>
      </c>
      <c r="BZ200" s="13">
        <f>BY200*VLOOKUP('Données projet'!$B$12,Paramètres!$A$1:$I$89,3,0)*VLOOKUP('Données projet'!$B$12,Paramètres!$A$1:$I$89,5,0)</f>
        <v>212.42519999999985</v>
      </c>
      <c r="CA200" s="13">
        <f t="shared" si="170"/>
        <v>52.465198231787184</v>
      </c>
      <c r="CB200" s="20">
        <f t="shared" si="171"/>
        <v>461.35077692036231</v>
      </c>
      <c r="CC200" s="59">
        <f t="shared" si="195"/>
        <v>754.68411025369562</v>
      </c>
      <c r="CD200" s="59">
        <f ca="1">AVERAGE(OFFSET($CC$3,0,0,'Données projet'!$E$12+1,1))-AVERAGE(OFFSET($H$3,0,0,'Données projet'!$E$12+1,1))</f>
        <v>219.43439115440339</v>
      </c>
      <c r="CE200" s="59">
        <f t="shared" si="207"/>
        <v>217.8880462742099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2.8376663929827761</v>
      </c>
      <c r="CL200" s="21">
        <f>EXP(-LN(2)/25)*CL199+(1-EXP(-LN(2)/25))/(LN(2)/25)*Calculateur!CG200*Calculateur!CI200*VLOOKUP('Données projet'!$B$12,Paramètres!$A$1:$I$89,3,0)*0.475*44/12</f>
        <v>0.32491392323642232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3.1625803162191986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261.10917418234862</v>
      </c>
      <c r="T201" s="59">
        <f t="shared" si="204"/>
        <v>327.65691162938418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5.6752469390630732E-13</v>
      </c>
      <c r="AK201" s="13">
        <f t="shared" si="164"/>
        <v>6.9658320883814946E-12</v>
      </c>
      <c r="AL201" s="20">
        <f t="shared" si="165"/>
        <v>1.3120596395817921E-11</v>
      </c>
      <c r="AM201" s="59">
        <f t="shared" si="193"/>
        <v>293.33333333334645</v>
      </c>
      <c r="AN201" s="59">
        <f ca="1">AVERAGE(OFFSET($AM$3,0,0,'Données projet'!$E$10+1,1))-AVERAGE(OFFSET($H$3,0,0,'Données projet'!$E$10+1,1))</f>
        <v>306.38046634523579</v>
      </c>
      <c r="AO201" s="59">
        <f t="shared" si="205"/>
        <v>229.77251296097705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50.055828735725733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50.055828735725733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5.6843418860808015E-13</v>
      </c>
      <c r="BE201" s="13">
        <f>BD201*VLOOKUP('Données projet'!$B$11,Paramètres!$A$1:$I$89,3,0)*VLOOKUP('Données projet'!$B$11,Paramètres!$A$1:$I$89,5,0)</f>
        <v>5.763922672485933E-13</v>
      </c>
      <c r="BF201" s="13">
        <f t="shared" si="167"/>
        <v>7.0619171555808457E-12</v>
      </c>
      <c r="BG201" s="20">
        <f t="shared" si="168"/>
        <v>1.3303388911427938E-11</v>
      </c>
      <c r="BH201" s="59">
        <f t="shared" si="194"/>
        <v>293.33333333334662</v>
      </c>
      <c r="BI201" s="59">
        <f ca="1">AVERAGE(OFFSET($BH$3,0,0,'Données projet'!$E$11+1,1))-AVERAGE(OFFSET($H$3,0,0,'Données projet'!$E$11+1,1))</f>
        <v>312.29056285877169</v>
      </c>
      <c r="BJ201" s="59">
        <f t="shared" si="206"/>
        <v>233.85454224241693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50.837951059721412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50.837951059721412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266.99999999999983</v>
      </c>
      <c r="BZ201" s="13">
        <f>BY201*VLOOKUP('Données projet'!$B$12,Paramètres!$A$1:$I$89,3,0)*VLOOKUP('Données projet'!$B$12,Paramètres!$A$1:$I$89,5,0)</f>
        <v>212.42519999999985</v>
      </c>
      <c r="CA201" s="13">
        <f t="shared" si="170"/>
        <v>52.465198231787184</v>
      </c>
      <c r="CB201" s="20">
        <f t="shared" si="171"/>
        <v>461.35077692036231</v>
      </c>
      <c r="CC201" s="59">
        <f t="shared" si="195"/>
        <v>754.68411025369562</v>
      </c>
      <c r="CD201" s="59">
        <f ca="1">AVERAGE(OFFSET($CC$3,0,0,'Données projet'!$E$12+1,1))-AVERAGE(OFFSET($H$3,0,0,'Données projet'!$E$12+1,1))</f>
        <v>219.43439115440339</v>
      </c>
      <c r="CE201" s="59">
        <f t="shared" si="207"/>
        <v>217.8880462742099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2.7820214858219807</v>
      </c>
      <c r="CL201" s="21">
        <f>EXP(-LN(2)/25)*CL200+(1-EXP(-LN(2)/25))/(LN(2)/25)*Calculateur!CG201*Calculateur!CI201*VLOOKUP('Données projet'!$B$12,Paramètres!$A$1:$I$89,3,0)*0.475*44/12</f>
        <v>0.31602913491904172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3.0980506207410223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261.10917418234862</v>
      </c>
      <c r="T202" s="59">
        <f t="shared" si="204"/>
        <v>327.65691162938418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5.6752469390630732E-13</v>
      </c>
      <c r="AK202" s="13">
        <f t="shared" si="164"/>
        <v>6.9658320883814946E-12</v>
      </c>
      <c r="AL202" s="20">
        <f t="shared" si="165"/>
        <v>1.3120596395817921E-11</v>
      </c>
      <c r="AM202" s="59">
        <f t="shared" si="193"/>
        <v>293.33333333334645</v>
      </c>
      <c r="AN202" s="59">
        <f ca="1">AVERAGE(OFFSET($AM$3,0,0,'Données projet'!$E$10+1,1))-AVERAGE(OFFSET($H$3,0,0,'Données projet'!$E$10+1,1))</f>
        <v>306.38046634523579</v>
      </c>
      <c r="AO202" s="59">
        <f t="shared" si="205"/>
        <v>229.77251296097705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49.074264465258992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49.074264465258992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5.6843418860808015E-13</v>
      </c>
      <c r="BE202" s="13">
        <f>BD202*VLOOKUP('Données projet'!$B$11,Paramètres!$A$1:$I$89,3,0)*VLOOKUP('Données projet'!$B$11,Paramètres!$A$1:$I$89,5,0)</f>
        <v>5.763922672485933E-13</v>
      </c>
      <c r="BF202" s="13">
        <f t="shared" si="167"/>
        <v>7.0619171555808457E-12</v>
      </c>
      <c r="BG202" s="20">
        <f t="shared" si="168"/>
        <v>1.3303388911427938E-11</v>
      </c>
      <c r="BH202" s="59">
        <f t="shared" si="194"/>
        <v>293.33333333334662</v>
      </c>
      <c r="BI202" s="59">
        <f ca="1">AVERAGE(OFFSET($BH$3,0,0,'Données projet'!$E$11+1,1))-AVERAGE(OFFSET($H$3,0,0,'Données projet'!$E$11+1,1))</f>
        <v>312.29056285877169</v>
      </c>
      <c r="BJ202" s="59">
        <f t="shared" si="206"/>
        <v>233.85454224241693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49.84104984752863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49.84104984752863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266.99999999999983</v>
      </c>
      <c r="BZ202" s="13">
        <f>BY202*VLOOKUP('Données projet'!$B$12,Paramètres!$A$1:$I$89,3,0)*VLOOKUP('Données projet'!$B$12,Paramètres!$A$1:$I$89,5,0)</f>
        <v>212.42519999999985</v>
      </c>
      <c r="CA202" s="13">
        <f t="shared" si="170"/>
        <v>52.465198231787184</v>
      </c>
      <c r="CB202" s="20">
        <f t="shared" si="171"/>
        <v>461.35077692036231</v>
      </c>
      <c r="CC202" s="59">
        <f t="shared" si="195"/>
        <v>754.68411025369562</v>
      </c>
      <c r="CD202" s="59">
        <f ca="1">AVERAGE(OFFSET($CC$3,0,0,'Données projet'!$E$12+1,1))-AVERAGE(OFFSET($H$3,0,0,'Données projet'!$E$12+1,1))</f>
        <v>219.43439115440339</v>
      </c>
      <c r="CE202" s="59">
        <f t="shared" si="207"/>
        <v>217.8880462742099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2.7274677413505666</v>
      </c>
      <c r="CL202" s="21">
        <f>EXP(-LN(2)/25)*CL201+(1-EXP(-LN(2)/25))/(LN(2)/25)*Calculateur!CG202*Calculateur!CI202*VLOOKUP('Données projet'!$B$12,Paramètres!$A$1:$I$89,3,0)*0.475*44/12</f>
        <v>0.3073873016054306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3.0348550429559973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261.10917418234862</v>
      </c>
      <c r="T203" s="59">
        <f t="shared" si="204"/>
        <v>327.65691162938418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5.6752469390630732E-13</v>
      </c>
      <c r="AK203" s="13">
        <f t="shared" si="164"/>
        <v>6.9658320883814946E-12</v>
      </c>
      <c r="AL203" s="20">
        <f t="shared" si="165"/>
        <v>1.3120596395817921E-11</v>
      </c>
      <c r="AM203" s="59">
        <f t="shared" si="193"/>
        <v>293.33333333334645</v>
      </c>
      <c r="AN203" s="59">
        <f ca="1">AVERAGE(OFFSET($AM$3,0,0,'Données projet'!$E$10+1,1))-AVERAGE(OFFSET($H$3,0,0,'Données projet'!$E$10+1,1))</f>
        <v>306.38046634523579</v>
      </c>
      <c r="AO203" s="59">
        <f t="shared" si="205"/>
        <v>229.77251296097705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48.111948071441013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48.111948071441013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5.6843418860808015E-13</v>
      </c>
      <c r="BE203" s="13">
        <f>BD203*VLOOKUP('Données projet'!$B$11,Paramètres!$A$1:$I$89,3,0)*VLOOKUP('Données projet'!$B$11,Paramètres!$A$1:$I$89,5,0)</f>
        <v>5.763922672485933E-13</v>
      </c>
      <c r="BF203" s="13">
        <f t="shared" si="167"/>
        <v>7.0619171555808457E-12</v>
      </c>
      <c r="BG203" s="20">
        <f t="shared" si="168"/>
        <v>1.3303388911427938E-11</v>
      </c>
      <c r="BH203" s="59">
        <f t="shared" si="194"/>
        <v>293.33333333334662</v>
      </c>
      <c r="BI203" s="59">
        <f ca="1">AVERAGE(OFFSET($BH$3,0,0,'Données projet'!$E$11+1,1))-AVERAGE(OFFSET($H$3,0,0,'Données projet'!$E$11+1,1))</f>
        <v>312.29056285877169</v>
      </c>
      <c r="BJ203" s="59">
        <f t="shared" si="206"/>
        <v>233.85454224241693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48.863697260057243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48.863697260057243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266.99999999999983</v>
      </c>
      <c r="BZ203" s="13">
        <f>BY203*VLOOKUP('Données projet'!$B$12,Paramètres!$A$1:$I$89,3,0)*VLOOKUP('Données projet'!$B$12,Paramètres!$A$1:$I$89,5,0)</f>
        <v>212.42519999999985</v>
      </c>
      <c r="CA203" s="13">
        <f t="shared" si="170"/>
        <v>52.465198231787184</v>
      </c>
      <c r="CB203" s="20">
        <f t="shared" si="171"/>
        <v>461.35077692036231</v>
      </c>
      <c r="CC203" s="59">
        <f t="shared" si="195"/>
        <v>754.68411025369562</v>
      </c>
      <c r="CD203" s="59">
        <f ca="1">AVERAGE(OFFSET($CC$3,0,0,'Données projet'!$E$12+1,1))-AVERAGE(OFFSET($H$3,0,0,'Données projet'!$E$12+1,1))</f>
        <v>219.43439115440339</v>
      </c>
      <c r="CE203" s="59">
        <f t="shared" si="207"/>
        <v>217.8880462742099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2.6739837625337382</v>
      </c>
      <c r="CL203" s="21">
        <f>EXP(-LN(2)/25)*CL202+(1-EXP(-LN(2)/25))/(LN(2)/25)*Calculateur!CG203*Calculateur!CI203*VLOOKUP('Données projet'!$B$12,Paramètres!$A$1:$I$89,3,0)*0.475*44/12</f>
        <v>0.29898177967823447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2.9729655422119725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1.1736311550444201</v>
      </c>
      <c r="BA205" s="82">
        <f>EXP(LN('Données projet'!B88)/'Données projet'!A88)</f>
        <v>1.1736311550444201</v>
      </c>
      <c r="BV205" s="82">
        <f>EXP(LN('Données projet'!B114)/'Données projet'!A114)</f>
        <v>1.2721747796233518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2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.75" thickBot="1" x14ac:dyDescent="0.3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2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.75" thickBot="1" x14ac:dyDescent="0.3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.75" thickBot="1" x14ac:dyDescent="0.3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25">
      <c r="A93" s="122" t="s">
        <v>68</v>
      </c>
    </row>
    <row r="94" spans="1:14" x14ac:dyDescent="0.25">
      <c r="A94" s="122" t="s">
        <v>69</v>
      </c>
    </row>
    <row r="95" spans="1:14" x14ac:dyDescent="0.2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A10" sqref="A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21.7</v>
      </c>
      <c r="C6" s="147">
        <f ca="1">IF(OR('Données projet'!B9="",'Données projet'!C9="",'Données projet'!C9=0%),0,Calculateur!S3)</f>
        <v>261.10917418234862</v>
      </c>
      <c r="D6" s="147">
        <f>IF(OR('Données projet'!B9="",'Données projet'!C9="",'Données projet'!C9=0%),0,Calculateur!T3)</f>
        <v>327.65691162938418</v>
      </c>
      <c r="E6" s="147">
        <f ca="1">MIN(C6,D6)</f>
        <v>261.10917418234862</v>
      </c>
      <c r="F6" s="147">
        <f ca="1">E6*B6</f>
        <v>5666.069079756965</v>
      </c>
      <c r="G6" s="147">
        <f ca="1">F6*(100%-'Données projet'!$C$24)*(100%-'Données projet'!$C$25)*(100%-'Données projet'!$C$26)*(100%-'Données projet'!$C$27)</f>
        <v>4334.5428460140783</v>
      </c>
      <c r="H6" s="148">
        <f>IF(OR('Données projet'!B9="",'Données projet'!C9="",'Données projet'!C9=0%),0,AVERAGE(Calculateur!$AC$3:$AC$33)*B6)</f>
        <v>282.51106541640456</v>
      </c>
      <c r="I6" s="149">
        <f>H6*(100%-'Données projet'!$C$24)*(100%-'Données projet'!$C$25)*(100%-'Données projet'!$C$26)*(100%-'Données projet'!$C$27)</f>
        <v>216.12096504354949</v>
      </c>
      <c r="J6" s="150">
        <f>IF(OR('Données projet'!B9="",'Données projet'!C9="",'Données projet'!C9=0%),0,SUM(Calculateur!$V$3:$V$33)*VLOOKUP('Données projet'!$B$9,Paramètres!$A$1:$I$89,9,0)*B6)</f>
        <v>1862.7380153846154</v>
      </c>
      <c r="K6" s="151">
        <f>J6*(100%-'Données projet'!$C$24)*(100%-'Données projet'!$C$25)*(100%-'Données projet'!$C$26)*(100%-'Données projet'!$C$27)</f>
        <v>1424.9945817692308</v>
      </c>
      <c r="L6" s="152">
        <f ca="1">G6+I6+K6</f>
        <v>5975.6583928268583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tauzin</v>
      </c>
      <c r="B7" s="154">
        <f>'Données projet'!D10</f>
        <v>2.79</v>
      </c>
      <c r="C7" s="147">
        <f ca="1">IF(OR('Données projet'!B10="",'Données projet'!C10="",'Données projet'!C10=0%),0,Calculateur!AN3)</f>
        <v>306.38046634523579</v>
      </c>
      <c r="D7" s="147">
        <f>IF(OR('Données projet'!B10="",'Données projet'!C10="",'Données projet'!C10=0%),0,Calculateur!AO3)</f>
        <v>229.77251296097705</v>
      </c>
      <c r="E7" s="147">
        <f t="shared" ref="E7:E15" ca="1" si="0">MIN(C7,D7)</f>
        <v>229.77251296097705</v>
      </c>
      <c r="F7" s="147">
        <f t="shared" ref="F7:F15" ca="1" si="1">E7*B7</f>
        <v>641.06531116112603</v>
      </c>
      <c r="G7" s="147">
        <f ca="1">F7*(100%-'Données projet'!$C$24)*(100%-'Données projet'!$C$25)*(100%-'Données projet'!$C$26)*(100%-'Données projet'!$C$27)</f>
        <v>490.41496303826142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490.41496303826142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pubescent</v>
      </c>
      <c r="B8" s="154">
        <f>'Données projet'!D11</f>
        <v>3.41</v>
      </c>
      <c r="C8" s="147">
        <f ca="1">IF(OR('Données projet'!B11="",'Données projet'!C11="",'Données projet'!C11=0%),0,Calculateur!BI3)</f>
        <v>312.29056285877169</v>
      </c>
      <c r="D8" s="147">
        <f>IF(OR('Données projet'!B11="",'Données projet'!C11="",'Données projet'!C11=0%),0,Calculateur!BJ3)</f>
        <v>233.85454224241693</v>
      </c>
      <c r="E8" s="147">
        <f t="shared" ca="1" si="0"/>
        <v>233.85454224241693</v>
      </c>
      <c r="F8" s="147">
        <f t="shared" ca="1" si="1"/>
        <v>797.44398904664172</v>
      </c>
      <c r="G8" s="147">
        <f ca="1">F8*(100%-'Données projet'!$C$24)*(100%-'Données projet'!$C$25)*(100%-'Données projet'!$C$26)*(100%-'Données projet'!$C$27)</f>
        <v>610.04465162068084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610.04465162068084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Erable sycomore</v>
      </c>
      <c r="B9" s="154">
        <f>'Données projet'!D12</f>
        <v>3.1</v>
      </c>
      <c r="C9" s="147">
        <f ca="1">IF(OR('Données projet'!B12="",'Données projet'!C12="",'Données projet'!C12=0%),0,Calculateur!CD3)</f>
        <v>219.43439115440339</v>
      </c>
      <c r="D9" s="147">
        <f>IF(OR('Données projet'!B12="",'Données projet'!C12="",'Données projet'!C12=0%),0,Calculateur!CE3)</f>
        <v>217.8880462742099</v>
      </c>
      <c r="E9" s="147">
        <f t="shared" ca="1" si="0"/>
        <v>217.8880462742099</v>
      </c>
      <c r="F9" s="147">
        <f t="shared" ca="1" si="1"/>
        <v>675.45294345005073</v>
      </c>
      <c r="G9" s="147">
        <f ca="1">F9*(100%-'Données projet'!$C$24)*(100%-'Données projet'!$C$25)*(100%-'Données projet'!$C$26)*(100%-'Données projet'!$C$27)</f>
        <v>516.7215017392889</v>
      </c>
      <c r="H9" s="155">
        <f>IF(OR('Données projet'!B12="",'Données projet'!C12="",'Données projet'!C12=0%),0,AVERAGE(Calculateur!$CN$3:$CN$33)*B9)</f>
        <v>0.93925411170148831</v>
      </c>
      <c r="I9" s="149">
        <f>H9*(100%-'Données projet'!$C$24)*(100%-'Données projet'!$C$25)*(100%-'Données projet'!$C$26)*(100%-'Données projet'!$C$27)</f>
        <v>0.71852939545163852</v>
      </c>
      <c r="J9" s="150">
        <f>IF(OR('Données projet'!B12="",'Données projet'!C12="",'Données projet'!C12=0%),0,SUM(Calculateur!$CG$3:$CG$33)*VLOOKUP('Données projet'!$B$12,Paramètres!$A$1:$I$89,9,0)*B9)</f>
        <v>76.725000000000009</v>
      </c>
      <c r="K9" s="151">
        <f>J9*(100%-'Données projet'!$C$24)*(100%-'Données projet'!$C$25)*(100%-'Données projet'!$C$26)*(100%-'Données projet'!$C$27)</f>
        <v>58.694625000000009</v>
      </c>
      <c r="L9" s="152">
        <f t="shared" ca="1" si="2"/>
        <v>576.13465613474045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7780.0313234147843</v>
      </c>
      <c r="G16" s="166">
        <f t="shared" ca="1" si="3"/>
        <v>5951.7239624123104</v>
      </c>
      <c r="H16" s="167">
        <f t="shared" si="3"/>
        <v>283.45031952810604</v>
      </c>
      <c r="I16" s="167">
        <f t="shared" si="3"/>
        <v>216.83949443900113</v>
      </c>
      <c r="J16" s="168">
        <f t="shared" si="3"/>
        <v>1939.4630153846153</v>
      </c>
      <c r="K16" s="168">
        <f t="shared" si="3"/>
        <v>1483.6892067692309</v>
      </c>
      <c r="L16" s="169">
        <f t="shared" ca="1" si="3"/>
        <v>7652.2526636205421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tauzin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4" zoomScale="80" zoomScaleNormal="80" workbookViewId="0">
      <selection activeCell="E117" sqref="E117:E1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3199.8568350307655</v>
      </c>
      <c r="U10" s="178">
        <f>'Données projet'!D9</f>
        <v>21.7</v>
      </c>
      <c r="V10" s="177">
        <f>U10*T10</f>
        <v>69436.893320167612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tauzin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1547.5283043795848</v>
      </c>
      <c r="U11" s="178">
        <f>'Données projet'!D10</f>
        <v>2.79</v>
      </c>
      <c r="V11" s="177">
        <f t="shared" ref="V11" si="0">U11*T11</f>
        <v>4317.6039692190416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1645.2338235710599</v>
      </c>
      <c r="U12" s="178">
        <f>'Données projet'!D11</f>
        <v>3.41</v>
      </c>
      <c r="V12" s="177">
        <f t="shared" ref="V12:V19" si="1">U12*T12</f>
        <v>5610.2473383773149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1919.9761473593035</v>
      </c>
      <c r="U13" s="178">
        <f>'Données projet'!D12</f>
        <v>3.1</v>
      </c>
      <c r="V13" s="177">
        <f t="shared" si="1"/>
        <v>5951.9260568138407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20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400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6477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>
        <v>150</v>
      </c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-106823.99917188153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48.723076923076924</v>
      </c>
      <c r="C24" s="193">
        <v>18</v>
      </c>
      <c r="D24" s="182">
        <f t="shared" ref="D24:D42" si="2">B24*C24</f>
        <v>877.01538461538462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5141.5714600888487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2"/>
        <v>1174.6153846153845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-111965.57063197037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32</v>
      </c>
      <c r="B26" s="181">
        <f>'Données projet'!D39</f>
        <v>64.523076923076914</v>
      </c>
      <c r="C26" s="193">
        <v>25</v>
      </c>
      <c r="D26" s="182">
        <f t="shared" si="2"/>
        <v>1613.0769230769229</v>
      </c>
      <c r="E26" s="193">
        <v>150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92.661538461538456</v>
      </c>
      <c r="C27" s="193">
        <v>35</v>
      </c>
      <c r="D27" s="182">
        <f t="shared" si="2"/>
        <v>3243.1538461538457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48</v>
      </c>
      <c r="B28" s="181">
        <f>'Données projet'!D41</f>
        <v>83.969230769230762</v>
      </c>
      <c r="C28" s="193">
        <v>35</v>
      </c>
      <c r="D28" s="182">
        <f t="shared" si="2"/>
        <v>2938.9230769230767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56</v>
      </c>
      <c r="B29" s="181">
        <f>'Données projet'!D42</f>
        <v>446.47692307692301</v>
      </c>
      <c r="C29" s="193">
        <v>35</v>
      </c>
      <c r="D29" s="182">
        <f t="shared" si="2"/>
        <v>15626.692307692305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>
        <v>40</v>
      </c>
      <c r="D30" s="182">
        <f t="shared" si="2"/>
        <v>0</v>
      </c>
      <c r="E30" s="193">
        <v>150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17</v>
      </c>
      <c r="B45" s="174" t="str">
        <f>IF('Données projet'!$B$10="","",'Données projet'!$B$10)</f>
        <v>Chêne tauzin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35</v>
      </c>
      <c r="B55" s="181">
        <f>'Données projet'!D63</f>
        <v>60.602564102564102</v>
      </c>
      <c r="C55" s="191">
        <v>10</v>
      </c>
      <c r="D55" s="179">
        <f t="shared" ref="D55:D73" si="4">B55*C55</f>
        <v>606.02564102564099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41</v>
      </c>
      <c r="B56" s="181">
        <f>'Données projet'!D64</f>
        <v>38.512820512820511</v>
      </c>
      <c r="C56" s="191">
        <v>10</v>
      </c>
      <c r="D56" s="179">
        <f t="shared" si="4"/>
        <v>385.12820512820508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48</v>
      </c>
      <c r="B57" s="181">
        <f>'Données projet'!D65</f>
        <v>48.025641025641022</v>
      </c>
      <c r="C57" s="191">
        <v>50</v>
      </c>
      <c r="D57" s="179">
        <f t="shared" si="4"/>
        <v>2401.2820512820513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55</v>
      </c>
      <c r="B58" s="181">
        <f>'Données projet'!D66</f>
        <v>45.147435897435898</v>
      </c>
      <c r="C58" s="191">
        <v>50</v>
      </c>
      <c r="D58" s="179">
        <f t="shared" si="4"/>
        <v>2257.3717948717949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63</v>
      </c>
      <c r="B59" s="181">
        <f>'Données projet'!D67</f>
        <v>41.724358974358978</v>
      </c>
      <c r="C59" s="191">
        <v>50</v>
      </c>
      <c r="D59" s="179">
        <f t="shared" si="4"/>
        <v>2086.2179487179487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71</v>
      </c>
      <c r="B60" s="181">
        <f>'Données projet'!D68</f>
        <v>39.935897435897431</v>
      </c>
      <c r="C60" s="191">
        <v>100</v>
      </c>
      <c r="D60" s="179">
        <f t="shared" si="4"/>
        <v>3993.5897435897432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45.608974358974358</v>
      </c>
      <c r="C61" s="191">
        <v>100</v>
      </c>
      <c r="D61" s="179">
        <f t="shared" si="4"/>
        <v>4560.8974358974356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89</v>
      </c>
      <c r="B62" s="181">
        <f>'Données projet'!D70</f>
        <v>49.391025641025635</v>
      </c>
      <c r="C62" s="191">
        <v>150</v>
      </c>
      <c r="D62" s="179">
        <f t="shared" si="4"/>
        <v>7408.6538461538457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99</v>
      </c>
      <c r="B63" s="181">
        <f>'Données projet'!D71</f>
        <v>48.019230769230766</v>
      </c>
      <c r="C63" s="191">
        <v>150</v>
      </c>
      <c r="D63" s="179">
        <f t="shared" si="4"/>
        <v>7202.8846153846152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109</v>
      </c>
      <c r="B64" s="181">
        <f>'Données projet'!D72</f>
        <v>51.28846153846154</v>
      </c>
      <c r="C64" s="191">
        <v>150</v>
      </c>
      <c r="D64" s="179">
        <f t="shared" si="4"/>
        <v>7693.2692307692314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119</v>
      </c>
      <c r="B65" s="181">
        <f>'Données projet'!D73</f>
        <v>150.02564102564102</v>
      </c>
      <c r="C65" s="191">
        <v>200</v>
      </c>
      <c r="D65" s="179">
        <f t="shared" si="4"/>
        <v>30005.128205128203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123</v>
      </c>
      <c r="B66" s="181">
        <f>'Données projet'!D74</f>
        <v>77.17307692307692</v>
      </c>
      <c r="C66" s="191">
        <v>200</v>
      </c>
      <c r="D66" s="179">
        <f t="shared" si="4"/>
        <v>15434.615384615385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127</v>
      </c>
      <c r="B67" s="181">
        <f>'Données projet'!D75</f>
        <v>49.916666666666671</v>
      </c>
      <c r="C67" s="191">
        <v>200</v>
      </c>
      <c r="D67" s="179">
        <f t="shared" si="4"/>
        <v>9983.3333333333339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131</v>
      </c>
      <c r="B68" s="181">
        <f>'Données projet'!D76</f>
        <v>110.91025641025641</v>
      </c>
      <c r="C68" s="191">
        <v>200</v>
      </c>
      <c r="D68" s="179">
        <f t="shared" si="4"/>
        <v>22182.051282051281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18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35</v>
      </c>
      <c r="B86" s="181">
        <f>'Données projet'!D89</f>
        <v>60.602564102564102</v>
      </c>
      <c r="C86" s="191">
        <v>10</v>
      </c>
      <c r="D86" s="179">
        <f t="shared" ref="D86:D104" si="6">B86*C86</f>
        <v>606.02564102564099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41</v>
      </c>
      <c r="B87" s="181">
        <f>'Données projet'!D90</f>
        <v>38.512820512820511</v>
      </c>
      <c r="C87" s="191">
        <v>10</v>
      </c>
      <c r="D87" s="179">
        <f t="shared" si="6"/>
        <v>385.12820512820508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48</v>
      </c>
      <c r="B88" s="181">
        <f>'Données projet'!D91</f>
        <v>48.025641025641022</v>
      </c>
      <c r="C88" s="191">
        <v>50</v>
      </c>
      <c r="D88" s="179">
        <f t="shared" si="6"/>
        <v>2401.2820512820513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55</v>
      </c>
      <c r="B89" s="181">
        <f>'Données projet'!D92</f>
        <v>45.147435897435898</v>
      </c>
      <c r="C89" s="191">
        <v>50</v>
      </c>
      <c r="D89" s="179">
        <f t="shared" si="6"/>
        <v>2257.3717948717949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63</v>
      </c>
      <c r="B90" s="181">
        <f>'Données projet'!D93</f>
        <v>41.724358974358978</v>
      </c>
      <c r="C90" s="191">
        <v>50</v>
      </c>
      <c r="D90" s="179">
        <f t="shared" si="6"/>
        <v>2086.2179487179487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71</v>
      </c>
      <c r="B91" s="181">
        <f>'Données projet'!D94</f>
        <v>39.935897435897431</v>
      </c>
      <c r="C91" s="191">
        <v>100</v>
      </c>
      <c r="D91" s="179">
        <f t="shared" si="6"/>
        <v>3993.5897435897432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45.608974358974358</v>
      </c>
      <c r="C92" s="191">
        <v>100</v>
      </c>
      <c r="D92" s="179">
        <f t="shared" si="6"/>
        <v>4560.8974358974356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89</v>
      </c>
      <c r="B93" s="181">
        <f>'Données projet'!D96</f>
        <v>49.391025641025635</v>
      </c>
      <c r="C93" s="191">
        <v>150</v>
      </c>
      <c r="D93" s="179">
        <f t="shared" si="6"/>
        <v>7408.6538461538457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99</v>
      </c>
      <c r="B94" s="181">
        <f>'Données projet'!D97</f>
        <v>48.019230769230766</v>
      </c>
      <c r="C94" s="191">
        <v>150</v>
      </c>
      <c r="D94" s="179">
        <f t="shared" si="6"/>
        <v>7202.8846153846152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109</v>
      </c>
      <c r="B95" s="181">
        <f>'Données projet'!D98</f>
        <v>51.28846153846154</v>
      </c>
      <c r="C95" s="191">
        <v>150</v>
      </c>
      <c r="D95" s="179">
        <f t="shared" si="6"/>
        <v>7693.2692307692314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119</v>
      </c>
      <c r="B96" s="181">
        <f>'Données projet'!D99</f>
        <v>150.02564102564102</v>
      </c>
      <c r="C96" s="191">
        <v>200</v>
      </c>
      <c r="D96" s="179">
        <f t="shared" si="6"/>
        <v>30005.128205128203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123</v>
      </c>
      <c r="B97" s="181">
        <f>'Données projet'!D100</f>
        <v>77.17307692307692</v>
      </c>
      <c r="C97" s="191">
        <v>200</v>
      </c>
      <c r="D97" s="179">
        <f t="shared" si="6"/>
        <v>15434.615384615385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127</v>
      </c>
      <c r="B98" s="181">
        <f>'Données projet'!D101</f>
        <v>49.916666666666671</v>
      </c>
      <c r="C98" s="191">
        <v>200</v>
      </c>
      <c r="D98" s="179">
        <f t="shared" si="6"/>
        <v>9983.3333333333339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131</v>
      </c>
      <c r="B99" s="181">
        <f>'Données projet'!D102</f>
        <v>110.91025641025641</v>
      </c>
      <c r="C99" s="191">
        <v>200</v>
      </c>
      <c r="D99" s="179">
        <f t="shared" si="6"/>
        <v>22182.051282051281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19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15</v>
      </c>
      <c r="B116" s="181">
        <f>'Données projet'!D114</f>
        <v>15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28</v>
      </c>
      <c r="C117" s="191">
        <v>10</v>
      </c>
      <c r="D117" s="179">
        <f t="shared" ref="D117:D135" si="8">B117*C117</f>
        <v>280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25</v>
      </c>
      <c r="B118" s="181">
        <f>'Données projet'!D116</f>
        <v>28</v>
      </c>
      <c r="C118" s="191">
        <v>10</v>
      </c>
      <c r="D118" s="179">
        <f t="shared" si="8"/>
        <v>280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30</v>
      </c>
      <c r="B119" s="181">
        <f>'Données projet'!D117</f>
        <v>28</v>
      </c>
      <c r="C119" s="191">
        <v>50</v>
      </c>
      <c r="D119" s="179">
        <f t="shared" si="8"/>
        <v>1400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35</v>
      </c>
      <c r="B120" s="181">
        <f>'Données projet'!D118</f>
        <v>28</v>
      </c>
      <c r="C120" s="191">
        <v>50</v>
      </c>
      <c r="D120" s="179">
        <f t="shared" si="8"/>
        <v>1400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40</v>
      </c>
      <c r="B121" s="181">
        <f>'Données projet'!D119</f>
        <v>28</v>
      </c>
      <c r="C121" s="191">
        <v>50</v>
      </c>
      <c r="D121" s="179">
        <f t="shared" si="8"/>
        <v>1400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45</v>
      </c>
      <c r="B122" s="181">
        <f>'Données projet'!D120</f>
        <v>22</v>
      </c>
      <c r="C122" s="191">
        <v>100</v>
      </c>
      <c r="D122" s="179">
        <f t="shared" si="8"/>
        <v>2200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50</v>
      </c>
      <c r="B123" s="181">
        <f>'Données projet'!D121</f>
        <v>17</v>
      </c>
      <c r="C123" s="191">
        <v>100</v>
      </c>
      <c r="D123" s="179">
        <f t="shared" si="8"/>
        <v>1700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55</v>
      </c>
      <c r="B124" s="181">
        <f>'Données projet'!D122</f>
        <v>13</v>
      </c>
      <c r="C124" s="191">
        <v>150</v>
      </c>
      <c r="D124" s="179">
        <f t="shared" si="8"/>
        <v>1950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60</v>
      </c>
      <c r="B125" s="181">
        <f>'Données projet'!D123</f>
        <v>12</v>
      </c>
      <c r="C125" s="191">
        <v>150</v>
      </c>
      <c r="D125" s="179">
        <f t="shared" si="8"/>
        <v>1800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65</v>
      </c>
      <c r="B126" s="181">
        <f>'Données projet'!D124</f>
        <v>11</v>
      </c>
      <c r="C126" s="191">
        <v>150</v>
      </c>
      <c r="D126" s="179">
        <f t="shared" si="8"/>
        <v>1650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70</v>
      </c>
      <c r="B127" s="181">
        <f>'Données projet'!D125</f>
        <v>10</v>
      </c>
      <c r="C127" s="191">
        <v>200</v>
      </c>
      <c r="D127" s="179">
        <f t="shared" si="8"/>
        <v>2000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75</v>
      </c>
      <c r="B128" s="181">
        <f>'Données projet'!D126</f>
        <v>9</v>
      </c>
      <c r="C128" s="191">
        <v>200</v>
      </c>
      <c r="D128" s="179">
        <f t="shared" si="8"/>
        <v>1800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80</v>
      </c>
      <c r="B129" s="181">
        <f>'Données projet'!D127</f>
        <v>8</v>
      </c>
      <c r="C129" s="191">
        <v>200</v>
      </c>
      <c r="D129" s="179">
        <f t="shared" si="8"/>
        <v>1600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6028E1F0-0CEA-47FF-86D7-486039197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2024-11-21T08:40:57Z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