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projet_en_cours\Espalais (82)-GF d'Auvillar_ p2\Doc fin\"/>
    </mc:Choice>
  </mc:AlternateContent>
  <xr:revisionPtr revIDLastSave="0" documentId="13_ncr:1_{A20CD802-260A-4C9E-936C-5372D9DC6CE5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<sst xmlns="http://schemas.openxmlformats.org/spreadsheetml/2006/main" count="1170" uniqueCount="324">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</sst>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1.8656389120944388</c:v>
                </c:pt>
                <c:pt idx="2">
                  <c:v>2.6231896607675447</c:v>
                </c:pt>
                <c:pt idx="3">
                  <c:v>3.6896973704469929</c:v>
                </c:pt>
                <c:pt idx="4">
                  <c:v>5.1916844754014457</c:v>
                </c:pt>
                <c:pt idx="5">
                  <c:v>7.3076844265802725</c:v>
                </c:pt>
                <c:pt idx="6">
                  <c:v>10.289697920278332</c:v>
                </c:pt>
                <c:pt idx="7">
                  <c:v>14.493529140455585</c:v>
                </c:pt>
                <c:pt idx="8">
                  <c:v>20.421687973495889</c:v>
                </c:pt>
                <c:pt idx="9">
                  <c:v>28.784078215588455</c:v>
                </c:pt>
                <c:pt idx="10">
                  <c:v>40.583865847293545</c:v>
                </c:pt>
                <c:pt idx="11">
                  <c:v>57.239003068592702</c:v>
                </c:pt>
                <c:pt idx="12">
                  <c:v>80.754252624120184</c:v>
                </c:pt>
                <c:pt idx="13">
                  <c:v>113.96475176704102</c:v>
                </c:pt>
                <c:pt idx="14">
                  <c:v>160.88094068011046</c:v>
                </c:pt>
                <c:pt idx="15">
                  <c:v>227.17714173931088</c:v>
                </c:pt>
                <c:pt idx="16">
                  <c:v>320.88375466277176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K19" sqref="K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1</v>
      </c>
      <c r="D9" s="36">
        <f t="shared" ref="D9:D18" si="0">C9*$C$5</f>
        <v>6.6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16</v>
      </c>
      <c r="B36" s="63">
        <v>288</v>
      </c>
      <c r="C36" s="63">
        <v>1</v>
      </c>
      <c r="D36" s="63">
        <v>288</v>
      </c>
      <c r="E36" s="54">
        <v>0.7</v>
      </c>
      <c r="F36" s="54"/>
      <c r="G36" s="54">
        <v>0.3</v>
      </c>
      <c r="H36" s="54"/>
      <c r="I36" s="52">
        <f>IFERROR(B36/A36,"")</f>
        <v>18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112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54.687618269212805</v>
      </c>
      <c r="T3" s="62">
        <f>IF('Données projet'!E9&gt;30,$R$33-$H$33,LOOKUP('Données projet'!$E$9,$A$3:$A$203,R3:R203)-LOOKUP('Données projet'!$E$9,$A$3:$A$203,$H$3:$H$203))</f>
        <v>301.59504677428077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0.50856000000000001</v>
      </c>
      <c r="D4" s="12">
        <f>IFERROR(EXP(-1.0587+0.8836*LN(C4)+0.284),0)</f>
        <v>0.25355724911707345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5.8830103440616197</v>
      </c>
      <c r="H4" s="70">
        <f t="shared" ref="H4:H67" si="1">(B4+E4+F4)*44/12+(C4+D4)*0.475*44/12</f>
        <v>294.6606875422122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18</v>
      </c>
      <c r="N4" s="14">
        <f>IF('Données projet'!$A$36&gt;35,N3+M4-V3,IF(A4&lt;'Données projet'!$A$36,$K$205^A4,IF(A4='Données projet'!$A$36,'Données projet'!$B$36,N3+M4-V3)))</f>
        <v>1.4246626231544801</v>
      </c>
      <c r="O4" s="14">
        <f>N4*VLOOKUP('Données projet'!$B$9,Paramètres!$A$1:$I$89,3,0)*VLOOKUP('Données projet'!$B$9,Paramètres!$A$1:$I$89,5,0)</f>
        <v>0.72452642363144248</v>
      </c>
      <c r="P4" s="14">
        <f>EXP(-1.0587+0.8836*LN(O4)+0.284)</f>
        <v>0.34665381297780484</v>
      </c>
      <c r="Q4" s="22">
        <f t="shared" ref="Q4:Q34" si="2">(O4+P4)*0.475*44/12</f>
        <v>1.8656389120944388</v>
      </c>
      <c r="R4" s="62">
        <f t="shared" si="0"/>
        <v>295.19897224542774</v>
      </c>
      <c r="S4" s="62">
        <f ca="1">AVERAGE(OFFSET($R$3,0,0,'Données projet'!$E$9+1,1))-AVERAGE(OFFSET($H$3,0,0,'Données projet'!$E$9+1,1))</f>
        <v>54.687618269212805</v>
      </c>
      <c r="T4" s="62">
        <f>$T$3</f>
        <v>301.59504677428077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1.01712</v>
      </c>
      <c r="D5" s="12">
        <f t="shared" ref="D5:D68" si="32">IFERROR(EXP(-1.0587+0.8836*LN(C5)+0.284),0)</f>
        <v>0.46780637471120479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11.462589559174214</v>
      </c>
      <c r="H5" s="70">
        <f t="shared" si="1"/>
        <v>295.91958010262198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18</v>
      </c>
      <c r="N5" s="14">
        <f>IF('Données projet'!$A$36&gt;35,N4+M5-V4,IF(A5&lt;'Données projet'!$A$36,$K$205^A5,IF(A5='Données projet'!$A$36,'Données projet'!$B$36,N4+M5-V4)))</f>
        <v>2.0296635898134041</v>
      </c>
      <c r="O5" s="14">
        <f>N5*VLOOKUP('Données projet'!$B$9,Paramètres!$A$1:$I$89,3,0)*VLOOKUP('Données projet'!$B$9,Paramètres!$A$1:$I$89,5,0)</f>
        <v>1.0322057152355049</v>
      </c>
      <c r="P5" s="14">
        <f t="shared" ref="P5:P68" si="33">EXP(-1.0587+0.8836*LN(O5)+0.284)</f>
        <v>0.47393188903294209</v>
      </c>
      <c r="Q5" s="22">
        <f t="shared" si="2"/>
        <v>2.6231896607675447</v>
      </c>
      <c r="R5" s="62">
        <f t="shared" si="0"/>
        <v>295.95652299410085</v>
      </c>
      <c r="S5" s="62">
        <f ca="1">AVERAGE(OFFSET($R$3,0,0,'Données projet'!$E$9+1,1))-AVERAGE(OFFSET($H$3,0,0,'Données projet'!$E$9+1,1))</f>
        <v>54.687618269212805</v>
      </c>
      <c r="T5" s="62">
        <f t="shared" ref="T5:T68" si="34">$T$3</f>
        <v>301.59504677428077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1.5256799999999999</v>
      </c>
      <c r="D6" s="12">
        <f t="shared" si="32"/>
        <v>0.66936094955179459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16.944175750926135</v>
      </c>
      <c r="H6" s="70">
        <f t="shared" si="1"/>
        <v>297.15636298713605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18</v>
      </c>
      <c r="N6" s="14">
        <f>IF('Données projet'!$A$36&gt;35,N5+M6-V5,IF(A6&lt;'Données projet'!$A$36,$K$205^A6,IF(A6='Données projet'!$A$36,'Données projet'!$B$36,N5+M6-V5)))</f>
        <v>2.891585853984703</v>
      </c>
      <c r="O6" s="14">
        <f>N6*VLOOKUP('Données projet'!$B$9,Paramètres!$A$1:$I$89,3,0)*VLOOKUP('Données projet'!$B$9,Paramètres!$A$1:$I$89,5,0)</f>
        <v>1.4705449019024608</v>
      </c>
      <c r="P6" s="14">
        <f t="shared" si="33"/>
        <v>0.6479416265838509</v>
      </c>
      <c r="Q6" s="22">
        <f t="shared" si="2"/>
        <v>3.6896973704469929</v>
      </c>
      <c r="R6" s="62">
        <f t="shared" si="0"/>
        <v>297.02303070378031</v>
      </c>
      <c r="S6" s="62">
        <f ca="1">AVERAGE(OFFSET($R$3,0,0,'Données projet'!$E$9+1,1))-AVERAGE(OFFSET($H$3,0,0,'Données projet'!$E$9+1,1))</f>
        <v>54.687618269212805</v>
      </c>
      <c r="T6" s="62">
        <f t="shared" si="34"/>
        <v>301.59504677428077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2.03424</v>
      </c>
      <c r="D7" s="12">
        <f t="shared" si="32"/>
        <v>0.86309030793828811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22.365356763032398</v>
      </c>
      <c r="H7" s="70">
        <f t="shared" si="1"/>
        <v>298.3795169529925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18</v>
      </c>
      <c r="N7" s="14">
        <f>IF('Données projet'!$A$36&gt;35,N6+M7-V6,IF(A7&lt;'Données projet'!$A$36,$K$205^A7,IF(A7='Données projet'!$A$36,'Données projet'!$B$36,N6+M7-V6)))</f>
        <v>4.1195342878142345</v>
      </c>
      <c r="O7" s="14">
        <f>N7*VLOOKUP('Données projet'!$B$9,Paramètres!$A$1:$I$89,3,0)*VLOOKUP('Données projet'!$B$9,Paramètres!$A$1:$I$89,5,0)</f>
        <v>2.0950303574108071</v>
      </c>
      <c r="P7" s="14">
        <f t="shared" si="33"/>
        <v>0.88584111171920954</v>
      </c>
      <c r="Q7" s="22">
        <f t="shared" si="2"/>
        <v>5.1916844754014457</v>
      </c>
      <c r="R7" s="62">
        <f t="shared" si="0"/>
        <v>298.52501780873479</v>
      </c>
      <c r="S7" s="62">
        <f ca="1">AVERAGE(OFFSET($R$3,0,0,'Données projet'!$E$9+1,1))-AVERAGE(OFFSET($H$3,0,0,'Données projet'!$E$9+1,1))</f>
        <v>54.687618269212805</v>
      </c>
      <c r="T7" s="62">
        <f t="shared" si="34"/>
        <v>301.59504677428077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2.5428000000000002</v>
      </c>
      <c r="D8" s="12">
        <f t="shared" si="32"/>
        <v>1.0512013918025274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27.743168638475655</v>
      </c>
      <c r="H8" s="70">
        <f t="shared" si="1"/>
        <v>299.59288575738941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18</v>
      </c>
      <c r="N8" s="14">
        <f>IF('Données projet'!$A$36&gt;35,N7+M8-V7,IF(A8&lt;'Données projet'!$A$36,$K$205^A8,IF(A8='Données projet'!$A$36,'Données projet'!$B$36,N7+M8-V7)))</f>
        <v>5.8689465246522508</v>
      </c>
      <c r="O8" s="14">
        <f>N8*VLOOKUP('Données projet'!$B$9,Paramètres!$A$1:$I$89,3,0)*VLOOKUP('Données projet'!$B$9,Paramètres!$A$1:$I$89,5,0)</f>
        <v>2.9847114445771488</v>
      </c>
      <c r="P8" s="14">
        <f t="shared" si="33"/>
        <v>1.2110882261866445</v>
      </c>
      <c r="Q8" s="22">
        <f t="shared" si="2"/>
        <v>7.3076844265802725</v>
      </c>
      <c r="R8" s="62">
        <f t="shared" si="0"/>
        <v>300.64101775991361</v>
      </c>
      <c r="S8" s="62">
        <f ca="1">AVERAGE(OFFSET($R$3,0,0,'Données projet'!$E$9+1,1))-AVERAGE(OFFSET($H$3,0,0,'Données projet'!$E$9+1,1))</f>
        <v>54.687618269212805</v>
      </c>
      <c r="T8" s="62">
        <f t="shared" si="34"/>
        <v>301.59504677428077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3.0513600000000003</v>
      </c>
      <c r="D9" s="12">
        <f t="shared" si="32"/>
        <v>1.2349531329648338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33.087329447447836</v>
      </c>
      <c r="H9" s="70">
        <f t="shared" si="1"/>
        <v>300.79866203991372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18</v>
      </c>
      <c r="N9" s="14">
        <f>IF('Données projet'!$A$36&gt;35,N8+M9-V8,IF(A9&lt;'Données projet'!$A$36,$K$205^A9,IF(A9='Données projet'!$A$36,'Données projet'!$B$36,N8+M9-V8)))</f>
        <v>8.3612687509644434</v>
      </c>
      <c r="O9" s="14">
        <f>N9*VLOOKUP('Données projet'!$B$9,Paramètres!$A$1:$I$89,3,0)*VLOOKUP('Données projet'!$B$9,Paramètres!$A$1:$I$89,5,0)</f>
        <v>4.2522068359904779</v>
      </c>
      <c r="P9" s="14">
        <f t="shared" si="33"/>
        <v>1.6557536923989962</v>
      </c>
      <c r="Q9" s="22">
        <f t="shared" si="2"/>
        <v>10.289697920278332</v>
      </c>
      <c r="R9" s="62">
        <f t="shared" si="0"/>
        <v>303.62303125361166</v>
      </c>
      <c r="S9" s="62">
        <f ca="1">AVERAGE(OFFSET($R$3,0,0,'Données projet'!$E$9+1,1))-AVERAGE(OFFSET($H$3,0,0,'Données projet'!$E$9+1,1))</f>
        <v>54.687618269212805</v>
      </c>
      <c r="T9" s="62">
        <f t="shared" si="34"/>
        <v>301.59504677428077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3.5599200000000004</v>
      </c>
      <c r="D10" s="12">
        <f t="shared" si="32"/>
        <v>1.4151571160924612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38.404104054047075</v>
      </c>
      <c r="H10" s="70">
        <f t="shared" si="1"/>
        <v>301.99825931052766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18</v>
      </c>
      <c r="N10" s="14">
        <f>IF('Données projet'!$A$36&gt;35,N9+M10-V9,IF(A10&lt;'Données projet'!$A$36,$K$205^A10,IF(A10='Données projet'!$A$36,'Données projet'!$B$36,N9+M10-V9)))</f>
        <v>11.911987071648589</v>
      </c>
      <c r="O10" s="14">
        <f>N10*VLOOKUP('Données projet'!$B$9,Paramètres!$A$1:$I$89,3,0)*VLOOKUP('Données projet'!$B$9,Paramètres!$A$1:$I$89,5,0)</f>
        <v>6.0579601451576073</v>
      </c>
      <c r="P10" s="14">
        <f t="shared" si="33"/>
        <v>2.2636833804628251</v>
      </c>
      <c r="Q10" s="22">
        <f t="shared" si="2"/>
        <v>14.493529140455585</v>
      </c>
      <c r="R10" s="62">
        <f t="shared" si="0"/>
        <v>307.82686247378888</v>
      </c>
      <c r="S10" s="62">
        <f ca="1">AVERAGE(OFFSET($R$3,0,0,'Données projet'!$E$9+1,1))-AVERAGE(OFFSET($H$3,0,0,'Données projet'!$E$9+1,1))</f>
        <v>54.687618269212805</v>
      </c>
      <c r="T10" s="62">
        <f t="shared" si="34"/>
        <v>301.59504677428077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4.0684800000000001</v>
      </c>
      <c r="D11" s="12">
        <f t="shared" si="32"/>
        <v>1.5923786419474943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43.697856183454348</v>
      </c>
      <c r="H11" s="70">
        <f t="shared" si="1"/>
        <v>303.1926621347252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18</v>
      </c>
      <c r="N11" s="14">
        <f>IF('Données projet'!$A$36&gt;35,N10+M11-V10,IF(A11&lt;'Données projet'!$A$36,$K$205^A11,IF(A11='Données projet'!$A$36,'Données projet'!$B$36,N10+M11-V10)))</f>
        <v>16.970562748477132</v>
      </c>
      <c r="O11" s="14">
        <f>N11*VLOOKUP('Données projet'!$B$9,Paramètres!$A$1:$I$89,3,0)*VLOOKUP('Données projet'!$B$9,Paramètres!$A$1:$I$89,5,0)</f>
        <v>8.6305493913655322</v>
      </c>
      <c r="P11" s="14">
        <f t="shared" si="33"/>
        <v>3.0948216938952657</v>
      </c>
      <c r="Q11" s="22">
        <f t="shared" si="2"/>
        <v>20.421687973495889</v>
      </c>
      <c r="R11" s="62">
        <f t="shared" si="0"/>
        <v>313.75502130682918</v>
      </c>
      <c r="S11" s="62">
        <f ca="1">AVERAGE(OFFSET($R$3,0,0,'Données projet'!$E$9+1,1))-AVERAGE(OFFSET($H$3,0,0,'Données projet'!$E$9+1,1))</f>
        <v>54.687618269212805</v>
      </c>
      <c r="T11" s="62">
        <f t="shared" si="34"/>
        <v>301.59504677428077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4.5770400000000002</v>
      </c>
      <c r="D12" s="12">
        <f t="shared" si="32"/>
        <v>1.7670332137812694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48.971793229188755</v>
      </c>
      <c r="H12" s="70">
        <f t="shared" si="1"/>
        <v>304.382594180669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18</v>
      </c>
      <c r="N12" s="14">
        <f>IF('Données projet'!$A$36&gt;35,N11+M12-V11,IF(A12&lt;'Données projet'!$A$36,$K$205^A12,IF(A12='Données projet'!$A$36,'Données projet'!$B$36,N11+M12-V11)))</f>
        <v>24.177326441653136</v>
      </c>
      <c r="O12" s="14">
        <f>N12*VLOOKUP('Données projet'!$B$9,Paramètres!$A$1:$I$89,3,0)*VLOOKUP('Données projet'!$B$9,Paramètres!$A$1:$I$89,5,0)</f>
        <v>12.295621135167121</v>
      </c>
      <c r="P12" s="14">
        <f t="shared" si="33"/>
        <v>4.2311223378980225</v>
      </c>
      <c r="Q12" s="22">
        <f t="shared" si="2"/>
        <v>28.784078215588455</v>
      </c>
      <c r="R12" s="62">
        <f t="shared" si="0"/>
        <v>322.11741154892178</v>
      </c>
      <c r="S12" s="62">
        <f ca="1">AVERAGE(OFFSET($R$3,0,0,'Données projet'!$E$9+1,1))-AVERAGE(OFFSET($H$3,0,0,'Données projet'!$E$9+1,1))</f>
        <v>54.687618269212805</v>
      </c>
      <c r="T12" s="62">
        <f t="shared" si="34"/>
        <v>301.59504677428077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5.0856000000000003</v>
      </c>
      <c r="D13" s="12">
        <f t="shared" si="32"/>
        <v>1.939438583999846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54.228368016840911</v>
      </c>
      <c r="H13" s="70">
        <f t="shared" si="1"/>
        <v>305.56860886713304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18</v>
      </c>
      <c r="N13" s="14">
        <f>IF('Données projet'!$A$36&gt;35,N12+M13-V12,IF(A13&lt;'Données projet'!$A$36,$K$205^A13,IF(A13='Données projet'!$A$36,'Données projet'!$B$36,N12+M13-V12)))</f>
        <v>34.444533309227722</v>
      </c>
      <c r="O13" s="14">
        <f>N13*VLOOKUP('Données projet'!$B$9,Paramètres!$A$1:$I$89,3,0)*VLOOKUP('Données projet'!$B$9,Paramètres!$A$1:$I$89,5,0)</f>
        <v>17.517111859740851</v>
      </c>
      <c r="P13" s="14">
        <f t="shared" si="33"/>
        <v>5.7846292965999426</v>
      </c>
      <c r="Q13" s="22">
        <f t="shared" si="2"/>
        <v>40.583865847293545</v>
      </c>
      <c r="R13" s="62">
        <f t="shared" si="0"/>
        <v>333.91719918062688</v>
      </c>
      <c r="S13" s="62">
        <f ca="1">AVERAGE(OFFSET($R$3,0,0,'Données projet'!$E$9+1,1))-AVERAGE(OFFSET($H$3,0,0,'Données projet'!$E$9+1,1))</f>
        <v>54.687618269212805</v>
      </c>
      <c r="T13" s="62">
        <f t="shared" si="34"/>
        <v>301.59504677428077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5.5941600000000005</v>
      </c>
      <c r="D14" s="12">
        <f t="shared" si="32"/>
        <v>2.1098452770315745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59.469514419191114</v>
      </c>
      <c r="H14" s="70">
        <f t="shared" si="1"/>
        <v>306.7511425241633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18</v>
      </c>
      <c r="N14" s="14">
        <f>IF('Données projet'!$A$36&gt;35,N13+M14-V13,IF(A14&lt;'Données projet'!$A$36,$K$205^A14,IF(A14='Données projet'!$A$36,'Données projet'!$B$36,N13+M14-V13)))</f>
        <v>49.071839177656237</v>
      </c>
      <c r="O14" s="14">
        <f>N14*VLOOKUP('Données projet'!$B$9,Paramètres!$A$1:$I$89,3,0)*VLOOKUP('Données projet'!$B$9,Paramètres!$A$1:$I$89,5,0)</f>
        <v>24.955974532188858</v>
      </c>
      <c r="P14" s="14">
        <f t="shared" si="33"/>
        <v>7.9085248373380512</v>
      </c>
      <c r="Q14" s="22">
        <f t="shared" si="2"/>
        <v>57.239003068592702</v>
      </c>
      <c r="R14" s="62">
        <f t="shared" si="0"/>
        <v>350.57233640192601</v>
      </c>
      <c r="S14" s="62">
        <f ca="1">AVERAGE(OFFSET($R$3,0,0,'Données projet'!$E$9+1,1))-AVERAGE(OFFSET($H$3,0,0,'Données projet'!$E$9+1,1))</f>
        <v>54.687618269212805</v>
      </c>
      <c r="T14" s="62">
        <f t="shared" si="34"/>
        <v>301.59504677428077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6.1027200000000006</v>
      </c>
      <c r="D15" s="12">
        <f t="shared" si="32"/>
        <v>2.2784556548165451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64.696794528408418</v>
      </c>
      <c r="H15" s="70">
        <f t="shared" si="1"/>
        <v>307.93054759880545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18</v>
      </c>
      <c r="N15" s="14">
        <f>IF('Données projet'!$A$36&gt;35,N14+M15-V14,IF(A15&lt;'Données projet'!$A$36,$K$205^A15,IF(A15='Données projet'!$A$36,'Données projet'!$B$36,N14+M15-V14)))</f>
        <v>69.910815125854526</v>
      </c>
      <c r="O15" s="14">
        <f>N15*VLOOKUP('Données projet'!$B$9,Paramètres!$A$1:$I$89,3,0)*VLOOKUP('Données projet'!$B$9,Paramètres!$A$1:$I$89,5,0)</f>
        <v>35.553844140404578</v>
      </c>
      <c r="P15" s="14">
        <f t="shared" si="33"/>
        <v>10.812233921291218</v>
      </c>
      <c r="Q15" s="22">
        <f t="shared" si="2"/>
        <v>80.754252624120184</v>
      </c>
      <c r="R15" s="62">
        <f t="shared" si="0"/>
        <v>374.08758595745348</v>
      </c>
      <c r="S15" s="62">
        <f ca="1">AVERAGE(OFFSET($R$3,0,0,'Données projet'!$E$9+1,1))-AVERAGE(OFFSET($H$3,0,0,'Données projet'!$E$9+1,1))</f>
        <v>54.687618269212805</v>
      </c>
      <c r="T15" s="62">
        <f t="shared" si="34"/>
        <v>301.59504677428077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6.6112800000000007</v>
      </c>
      <c r="D16" s="12">
        <f t="shared" si="32"/>
        <v>2.4454364290495585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69.911495241786071</v>
      </c>
      <c r="H16" s="70">
        <f t="shared" si="1"/>
        <v>309.10711444726132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18</v>
      </c>
      <c r="N16" s="14">
        <f>IF('Données projet'!$A$36&gt;35,N15+M16-V15,IF(A16&lt;'Données projet'!$A$36,$K$205^A16,IF(A16='Données projet'!$A$36,'Données projet'!$B$36,N15+M16-V15)))</f>
        <v>99.599325264067815</v>
      </c>
      <c r="O16" s="14">
        <f>N16*VLOOKUP('Données projet'!$B$9,Paramètres!$A$1:$I$89,3,0)*VLOOKUP('Données projet'!$B$9,Paramètres!$A$1:$I$89,5,0)</f>
        <v>50.652232856294333</v>
      </c>
      <c r="P16" s="14">
        <f t="shared" si="33"/>
        <v>14.782074378370362</v>
      </c>
      <c r="Q16" s="22">
        <f t="shared" si="2"/>
        <v>113.96475176704102</v>
      </c>
      <c r="R16" s="62">
        <f t="shared" si="0"/>
        <v>407.29808510037435</v>
      </c>
      <c r="S16" s="62">
        <f ca="1">AVERAGE(OFFSET($R$3,0,0,'Données projet'!$E$9+1,1))-AVERAGE(OFFSET($H$3,0,0,'Données projet'!$E$9+1,1))</f>
        <v>54.687618269212805</v>
      </c>
      <c r="T16" s="62">
        <f t="shared" si="34"/>
        <v>301.59504677428077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7.1198400000000008</v>
      </c>
      <c r="D17" s="12">
        <f t="shared" si="32"/>
        <v>2.6109272065035998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75.114694225641827</v>
      </c>
      <c r="H17" s="70">
        <f t="shared" si="1"/>
        <v>310.28108621799373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</v>
      </c>
      <c r="N17" s="14">
        <f>IF('Données projet'!$A$36&gt;35,N16+M17-V16,IF(A17&lt;'Données projet'!$A$36,$K$205^A17,IF(A17='Données projet'!$A$36,'Données projet'!$B$36,N16+M17-V16)))</f>
        <v>141.89543599512311</v>
      </c>
      <c r="O17" s="14">
        <f>N17*VLOOKUP('Données projet'!$B$9,Paramètres!$A$1:$I$89,3,0)*VLOOKUP('Données projet'!$B$9,Paramètres!$A$1:$I$89,5,0)</f>
        <v>72.162342929679809</v>
      </c>
      <c r="P17" s="14">
        <f t="shared" si="33"/>
        <v>20.209489039761603</v>
      </c>
      <c r="Q17" s="22">
        <f t="shared" si="2"/>
        <v>160.88094068011046</v>
      </c>
      <c r="R17" s="62">
        <f t="shared" si="0"/>
        <v>454.21427401344374</v>
      </c>
      <c r="S17" s="62">
        <f ca="1">AVERAGE(OFFSET($R$3,0,0,'Données projet'!$E$9+1,1))-AVERAGE(OFFSET($H$3,0,0,'Données projet'!$E$9+1,1))</f>
        <v>54.687618269212805</v>
      </c>
      <c r="T17" s="62">
        <f t="shared" si="34"/>
        <v>301.59504677428077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7.628400000000001</v>
      </c>
      <c r="D18" s="12">
        <f t="shared" si="32"/>
        <v>2.7750465200157755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80.307306470297235</v>
      </c>
      <c r="H18" s="70">
        <f t="shared" si="1"/>
        <v>311.45266935569413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</v>
      </c>
      <c r="N18" s="14">
        <f>IF('Données projet'!$A$36&gt;35,N17+M18-V17,IF(A18&lt;'Données projet'!$A$36,$K$205^A18,IF(A18='Données projet'!$A$36,'Données projet'!$B$36,N17+M18-V17)))</f>
        <v>202.15312405846075</v>
      </c>
      <c r="O18" s="14">
        <f>N18*VLOOKUP('Données projet'!$B$9,Paramètres!$A$1:$I$89,3,0)*VLOOKUP('Données projet'!$B$9,Paramètres!$A$1:$I$89,5,0)</f>
        <v>102.80699277117081</v>
      </c>
      <c r="P18" s="14">
        <f t="shared" si="33"/>
        <v>27.629643634175174</v>
      </c>
      <c r="Q18" s="22">
        <f t="shared" si="2"/>
        <v>227.17714173931088</v>
      </c>
      <c r="R18" s="62">
        <f t="shared" si="0"/>
        <v>520.51047507264423</v>
      </c>
      <c r="S18" s="62">
        <f ca="1">AVERAGE(OFFSET($R$3,0,0,'Données projet'!$E$9+1,1))-AVERAGE(OFFSET($H$3,0,0,'Données projet'!$E$9+1,1))</f>
        <v>54.687618269212805</v>
      </c>
      <c r="T18" s="62">
        <f t="shared" si="34"/>
        <v>301.59504677428077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8.1369600000000002</v>
      </c>
      <c r="D19" s="12">
        <f t="shared" si="32"/>
        <v>2.9378962039182688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85.490118065334016</v>
      </c>
      <c r="H19" s="70">
        <f t="shared" si="1"/>
        <v>312.6220412218243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288</v>
      </c>
      <c r="L19" s="13">
        <f>VLOOKUP(A19,'Données projet'!$A$35:$I$55,9,0)</f>
        <v>18</v>
      </c>
      <c r="M19" s="13">
        <f t="array" ref="M19">INDEX(L:L,MIN(IF(ISNUMBER(L19:L215),ROW(L19:L215),"")))</f>
        <v>18</v>
      </c>
      <c r="N19" s="14">
        <f>IF('Données projet'!$A$36&gt;35,N18+M19-V18,IF(A19&lt;'Données projet'!$A$36,$K$205^A19,IF(A19='Données projet'!$A$36,'Données projet'!$B$36,N18+M19-V18)))</f>
        <v>288</v>
      </c>
      <c r="O19" s="14">
        <f>N19*VLOOKUP('Données projet'!$B$9,Paramètres!$A$1:$I$89,3,0)*VLOOKUP('Données projet'!$B$9,Paramètres!$A$1:$I$89,5,0)</f>
        <v>146.46528000000001</v>
      </c>
      <c r="P19" s="14">
        <f t="shared" si="33"/>
        <v>37.774196361400087</v>
      </c>
      <c r="Q19" s="22">
        <f t="shared" si="2"/>
        <v>320.88375466277176</v>
      </c>
      <c r="R19" s="62">
        <f t="shared" si="0"/>
        <v>614.21708799610508</v>
      </c>
      <c r="S19" s="62">
        <f ca="1">AVERAGE(OFFSET($R$3,0,0,'Données projet'!$E$9+1,1))-AVERAGE(OFFSET($H$3,0,0,'Données projet'!$E$9+1,1))</f>
        <v>54.687618269212805</v>
      </c>
      <c r="T19" s="62">
        <f t="shared" si="34"/>
        <v>301.59504677428077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288</v>
      </c>
      <c r="W19" s="17">
        <f>IF(ISNA(VLOOKUP(A19,'Données projet'!$A$35:$I$55,5,0)),0%,VLOOKUP(A19,'Données projet'!$A$35:$I$55,5,0)*VLOOKUP('Données projet'!$B$9,Paramètres!$A$1:$I$89,7,0))</f>
        <v>0.42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0.3</v>
      </c>
      <c r="Z19" s="23">
        <f>EXP(-LN(2)/35)*Z18+(1-EXP(-LN(2)/35))/(LN(2)/35)*V19*W19*VLOOKUP('Données projet'!$B$9,Paramètres!$A$1:$I$89,3,0)*0.475*44/12</f>
        <v>68.003472041399917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41.458180120564279</v>
      </c>
      <c r="AC19" s="24">
        <f t="shared" si="3"/>
        <v>109.4616521619642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8.6455199999999994</v>
      </c>
      <c r="D20" s="12">
        <f t="shared" si="32"/>
        <v>3.0995646437898636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90.663811285395425</v>
      </c>
      <c r="H20" s="70">
        <f t="shared" si="1"/>
        <v>313.78935575460065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54.687618269212805</v>
      </c>
      <c r="T20" s="62">
        <f t="shared" si="34"/>
        <v>301.59504677428077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66.66996543269039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29.315360298904324</v>
      </c>
      <c r="AC20" s="24">
        <f t="shared" si="3"/>
        <v>95.985325731594713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9.1540799999999987</v>
      </c>
      <c r="D21" s="12">
        <f t="shared" si="32"/>
        <v>3.2601292394982173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95.828983603144138</v>
      </c>
      <c r="H21" s="70">
        <f t="shared" si="1"/>
        <v>314.95474775879268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54.687618269212805</v>
      </c>
      <c r="T21" s="62">
        <f t="shared" si="34"/>
        <v>301.59504677428077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65.362608075218944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20.729090060282143</v>
      </c>
      <c r="AC21" s="24">
        <f t="shared" si="3"/>
        <v>86.09169813550109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9.6626399999999979</v>
      </c>
      <c r="D22" s="12">
        <f t="shared" si="32"/>
        <v>3.4196583052075891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100.98616235598838</v>
      </c>
      <c r="H22" s="70">
        <f t="shared" si="1"/>
        <v>316.1183362149032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54.687618269212805</v>
      </c>
      <c r="T22" s="62">
        <f t="shared" si="34"/>
        <v>301.59504677428077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64.080887198118262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14.657680149452164</v>
      </c>
      <c r="AC22" s="24">
        <f t="shared" si="3"/>
        <v>78.738567347570424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10.171199999999997</v>
      </c>
      <c r="D23" s="12">
        <f t="shared" si="32"/>
        <v>3.5782125579737869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106.13581623699061</v>
      </c>
      <c r="H23" s="70">
        <f t="shared" si="1"/>
        <v>317.2802268718043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54.687618269212805</v>
      </c>
      <c r="T23" s="62">
        <f t="shared" si="34"/>
        <v>301.59504677428077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62.824300085644985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10.364545030141073</v>
      </c>
      <c r="AC23" s="24">
        <f t="shared" si="3"/>
        <v>73.188845115786052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10.679759999999996</v>
      </c>
      <c r="D24" s="12">
        <f t="shared" si="32"/>
        <v>3.7358463001594564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111.2783644222835</v>
      </c>
      <c r="H24" s="70">
        <f t="shared" si="1"/>
        <v>318.44051430611103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54.687618269212805</v>
      </c>
      <c r="T24" s="62">
        <f t="shared" si="34"/>
        <v>301.59504677428077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61.59235388000485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7.3288400747260827</v>
      </c>
      <c r="AC24" s="24">
        <f t="shared" si="3"/>
        <v>68.921193954730938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11.188319999999996</v>
      </c>
      <c r="D25" s="12">
        <f t="shared" si="32"/>
        <v>3.8926083702461098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116.4141839106717</v>
      </c>
      <c r="H25" s="70">
        <f t="shared" si="1"/>
        <v>319.59928357817864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54.687618269212805</v>
      </c>
      <c r="T25" s="62">
        <f t="shared" si="34"/>
        <v>301.59504677428077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60.384565388044329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5.1822725150705375</v>
      </c>
      <c r="AC25" s="24">
        <f t="shared" si="3"/>
        <v>65.566837903114873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11.696879999999995</v>
      </c>
      <c r="D26" s="12">
        <f t="shared" si="32"/>
        <v>4.0485429158844513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121.54361549103784</v>
      </c>
      <c r="H26" s="70">
        <f t="shared" si="1"/>
        <v>320.75661157849873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54.687618269212805</v>
      </c>
      <c r="T26" s="62">
        <f t="shared" si="34"/>
        <v>301.59504677428077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59.200460891732909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3.6644200373630422</v>
      </c>
      <c r="AC26" s="24">
        <f t="shared" si="3"/>
        <v>62.864880929095953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12.205439999999994</v>
      </c>
      <c r="D27" s="12">
        <f t="shared" si="32"/>
        <v>4.2036900287076042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126.66696864265514</v>
      </c>
      <c r="H27" s="70">
        <f t="shared" si="1"/>
        <v>321.9125681333324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54.687618269212805</v>
      </c>
      <c r="T27" s="62">
        <f t="shared" si="34"/>
        <v>301.59504677428077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58.039575962361731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2.5911362575352692</v>
      </c>
      <c r="AC27" s="24">
        <f t="shared" si="3"/>
        <v>60.630712219896999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12.713999999999993</v>
      </c>
      <c r="D28" s="12">
        <f t="shared" si="32"/>
        <v>4.3580862703607961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131.78452559576752</v>
      </c>
      <c r="H28" s="70">
        <f t="shared" si="1"/>
        <v>323.06721692087837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54.687618269212805</v>
      </c>
      <c r="T28" s="62">
        <f t="shared" si="34"/>
        <v>301.59504677428077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56.901455278385633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1.8322100186815213</v>
      </c>
      <c r="AC28" s="24">
        <f t="shared" si="3"/>
        <v>58.733665297067155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13.222559999999993</v>
      </c>
      <c r="D29" s="12">
        <f t="shared" si="32"/>
        <v>4.511765111997172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136.89654472418866</v>
      </c>
      <c r="H29" s="70">
        <f t="shared" si="1"/>
        <v>324.2206162367284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54.687618269212805</v>
      </c>
      <c r="T29" s="62">
        <f t="shared" si="34"/>
        <v>301.59504677428077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55.785652446837233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1.2955681287676348</v>
      </c>
      <c r="AC29" s="24">
        <f t="shared" si="3"/>
        <v>57.081220575604867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13.731119999999992</v>
      </c>
      <c r="D30" s="12">
        <f t="shared" si="32"/>
        <v>4.6647573042570354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142.00326340128231</v>
      </c>
      <c r="H30" s="70">
        <f t="shared" si="1"/>
        <v>325.37281963824762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54.687618269212805</v>
      </c>
      <c r="T30" s="62">
        <f t="shared" si="34"/>
        <v>301.59504677428077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54.69172982824297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0.91610500934076089</v>
      </c>
      <c r="AC30" s="24">
        <f t="shared" si="3"/>
        <v>55.607834837583731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14.239679999999991</v>
      </c>
      <c r="D31" s="12">
        <f t="shared" si="32"/>
        <v>4.8170911908945184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147.10490042094008</v>
      </c>
      <c r="H31" s="70">
        <f t="shared" si="1"/>
        <v>326.52387649080794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54.687618269212805</v>
      </c>
      <c r="T31" s="62">
        <f t="shared" si="34"/>
        <v>301.59504677428077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53.619258364972424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0.64778406438381753</v>
      </c>
      <c r="AC31" s="24">
        <f t="shared" si="3"/>
        <v>54.267042429356245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14.74823999999999</v>
      </c>
      <c r="D32" s="12">
        <f t="shared" si="32"/>
        <v>4.9687929763413852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152.20165806298607</v>
      </c>
      <c r="H32" s="70">
        <f t="shared" si="1"/>
        <v>327.67383243379453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54.687618269212805</v>
      </c>
      <c r="T32" s="62">
        <f t="shared" si="34"/>
        <v>301.59504677428077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52.567817412953616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0.4580525046703805</v>
      </c>
      <c r="AC32" s="24">
        <f t="shared" si="3"/>
        <v>53.025869917623993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15.256799999999989</v>
      </c>
      <c r="D33" s="12">
        <f t="shared" si="32"/>
        <v>5.1198869553286599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157.29372386569489</v>
      </c>
      <c r="H33" s="70">
        <f t="shared" si="1"/>
        <v>328.82272978053072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54.687618269212805</v>
      </c>
      <c r="T33" s="62">
        <f t="shared" si="34"/>
        <v>301.59504677428077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51.536994576688237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0.32389203219190882</v>
      </c>
      <c r="AC33" s="24">
        <f t="shared" si="3"/>
        <v>51.860886608880143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15.765359999999989</v>
      </c>
      <c r="D34" s="12">
        <f t="shared" si="32"/>
        <v>5.2703957110319708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162.38127215533444</v>
      </c>
      <c r="H34" s="70">
        <f t="shared" si="1"/>
        <v>329.97060786338062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54.687618269212805</v>
      </c>
      <c r="T34" s="62">
        <f t="shared" si="34"/>
        <v>301.59504677428077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50.52638554750218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0.22902625233519028</v>
      </c>
      <c r="AC34" s="24">
        <f t="shared" si="3"/>
        <v>50.755411799837368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16.27391999999999</v>
      </c>
      <c r="D35" s="12">
        <f t="shared" si="32"/>
        <v>5.4203402869315624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167.46446537280497</v>
      </c>
      <c r="H35" s="70">
        <f t="shared" si="1"/>
        <v>331.11750333307242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54.687618269212805</v>
      </c>
      <c r="T35" s="62">
        <f t="shared" si="34"/>
        <v>301.59504677428077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49.535593944967815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0.16194601609595441</v>
      </c>
      <c r="AC35" s="24">
        <f t="shared" si="3"/>
        <v>49.697539961063768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16.782479999999989</v>
      </c>
      <c r="D36" s="12">
        <f t="shared" si="32"/>
        <v>5.5697403365862934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172.54345522978883</v>
      </c>
      <c r="H36" s="70">
        <f t="shared" si="1"/>
        <v>332.26345041955443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54.687618269212805</v>
      </c>
      <c r="T36" s="62">
        <f t="shared" si="34"/>
        <v>301.59504677428077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48.564231161435941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0.11451312616759514</v>
      </c>
      <c r="AC36" s="24">
        <f t="shared" si="3"/>
        <v>48.678744287603536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17.291039999999988</v>
      </c>
      <c r="D37" s="12">
        <f t="shared" si="32"/>
        <v>5.7186142547431738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177.61838372082443</v>
      </c>
      <c r="H37" s="70">
        <f t="shared" si="1"/>
        <v>333.40848116034431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54.687618269212805</v>
      </c>
      <c r="T37" s="62">
        <f t="shared" si="34"/>
        <v>301.59504677428077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47.611916209616332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8.0973008047977205E-2</v>
      </c>
      <c r="AC37" s="24">
        <f t="shared" si="3"/>
        <v>47.692889217664309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17.799599999999987</v>
      </c>
      <c r="D38" s="12">
        <f t="shared" si="32"/>
        <v>5.8669792925887796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182.68938401296592</v>
      </c>
      <c r="H38" s="70">
        <f t="shared" si="1"/>
        <v>334.55262560125874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54.687618269212805</v>
      </c>
      <c r="T38" s="62">
        <f t="shared" si="34"/>
        <v>301.59504677428077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46.67827557314714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5.7256563083797569E-2</v>
      </c>
      <c r="AC38" s="24">
        <f t="shared" si="3"/>
        <v>46.735532136230937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18.308159999999987</v>
      </c>
      <c r="D39" s="12">
        <f t="shared" si="32"/>
        <v>6.0148516594588788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187.75658123091054</v>
      </c>
      <c r="H39" s="70">
        <f t="shared" si="1"/>
        <v>335.69591197355749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54.687618269212805</v>
      </c>
      <c r="T39" s="62">
        <f t="shared" si="34"/>
        <v>301.59504677428077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45.76294306009455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4.0486504023988602E-2</v>
      </c>
      <c r="AC39" s="24">
        <f t="shared" si="3"/>
        <v>45.803429564118538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18.816719999999986</v>
      </c>
      <c r="D40" s="12">
        <f t="shared" si="32"/>
        <v>6.1622466129292643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192.82009315243633</v>
      </c>
      <c r="H40" s="70">
        <f t="shared" si="1"/>
        <v>336.83836685085174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54.687618269212805</v>
      </c>
      <c r="T40" s="62">
        <f t="shared" si="34"/>
        <v>301.59504677428077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44.865559659325221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2.8628281541898785E-2</v>
      </c>
      <c r="AC40" s="24">
        <f t="shared" si="3"/>
        <v>44.89418794086712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19.325279999999985</v>
      </c>
      <c r="D41" s="12">
        <f t="shared" si="32"/>
        <v>6.3091785388931516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197.8800308265435</v>
      </c>
      <c r="H41" s="70">
        <f t="shared" si="1"/>
        <v>337.98001528857219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54.687618269212805</v>
      </c>
      <c r="T41" s="62">
        <f t="shared" si="34"/>
        <v>301.59504677428077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43.985773399695148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2.0243252011994301E-2</v>
      </c>
      <c r="AC41" s="24">
        <f t="shared" si="3"/>
        <v>44.006016651707142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19.833839999999984</v>
      </c>
      <c r="D42" s="12">
        <f t="shared" si="32"/>
        <v>6.4556610229722713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202.93649912469814</v>
      </c>
      <c r="H42" s="70">
        <f t="shared" si="1"/>
        <v>339.12088094834331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54.687618269212805</v>
      </c>
      <c r="T42" s="62">
        <f t="shared" si="34"/>
        <v>301.59504677428077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43.123239211999788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1.4314140770949392E-2</v>
      </c>
      <c r="AC42" s="24">
        <f t="shared" si="3"/>
        <v>43.137553352770738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20.342399999999984</v>
      </c>
      <c r="D43" s="12">
        <f t="shared" si="32"/>
        <v>6.601706914397619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207.9895972339464</v>
      </c>
      <c r="H43" s="70">
        <f t="shared" si="1"/>
        <v>340.26098620924245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54.687618269212805</v>
      </c>
      <c r="T43" s="62">
        <f t="shared" si="34"/>
        <v>301.59504677428077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42.277618793631227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1.0121626005997151E-2</v>
      </c>
      <c r="AC43" s="24">
        <f t="shared" si="3"/>
        <v>42.287740419637224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20.850959999999983</v>
      </c>
      <c r="D44" s="12">
        <f t="shared" si="32"/>
        <v>6.7473283833223689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213.03941909933044</v>
      </c>
      <c r="H44" s="70">
        <f t="shared" si="1"/>
        <v>341.40035226761972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54.687618269212805</v>
      </c>
      <c r="T44" s="62">
        <f t="shared" si="34"/>
        <v>301.59504677428077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41.448580475889351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7.1570703854746962E-3</v>
      </c>
      <c r="AC44" s="24">
        <f t="shared" si="3"/>
        <v>41.455737546274825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21.359519999999982</v>
      </c>
      <c r="D45" s="12">
        <f t="shared" si="32"/>
        <v>6.8925369723857894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218.08605382192528</v>
      </c>
      <c r="H45" s="70">
        <f t="shared" si="1"/>
        <v>342.53899922690522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54.687618269212805</v>
      </c>
      <c r="T45" s="62">
        <f t="shared" si="34"/>
        <v>301.59504677428077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40.635799093894946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5.0608130029985753E-3</v>
      </c>
      <c r="AC45" s="24">
        <f t="shared" si="3"/>
        <v>40.640859906897944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21.868079999999981</v>
      </c>
      <c r="D46" s="12">
        <f t="shared" si="32"/>
        <v>7.0373436432280112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223.12958601790027</v>
      </c>
      <c r="H46" s="70">
        <f t="shared" si="1"/>
        <v>343.67694617862207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54.687618269212805</v>
      </c>
      <c r="T46" s="62">
        <f t="shared" si="34"/>
        <v>301.59504677428077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39.838955859053762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3.5785351927373481E-3</v>
      </c>
      <c r="AC46" s="24">
        <f t="shared" si="3"/>
        <v>39.842534394246499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22.376639999999981</v>
      </c>
      <c r="D47" s="12">
        <f t="shared" si="32"/>
        <v>7.1817588185559256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228.17009614323862</v>
      </c>
      <c r="H47" s="70">
        <f t="shared" si="1"/>
        <v>344.81421127565153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54.687618269212805</v>
      </c>
      <c r="T47" s="62">
        <f t="shared" si="34"/>
        <v>301.59504677428077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39.057738234021429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2.5304065014992876E-3</v>
      </c>
      <c r="AC47" s="24">
        <f t="shared" si="3"/>
        <v>39.060268640522928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22.88519999999998</v>
      </c>
      <c r="D48" s="12">
        <f t="shared" si="32"/>
        <v>7.3257924202770681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233.20766078810354</v>
      </c>
      <c r="H48" s="70">
        <f t="shared" si="1"/>
        <v>345.95081179864917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54.687618269212805</v>
      </c>
      <c r="T48" s="62">
        <f t="shared" si="34"/>
        <v>301.59504677428077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38.29183981012028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1.789267596368674E-3</v>
      </c>
      <c r="AC48" s="24">
        <f t="shared" si="3"/>
        <v>38.293629077716652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23.393759999999979</v>
      </c>
      <c r="D49" s="12">
        <f t="shared" si="32"/>
        <v>7.4694539041483274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238.24235294430272</v>
      </c>
      <c r="H49" s="70">
        <f t="shared" si="1"/>
        <v>347.0867642163916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54.687618269212805</v>
      </c>
      <c r="T49" s="62">
        <f t="shared" si="34"/>
        <v>301.59504677428077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37.540960187159918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1.2652032507496438E-3</v>
      </c>
      <c r="AC49" s="24">
        <f t="shared" si="3"/>
        <v>37.542225390410671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23.902319999999978</v>
      </c>
      <c r="D50" s="12">
        <f t="shared" si="32"/>
        <v>7.612752291326645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243.27424224883714</v>
      </c>
      <c r="H50" s="70">
        <f t="shared" si="1"/>
        <v>348.22208424072721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54.687618269212805</v>
      </c>
      <c r="T50" s="62">
        <f t="shared" si="34"/>
        <v>301.59504677428077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36.804804855614464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8.9463379818433702E-4</v>
      </c>
      <c r="AC50" s="24">
        <f t="shared" si="3"/>
        <v>36.805699489412646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24.410879999999977</v>
      </c>
      <c r="D51" s="12">
        <f t="shared" si="32"/>
        <v>7.7556961971588443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248.30339520613825</v>
      </c>
      <c r="H51" s="70">
        <f t="shared" si="1"/>
        <v>349.35678687671827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54.687618269212805</v>
      </c>
      <c r="T51" s="62">
        <f t="shared" si="34"/>
        <v>301.59504677428077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36.083085081110198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6.3260162537482191E-4</v>
      </c>
      <c r="AC51" s="24">
        <f t="shared" si="3"/>
        <v>36.083717682735575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24.919439999999977</v>
      </c>
      <c r="D52" s="12">
        <f t="shared" si="32"/>
        <v>7.8982938575045374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253.32987539126293</v>
      </c>
      <c r="H52" s="70">
        <f t="shared" si="1"/>
        <v>350.49088646848702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54.687618269212805</v>
      </c>
      <c r="T52" s="62">
        <f t="shared" si="34"/>
        <v>301.59504677428077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35.375517791178368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4.4731689909216851E-4</v>
      </c>
      <c r="AC52" s="24">
        <f t="shared" si="3"/>
        <v>35.375965108077459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25.427999999999976</v>
      </c>
      <c r="D53" s="12">
        <f t="shared" si="32"/>
        <v>8.0405531528496077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258.35374363603188</v>
      </c>
      <c r="H53" s="70">
        <f t="shared" si="1"/>
        <v>351.62439674121299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54.687618269212805</v>
      </c>
      <c r="T53" s="62">
        <f t="shared" si="34"/>
        <v>301.59504677428077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34.681825464228666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3.1630081268741096E-4</v>
      </c>
      <c r="AC53" s="24">
        <f t="shared" si="3"/>
        <v>34.682141765041351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25.936559999999975</v>
      </c>
      <c r="D54" s="12">
        <f t="shared" si="32"/>
        <v>8.1824816304360528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263.37505819985705</v>
      </c>
      <c r="H54" s="70">
        <f t="shared" si="1"/>
        <v>352.75733083967606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54.687618269212805</v>
      </c>
      <c r="T54" s="62">
        <f t="shared" si="34"/>
        <v>301.59504677428077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34.001736020699909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2.2365844954608426E-4</v>
      </c>
      <c r="AC54" s="24">
        <f t="shared" si="3"/>
        <v>34.001959679149458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26.445119999999974</v>
      </c>
      <c r="D55" s="12">
        <f t="shared" si="32"/>
        <v>8.3240865246071483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268.3938749267918</v>
      </c>
      <c r="H55" s="70">
        <f t="shared" si="1"/>
        <v>353.88970136369073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54.687618269212805</v>
      </c>
      <c r="T55" s="62">
        <f t="shared" si="34"/>
        <v>301.59504677428077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33.334982716345152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1.5815040634370548E-4</v>
      </c>
      <c r="AC55" s="24">
        <f t="shared" si="3"/>
        <v>33.335140866751495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26.953679999999974</v>
      </c>
      <c r="D56" s="12">
        <f t="shared" si="32"/>
        <v>8.4653747755433564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273.41024739015904</v>
      </c>
      <c r="H56" s="70">
        <f t="shared" si="1"/>
        <v>355.02152040073793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54.687618269212805</v>
      </c>
      <c r="T56" s="62">
        <f t="shared" si="34"/>
        <v>301.59504677428077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32.681304037609429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1.1182922477304213E-4</v>
      </c>
      <c r="AC56" s="24">
        <f t="shared" si="3"/>
        <v>32.6814158668342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27.462239999999973</v>
      </c>
      <c r="D57" s="12">
        <f t="shared" si="32"/>
        <v>8.6063530465442142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278.42422702595513</v>
      </c>
      <c r="H57" s="70">
        <f t="shared" si="1"/>
        <v>356.15279955606445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54.687618269212805</v>
      </c>
      <c r="T57" s="62">
        <f t="shared" si="34"/>
        <v>301.59504677428077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32.040443599059088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7.9075203171852739E-5</v>
      </c>
      <c r="AC57" s="24">
        <f t="shared" si="3"/>
        <v>32.040522674262263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27.970799999999972</v>
      </c>
      <c r="D58" s="12">
        <f t="shared" si="32"/>
        <v>8.7470277399938681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283.43586325609277</v>
      </c>
      <c r="H58" s="70">
        <f t="shared" si="1"/>
        <v>357.28354998048923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54.687618269212805</v>
      </c>
      <c r="T58" s="62">
        <f t="shared" si="34"/>
        <v>301.59504677428077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31.41215004282245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5.5914612386521064E-5</v>
      </c>
      <c r="AC58" s="24">
        <f t="shared" si="3"/>
        <v>31.412205957434836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28.479359999999971</v>
      </c>
      <c r="D59" s="12">
        <f t="shared" si="32"/>
        <v>8.8874050121326427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288.44520360242723</v>
      </c>
      <c r="H59" s="70">
        <f t="shared" si="1"/>
        <v>358.41378239613096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54.687618269212805</v>
      </c>
      <c r="T59" s="62">
        <f t="shared" si="34"/>
        <v>301.59504677428077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30.796176940002383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3.9537601585926369E-5</v>
      </c>
      <c r="AC59" s="24">
        <f t="shared" si="3"/>
        <v>30.79621647760397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28.987919999999971</v>
      </c>
      <c r="D60" s="12">
        <f t="shared" si="32"/>
        <v>9.0274907867435932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293.45229379240646</v>
      </c>
      <c r="H60" s="70">
        <f t="shared" si="1"/>
        <v>359.54350712024501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54.687618269212805</v>
      </c>
      <c r="T60" s="62">
        <f t="shared" si="34"/>
        <v>301.59504677428077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30.192282694022122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2.7957306193260532E-5</v>
      </c>
      <c r="AC60" s="24">
        <f t="shared" si="3"/>
        <v>30.192310651328317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29.49647999999997</v>
      </c>
      <c r="D61" s="12">
        <f t="shared" si="32"/>
        <v>9.1672907678514566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298.45717785709877</v>
      </c>
      <c r="H61" s="70">
        <f t="shared" si="1"/>
        <v>360.67273408734121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54.687618269212805</v>
      </c>
      <c r="T61" s="62">
        <f t="shared" si="34"/>
        <v>301.59504677428077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29.600230445866416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1.9768800792963185E-5</v>
      </c>
      <c r="AC61" s="24">
        <f t="shared" si="3"/>
        <v>29.600250214667209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30.005039999999969</v>
      </c>
      <c r="D62" s="12">
        <f t="shared" si="32"/>
        <v>9.3068104515209722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303.45989822226693</v>
      </c>
      <c r="H62" s="70">
        <f t="shared" si="1"/>
        <v>361.80147286973227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54.687618269212805</v>
      </c>
      <c r="T62" s="62">
        <f t="shared" si="34"/>
        <v>301.59504677428077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29.019787981180826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1.3978653096630266E-5</v>
      </c>
      <c r="AC62" s="24">
        <f t="shared" si="3"/>
        <v>29.019801959833924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30.513599999999968</v>
      </c>
      <c r="D63" s="12">
        <f t="shared" si="32"/>
        <v>9.4460551368326477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308.46049579309391</v>
      </c>
      <c r="H63" s="70">
        <f t="shared" si="1"/>
        <v>362.92973269665015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54.687618269212805</v>
      </c>
      <c r="T63" s="62">
        <f t="shared" si="34"/>
        <v>301.59504677428077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28.450727639192777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9.8844003964815924E-6</v>
      </c>
      <c r="AC63" s="24">
        <f t="shared" si="3"/>
        <v>28.450737523593173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31.022159999999968</v>
      </c>
      <c r="D64" s="12">
        <f t="shared" si="32"/>
        <v>9.5850299361061282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313.45901003309967</v>
      </c>
      <c r="H64" s="70">
        <f t="shared" si="1"/>
        <v>364.05752247205146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54.687618269212805</v>
      </c>
      <c r="T64" s="62">
        <f t="shared" si="34"/>
        <v>301.59504677428077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27.892826223418577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6.989326548315133E-6</v>
      </c>
      <c r="AC64" s="24">
        <f t="shared" si="3"/>
        <v>27.892833212745124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31.530719999999967</v>
      </c>
      <c r="D65" s="12">
        <f t="shared" si="32"/>
        <v>9.7237397844340734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318.45547903773644</v>
      </c>
      <c r="H65" s="70">
        <f t="shared" si="1"/>
        <v>365.18485079122257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54.687618269212805</v>
      </c>
      <c r="T65" s="62">
        <f t="shared" si="34"/>
        <v>301.59504677428077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27.345864914121446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4.9422001982407962E-6</v>
      </c>
      <c r="AC65" s="24">
        <f t="shared" si="3"/>
        <v>27.345869856321645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32.03927999999997</v>
      </c>
      <c r="D66" s="12">
        <f t="shared" si="32"/>
        <v>9.8621894485836226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323.44993960310143</v>
      </c>
      <c r="H66" s="70">
        <f t="shared" si="1"/>
        <v>366.31172595628306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54.687618269212805</v>
      </c>
      <c r="T66" s="62">
        <f t="shared" si="34"/>
        <v>301.59504677428077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26.809629182486177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3.4946632741575665E-6</v>
      </c>
      <c r="AC66" s="24">
        <f t="shared" si="3"/>
        <v>26.809632677149452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32.547839999999972</v>
      </c>
      <c r="D67" s="12">
        <f t="shared" si="32"/>
        <v>10.000383535316574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328.44242729016281</v>
      </c>
      <c r="H67" s="70">
        <f t="shared" si="1"/>
        <v>367.43815599067631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54.687618269212805</v>
      </c>
      <c r="T67" s="62">
        <f t="shared" si="34"/>
        <v>301.59504677428077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26.283908706476772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2.4711000991203981E-6</v>
      </c>
      <c r="AC67" s="24">
        <f t="shared" si="3"/>
        <v>26.283911177576872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33.056399999999975</v>
      </c>
      <c r="D68" s="12">
        <f t="shared" si="32"/>
        <v>10.138326499174815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333.43297648485805</v>
      </c>
      <c r="H68" s="70">
        <f t="shared" ref="H68:H131" si="56">(B68+E68+F68)*44/12+(C68+D68)*0.475*44/12</f>
        <v>368.56414865272939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54.687618269212805</v>
      </c>
      <c r="T68" s="62">
        <f t="shared" si="34"/>
        <v>301.59504677428077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25.768497288344086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1.7473316370787832E-6</v>
      </c>
      <c r="AC68" s="24">
        <f t="shared" ref="AC68:AC131" si="57">SUM(Z68:AB68)</f>
        <v>25.768499035675724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33.564959999999978</v>
      </c>
      <c r="D69" s="12">
        <f t="shared" ref="D69:D132" si="86">IFERROR(EXP(-1.0587+0.8836*LN(C69)+0.284),0)</f>
        <v>10.276022649773063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338.4216204543884</v>
      </c>
      <c r="H69" s="70">
        <f t="shared" si="56"/>
        <v>369.68971144835467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54.687618269212805</v>
      </c>
      <c r="T69" s="62">
        <f t="shared" ref="T69:T132" si="88">$T$3</f>
        <v>301.59504677428077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25.263192773751058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1.235550049560199E-6</v>
      </c>
      <c r="AC69" s="24">
        <f t="shared" si="57"/>
        <v>25.263194009301106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34.073519999999981</v>
      </c>
      <c r="D70" s="12">
        <f t="shared" si="86"/>
        <v>10.413476158637106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343.40839140000554</v>
      </c>
      <c r="H70" s="70">
        <f t="shared" si="56"/>
        <v>370.81485164295958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54.687618269212805</v>
      </c>
      <c r="T70" s="62">
        <f t="shared" si="88"/>
        <v>301.59504677428077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24.767796972483875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8.7366581853939162E-7</v>
      </c>
      <c r="AC70" s="24">
        <f t="shared" si="57"/>
        <v>24.767797846149694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34.582079999999983</v>
      </c>
      <c r="D71" s="12">
        <f t="shared" si="86"/>
        <v>10.550691065622091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348.39332050655639</v>
      </c>
      <c r="H71" s="70">
        <f t="shared" si="56"/>
        <v>371.93957627262512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54.687618269212805</v>
      </c>
      <c r="T71" s="62">
        <f t="shared" si="88"/>
        <v>301.59504677428077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24.282115580717942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6.1777502478009952E-7</v>
      </c>
      <c r="AC71" s="24">
        <f t="shared" si="57"/>
        <v>24.282116198492968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35.090639999999986</v>
      </c>
      <c r="D72" s="12">
        <f t="shared" si="86"/>
        <v>10.687671284942699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353.37643798903127</v>
      </c>
      <c r="H72" s="70">
        <f t="shared" si="56"/>
        <v>373.06389215460848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54.687618269212805</v>
      </c>
      <c r="T72" s="62">
        <f t="shared" si="88"/>
        <v>301.59504677428077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23.805958104808141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4.3683290926969581E-7</v>
      </c>
      <c r="AC72" s="24">
        <f t="shared" si="57"/>
        <v>23.805958541641051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35.599199999999989</v>
      </c>
      <c r="D73" s="12">
        <f t="shared" si="86"/>
        <v>10.824420610843646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358.35777313633685</v>
      </c>
      <c r="H73" s="70">
        <f t="shared" si="56"/>
        <v>374.18780589721928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54.687618269212805</v>
      </c>
      <c r="T73" s="62">
        <f t="shared" si="88"/>
        <v>301.59504677428077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23.339137786573549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3.0888751239004976E-7</v>
      </c>
      <c r="AC73" s="24">
        <f t="shared" si="57"/>
        <v>23.33913809546106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36.107759999999992</v>
      </c>
      <c r="D74" s="12">
        <f t="shared" si="86"/>
        <v>10.960942722937094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363.3373543524969</v>
      </c>
      <c r="H74" s="70">
        <f t="shared" si="56"/>
        <v>375.3113239091154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54.687618269212805</v>
      </c>
      <c r="T74" s="62">
        <f t="shared" si="88"/>
        <v>301.59504677428077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22.881471530047254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2.1841645463484791E-7</v>
      </c>
      <c r="AC74" s="24">
        <f t="shared" si="57"/>
        <v>22.881471748463706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36.616319999999995</v>
      </c>
      <c r="D75" s="12">
        <f t="shared" si="86"/>
        <v>11.097241191230706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368.31520919546506</v>
      </c>
      <c r="H75" s="70">
        <f t="shared" si="56"/>
        <v>376.43445240806011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54.687618269212805</v>
      </c>
      <c r="T75" s="62">
        <f t="shared" si="88"/>
        <v>301.59504677428077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22.432779829662589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1.5444375619502488E-7</v>
      </c>
      <c r="AC75" s="24">
        <f t="shared" si="57"/>
        <v>22.432779984106347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37.124879999999997</v>
      </c>
      <c r="D76" s="12">
        <f t="shared" si="86"/>
        <v>11.23331948086849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373.29136441372162</v>
      </c>
      <c r="H76" s="70">
        <f t="shared" si="56"/>
        <v>377.55719742917927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54.687618269212805</v>
      </c>
      <c r="T76" s="62">
        <f t="shared" si="88"/>
        <v>301.59504677428077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21.992886699847553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1.0920822731742395E-7</v>
      </c>
      <c r="AC76" s="24">
        <f t="shared" si="57"/>
        <v>21.992886809055779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37.63344</v>
      </c>
      <c r="D77" s="12">
        <f t="shared" si="86"/>
        <v>11.369180956604445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378.26584598080626</v>
      </c>
      <c r="H77" s="70">
        <f t="shared" si="56"/>
        <v>378.6795648327527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54.687618269212805</v>
      </c>
      <c r="T77" s="62">
        <f t="shared" si="88"/>
        <v>301.59504677428077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21.561619605999873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7.722187809751244E-8</v>
      </c>
      <c r="AC77" s="24">
        <f t="shared" si="57"/>
        <v>21.56161968322175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38.142000000000003</v>
      </c>
      <c r="D78" s="12">
        <f t="shared" si="86"/>
        <v>11.504828887027534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383.2386791279319</v>
      </c>
      <c r="H78" s="70">
        <f t="shared" si="56"/>
        <v>379.80156031157293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54.687618269212805</v>
      </c>
      <c r="T78" s="62">
        <f t="shared" si="88"/>
        <v>301.59504677428077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21.138809396815592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5.4604113658711977E-8</v>
      </c>
      <c r="AC78" s="24">
        <f t="shared" si="57"/>
        <v>21.138809451419707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38.650560000000006</v>
      </c>
      <c r="D79" s="12">
        <f t="shared" si="86"/>
        <v>11.640266448554888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388.20988837480974</v>
      </c>
      <c r="H79" s="70">
        <f t="shared" si="56"/>
        <v>380.92318939789976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54.687618269212805</v>
      </c>
      <c r="T79" s="62">
        <f t="shared" si="88"/>
        <v>301.59504677428077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20.724290237944654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3.861093904875622E-8</v>
      </c>
      <c r="AC79" s="24">
        <f t="shared" si="57"/>
        <v>20.724290276555593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39.159120000000009</v>
      </c>
      <c r="D80" s="12">
        <f t="shared" si="86"/>
        <v>11.775496729208891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393.17949755880551</v>
      </c>
      <c r="H80" s="70">
        <f t="shared" si="56"/>
        <v>382.04445747003882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54.687618269212805</v>
      </c>
      <c r="T80" s="62">
        <f t="shared" si="88"/>
        <v>301.59504677428077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20.317899546947451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2.7302056829355988E-8</v>
      </c>
      <c r="AC80" s="24">
        <f t="shared" si="57"/>
        <v>20.317899574249509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39.667680000000011</v>
      </c>
      <c r="D81" s="12">
        <f t="shared" si="86"/>
        <v>11.910522732192447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398.14752986253831</v>
      </c>
      <c r="H81" s="70">
        <f t="shared" si="56"/>
        <v>383.16536975856849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54.687618269212805</v>
      </c>
      <c r="T81" s="62">
        <f t="shared" si="88"/>
        <v>301.59504677428077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19.91947792952686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1.930546952437811E-8</v>
      </c>
      <c r="AC81" s="24">
        <f t="shared" si="57"/>
        <v>19.919477948832331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40.176240000000014</v>
      </c>
      <c r="D82" s="12">
        <f t="shared" si="86"/>
        <v>12.045347379275681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403.11400784002291</v>
      </c>
      <c r="H82" s="70">
        <f t="shared" si="56"/>
        <v>384.28593135223849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54.687618269212805</v>
      </c>
      <c r="T82" s="62">
        <f t="shared" si="88"/>
        <v>301.59504677428077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19.528869117010693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1.3651028414677994E-8</v>
      </c>
      <c r="AC82" s="24">
        <f t="shared" si="57"/>
        <v>19.528869130661722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40.684800000000017</v>
      </c>
      <c r="D83" s="12">
        <f t="shared" si="86"/>
        <v>12.179973514006278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408.07895344145209</v>
      </c>
      <c r="H83" s="70">
        <f t="shared" si="56"/>
        <v>385.40614720356092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54.687618269212805</v>
      </c>
      <c r="T83" s="62">
        <f t="shared" si="88"/>
        <v>301.59504677428077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19.145919905060119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9.652734762189055E-9</v>
      </c>
      <c r="AC83" s="24">
        <f t="shared" si="57"/>
        <v>19.145919914712852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41.19336000000002</v>
      </c>
      <c r="D84" s="12">
        <f t="shared" si="86"/>
        <v>12.314403904754746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413.04238803670347</v>
      </c>
      <c r="H84" s="70">
        <f t="shared" si="56"/>
        <v>386.5260221341145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54.687618269212805</v>
      </c>
      <c r="T84" s="62">
        <f t="shared" si="88"/>
        <v>301.59504677428077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18.770480093579938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6.8255142073389971E-9</v>
      </c>
      <c r="AC84" s="24">
        <f t="shared" si="57"/>
        <v>18.77048010040545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41.701920000000023</v>
      </c>
      <c r="D85" s="12">
        <f t="shared" si="86"/>
        <v>12.448641247604995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418.00433243765286</v>
      </c>
      <c r="H85" s="70">
        <f t="shared" si="56"/>
        <v>387.64556083957871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54.687618269212805</v>
      </c>
      <c r="T85" s="62">
        <f t="shared" si="88"/>
        <v>301.59504677428077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18.40240242780721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4.8263673810945275E-9</v>
      </c>
      <c r="AC85" s="24">
        <f t="shared" si="57"/>
        <v>18.402402432633579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42.210480000000025</v>
      </c>
      <c r="D86" s="12">
        <f t="shared" si="86"/>
        <v>12.582688169099891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422.96480691936773</v>
      </c>
      <c r="H86" s="70">
        <f t="shared" si="56"/>
        <v>388.76476789451567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54.687618269212805</v>
      </c>
      <c r="T86" s="62">
        <f t="shared" si="88"/>
        <v>301.59504677428077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18.041542540555078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3.4127571036694985E-9</v>
      </c>
      <c r="AC86" s="24">
        <f t="shared" si="57"/>
        <v>18.041542543967836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42.719040000000028</v>
      </c>
      <c r="D87" s="12">
        <f t="shared" si="86"/>
        <v>12.716547228850759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427.92383124025167</v>
      </c>
      <c r="H87" s="70">
        <f t="shared" si="56"/>
        <v>389.88364775691508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54.687618269212805</v>
      </c>
      <c r="T87" s="62">
        <f t="shared" si="88"/>
        <v>301.59504677428077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17.687758895589162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2.4131836905472638E-9</v>
      </c>
      <c r="AC87" s="24">
        <f t="shared" si="57"/>
        <v>17.687758898002347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43.227600000000031</v>
      </c>
      <c r="D88" s="12">
        <f t="shared" si="86"/>
        <v>12.850220922019037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432.88142466119984</v>
      </c>
      <c r="H88" s="70">
        <f t="shared" si="56"/>
        <v>391.00220477251651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54.687618269212805</v>
      </c>
      <c r="T88" s="62">
        <f t="shared" si="88"/>
        <v>301.59504677428077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17.340912732114312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1.7063785518347493E-9</v>
      </c>
      <c r="AC88" s="24">
        <f t="shared" si="57"/>
        <v>17.340912733820691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43.736160000000034</v>
      </c>
      <c r="D89" s="12">
        <f t="shared" si="86"/>
        <v>12.983711681677836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437.83760596382922</v>
      </c>
      <c r="H89" s="70">
        <f t="shared" si="56"/>
        <v>392.1204431789223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54.687618269212805</v>
      </c>
      <c r="T89" s="62">
        <f t="shared" si="88"/>
        <v>301.59504677428077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17.000868010349933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1.2065918452736319E-9</v>
      </c>
      <c r="AC89" s="24">
        <f t="shared" si="57"/>
        <v>17.000868011556523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44.244720000000036</v>
      </c>
      <c r="D90" s="12">
        <f t="shared" si="86"/>
        <v>13.117021881060507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442.79239346783584</v>
      </c>
      <c r="H90" s="70">
        <f t="shared" si="56"/>
        <v>393.23836710951377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54.687618269212805</v>
      </c>
      <c r="T90" s="62">
        <f t="shared" si="88"/>
        <v>301.59504677428077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16.667491358172555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8.5318927591737463E-10</v>
      </c>
      <c r="AC90" s="24">
        <f t="shared" si="57"/>
        <v>16.667491359025743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44.753280000000039</v>
      </c>
      <c r="D91" s="12">
        <f t="shared" si="86"/>
        <v>13.250153835702934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447.74580504753175</v>
      </c>
      <c r="H91" s="70">
        <f t="shared" si="56"/>
        <v>394.35598059718262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54.687618269212805</v>
      </c>
      <c r="T91" s="62">
        <f t="shared" si="88"/>
        <v>301.59504677428077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16.340652018804693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6.0329592263681594E-10</v>
      </c>
      <c r="AC91" s="24">
        <f t="shared" si="57"/>
        <v>16.34065201940799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45.261840000000042</v>
      </c>
      <c r="D92" s="12">
        <f t="shared" si="86"/>
        <v>13.383109805485626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452.69785814760866</v>
      </c>
      <c r="H92" s="70">
        <f t="shared" si="56"/>
        <v>395.4732875778875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54.687618269212805</v>
      </c>
      <c r="T92" s="62">
        <f t="shared" si="88"/>
        <v>301.59504677428077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16.020221799529523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4.2659463795868732E-10</v>
      </c>
      <c r="AC92" s="24">
        <f t="shared" si="57"/>
        <v>16.020221799956119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45.770400000000045</v>
      </c>
      <c r="D93" s="12">
        <f t="shared" si="86"/>
        <v>13.515891996581377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457.64856979817245</v>
      </c>
      <c r="H93" s="70">
        <f t="shared" si="56"/>
        <v>396.59029189404595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54.687618269212805</v>
      </c>
      <c r="T93" s="62">
        <f t="shared" si="88"/>
        <v>301.59504677428077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15.706075021411204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3.0164796131840797E-10</v>
      </c>
      <c r="AC93" s="24">
        <f t="shared" si="57"/>
        <v>15.706075021712852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46.278960000000048</v>
      </c>
      <c r="D94" s="12">
        <f t="shared" si="86"/>
        <v>13.648502563313988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462.59795662909079</v>
      </c>
      <c r="H94" s="70">
        <f t="shared" si="56"/>
        <v>397.70699729777192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54.687618269212805</v>
      </c>
      <c r="T94" s="62">
        <f t="shared" si="88"/>
        <v>301.59504677428077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15.39808847000117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2.1329731897934366E-10</v>
      </c>
      <c r="AC94" s="24">
        <f t="shared" si="57"/>
        <v>15.398088470214468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46.78752000000005</v>
      </c>
      <c r="D95" s="12">
        <f t="shared" si="86"/>
        <v>13.780943609932871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467.54603488369276</v>
      </c>
      <c r="H95" s="70">
        <f t="shared" si="56"/>
        <v>398.82340745396647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54.687618269212805</v>
      </c>
      <c r="T95" s="62">
        <f t="shared" si="88"/>
        <v>301.59504677428077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15.09614134701104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1.5082398065920399E-10</v>
      </c>
      <c r="AC95" s="24">
        <f t="shared" si="57"/>
        <v>15.096141347161863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47.296080000000053</v>
      </c>
      <c r="D96" s="12">
        <f t="shared" si="86"/>
        <v>13.913217192308331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472.49282043185423</v>
      </c>
      <c r="H96" s="70">
        <f t="shared" si="56"/>
        <v>399.93952594327038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54.687618269212805</v>
      </c>
      <c r="T96" s="62">
        <f t="shared" si="88"/>
        <v>301.59504677428077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14.800115222933186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1.0664865948967183E-10</v>
      </c>
      <c r="AC96" s="24">
        <f t="shared" si="57"/>
        <v>14.800115223039835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47.804640000000056</v>
      </c>
      <c r="D97" s="12">
        <f t="shared" si="86"/>
        <v>14.045325319551834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477.43832878250583</v>
      </c>
      <c r="H97" s="70">
        <f t="shared" si="56"/>
        <v>401.0553562648862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54.687618269212805</v>
      </c>
      <c r="T97" s="62">
        <f t="shared" si="88"/>
        <v>301.59504677428077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14.509893990590394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7.5411990329601993E-11</v>
      </c>
      <c r="AC97" s="24">
        <f t="shared" si="57"/>
        <v>14.509893990665805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48.313200000000059</v>
      </c>
      <c r="D98" s="12">
        <f t="shared" si="86"/>
        <v>14.177269955565388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482.38257509559298</v>
      </c>
      <c r="H98" s="70">
        <f t="shared" si="56"/>
        <v>402.17090183927644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54.687618269212805</v>
      </c>
      <c r="T98" s="62">
        <f t="shared" si="88"/>
        <v>301.59504677428077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14.225363819596369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5.3324329744835915E-11</v>
      </c>
      <c r="AC98" s="24">
        <f t="shared" si="57"/>
        <v>14.225363819649694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48.821760000000062</v>
      </c>
      <c r="D99" s="12">
        <f t="shared" si="86"/>
        <v>14.309053020523784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487.32557419351741</v>
      </c>
      <c r="H99" s="70">
        <f t="shared" si="56"/>
        <v>403.28616601074566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54.687618269212805</v>
      </c>
      <c r="T99" s="62">
        <f t="shared" si="88"/>
        <v>301.59504677428077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13.946413111709269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3.7705995164800996E-11</v>
      </c>
      <c r="AC99" s="24">
        <f t="shared" si="57"/>
        <v>13.946413111746976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49.330320000000064</v>
      </c>
      <c r="D100" s="12">
        <f t="shared" si="86"/>
        <v>14.440676392293357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492.26734057208955</v>
      </c>
      <c r="H100" s="70">
        <f t="shared" si="56"/>
        <v>404.40115204991105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54.687618269212805</v>
      </c>
      <c r="T100" s="62">
        <f t="shared" si="88"/>
        <v>301.59504677428077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13.672932457060703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2.6662164872417957E-11</v>
      </c>
      <c r="AC100" s="24">
        <f t="shared" si="57"/>
        <v>13.672932457087365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49.838880000000067</v>
      </c>
      <c r="D101" s="12">
        <f t="shared" si="86"/>
        <v>14.572141907790501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497.20788841101495</v>
      </c>
      <c r="H101" s="70">
        <f t="shared" si="56"/>
        <v>405.51586315606858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54.687618269212805</v>
      </c>
      <c r="T101" s="62">
        <f t="shared" si="88"/>
        <v>301.59504677428077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13.404814591243069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1.8852997582400498E-11</v>
      </c>
      <c r="AC101" s="24">
        <f t="shared" si="57"/>
        <v>13.404814591261921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50.34744000000007</v>
      </c>
      <c r="D102" s="12">
        <f t="shared" si="86"/>
        <v>14.703451364283247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502.14723158394139</v>
      </c>
      <c r="H102" s="70">
        <f t="shared" si="56"/>
        <v>406.6303024594601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54.687618269212805</v>
      </c>
      <c r="T102" s="62">
        <f t="shared" si="88"/>
        <v>301.59504677428077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13.141954353238367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1.3331082436208979E-11</v>
      </c>
      <c r="AC102" s="24">
        <f t="shared" si="57"/>
        <v>13.141954353251698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50.856000000000073</v>
      </c>
      <c r="D103" s="12">
        <f t="shared" si="86"/>
        <v>14.83460652063863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507.0853836680883</v>
      </c>
      <c r="H103" s="70">
        <f t="shared" si="56"/>
        <v>407.74447302344572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54.687618269212805</v>
      </c>
      <c r="T103" s="62">
        <f t="shared" si="88"/>
        <v>301.59504677428077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12.884248644172024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9.4264987912002491E-12</v>
      </c>
      <c r="AC103" s="24">
        <f t="shared" si="57"/>
        <v>12.884248644181451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51.364560000000075</v>
      </c>
      <c r="D104" s="12">
        <f t="shared" si="86"/>
        <v>14.965609098518881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512.02235795347963</v>
      </c>
      <c r="H104" s="70">
        <f t="shared" si="56"/>
        <v>408.85837784658713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54.687618269212805</v>
      </c>
      <c r="T104" s="62">
        <f t="shared" si="88"/>
        <v>301.59504677428077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12.631596386875509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6.6655412181044893E-12</v>
      </c>
      <c r="AC104" s="24">
        <f t="shared" si="57"/>
        <v>12.631596386882174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51.873120000000078</v>
      </c>
      <c r="D105" s="12">
        <f t="shared" si="86"/>
        <v>15.096460783528732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516.95816745180139</v>
      </c>
      <c r="H105" s="70">
        <f t="shared" si="56"/>
        <v>409.97201986464597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54.687618269212805</v>
      </c>
      <c r="T105" s="62">
        <f t="shared" si="88"/>
        <v>301.59504677428077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12.38389848624192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4.7132493956001245E-12</v>
      </c>
      <c r="AC105" s="24">
        <f t="shared" si="57"/>
        <v>12.383898486246633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52.381680000000081</v>
      </c>
      <c r="D106" s="12">
        <f t="shared" si="86"/>
        <v>15.227163226316589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521.89282490490064</v>
      </c>
      <c r="H106" s="70">
        <f t="shared" si="56"/>
        <v>411.08540195250151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54.687618269212805</v>
      </c>
      <c r="T106" s="62">
        <f t="shared" si="88"/>
        <v>301.59504677428077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12.141057790358953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3.3327706090522447E-12</v>
      </c>
      <c r="AC106" s="24">
        <f t="shared" si="57"/>
        <v>12.141057790362286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52.890240000000084</v>
      </c>
      <c r="D107" s="12">
        <f t="shared" si="86"/>
        <v>15.357718043631591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526.82634279294632</v>
      </c>
      <c r="H107" s="70">
        <f t="shared" si="56"/>
        <v>412.19852692599181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54.687618269212805</v>
      </c>
      <c r="T107" s="62">
        <f t="shared" si="88"/>
        <v>301.59504677428077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11.902979052404053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2.3566246978000623E-12</v>
      </c>
      <c r="AC107" s="24">
        <f t="shared" si="57"/>
        <v>11.90297905240641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53.398800000000087</v>
      </c>
      <c r="D108" s="12">
        <f t="shared" si="86"/>
        <v>15.488126819338939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531.75873334226617</v>
      </c>
      <c r="H108" s="70">
        <f t="shared" si="56"/>
        <v>413.31139754368212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54.687618269212805</v>
      </c>
      <c r="T108" s="62">
        <f t="shared" si="88"/>
        <v>301.59504677428077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11.669568893286757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1.6663853045261223E-12</v>
      </c>
      <c r="AC108" s="24">
        <f t="shared" si="57"/>
        <v>11.669568893288423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53.907360000000089</v>
      </c>
      <c r="D109" s="12">
        <f t="shared" si="86"/>
        <v>15.618391105395395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536.69000853287741</v>
      </c>
      <c r="H109" s="70">
        <f t="shared" si="56"/>
        <v>414.4240165085638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54.687618269212805</v>
      </c>
      <c r="T109" s="62">
        <f t="shared" si="88"/>
        <v>301.59504677428077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11.440735765023611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1.1783123489000311E-12</v>
      </c>
      <c r="AC109" s="24">
        <f t="shared" si="57"/>
        <v>11.440735765024789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54.415920000000092</v>
      </c>
      <c r="D110" s="12">
        <f t="shared" si="86"/>
        <v>15.748512422786959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541.62018010572467</v>
      </c>
      <c r="H110" s="70">
        <f t="shared" si="56"/>
        <v>415.53638646968744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54.687618269212805</v>
      </c>
      <c r="T110" s="62">
        <f t="shared" si="88"/>
        <v>301.59504677428077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11.216389914831279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8.3319265226306116E-13</v>
      </c>
      <c r="AC110" s="24">
        <f t="shared" si="57"/>
        <v>11.216389914832112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54.924480000000095</v>
      </c>
      <c r="D111" s="12">
        <f t="shared" si="86"/>
        <v>15.878492262430417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546.54925956963905</v>
      </c>
      <c r="H111" s="70">
        <f t="shared" si="56"/>
        <v>416.64851002373314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54.687618269212805</v>
      </c>
      <c r="T111" s="62">
        <f t="shared" si="88"/>
        <v>301.59504677428077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10.99644334992376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5.8915617445001557E-13</v>
      </c>
      <c r="AC111" s="24">
        <f t="shared" si="57"/>
        <v>10.99644334992435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55.433040000000098</v>
      </c>
      <c r="D112" s="12">
        <f t="shared" si="86"/>
        <v>16.008332086040603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551.4772582080335</v>
      </c>
      <c r="H112" s="70">
        <f t="shared" si="56"/>
        <v>417.76038971652088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54.687618269212805</v>
      </c>
      <c r="T112" s="62">
        <f t="shared" si="88"/>
        <v>301.59504677428077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10.78080980299992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4.1659632613153058E-13</v>
      </c>
      <c r="AC112" s="24">
        <f t="shared" si="57"/>
        <v>10.780809803000338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55.941600000000101</v>
      </c>
      <c r="D113" s="12">
        <f t="shared" si="86"/>
        <v>16.138033326964955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556.40418708534423</v>
      </c>
      <c r="H113" s="70">
        <f t="shared" si="56"/>
        <v>418.87202804446412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54.687618269212805</v>
      </c>
      <c r="T113" s="62">
        <f t="shared" si="88"/>
        <v>301.59504677428077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10.56940469840778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2.9457808722500778E-13</v>
      </c>
      <c r="AC113" s="24">
        <f t="shared" si="57"/>
        <v>10.569404698408075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56.450160000000103</v>
      </c>
      <c r="D114" s="12">
        <f t="shared" si="86"/>
        <v>16.267597390986701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561.33005705323149</v>
      </c>
      <c r="H114" s="70">
        <f t="shared" si="56"/>
        <v>419.98342745596864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54.687618269212805</v>
      </c>
      <c r="T114" s="62">
        <f t="shared" si="88"/>
        <v>301.59504677428077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10.362145118972311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2.0829816306576529E-13</v>
      </c>
      <c r="AC114" s="24">
        <f t="shared" si="57"/>
        <v>10.362145118972519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56.958720000000106</v>
      </c>
      <c r="D115" s="12">
        <f t="shared" si="86"/>
        <v>16.397025657098517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566.25487875655074</v>
      </c>
      <c r="H115" s="70">
        <f t="shared" si="56"/>
        <v>421.09459035278007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54.687618269212805</v>
      </c>
      <c r="T115" s="62">
        <f t="shared" si="88"/>
        <v>301.59504677428077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10.15894977347371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1.4728904361250389E-13</v>
      </c>
      <c r="AC115" s="24">
        <f t="shared" si="57"/>
        <v>10.158949773473857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57.467280000000109</v>
      </c>
      <c r="D116" s="12">
        <f t="shared" si="86"/>
        <v>16.526319478247487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571.17866263910435</v>
      </c>
      <c r="H116" s="70">
        <f t="shared" si="56"/>
        <v>422.20551909128119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54.687618269212805</v>
      </c>
      <c r="T116" s="62">
        <f t="shared" si="88"/>
        <v>301.59504677428077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9.9597389647634138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1.0414908153288265E-13</v>
      </c>
      <c r="AC116" s="24">
        <f t="shared" si="57"/>
        <v>9.9597389647635186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57.975840000000112</v>
      </c>
      <c r="D117" s="12">
        <f t="shared" si="86"/>
        <v>16.655480182053164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576.10141894918308</v>
      </c>
      <c r="H117" s="70">
        <f t="shared" si="56"/>
        <v>423.31621598374272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54.687618269212805</v>
      </c>
      <c r="T117" s="62">
        <f t="shared" si="88"/>
        <v>301.59504677428077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9.7644345585053305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7.3644521806251946E-14</v>
      </c>
      <c r="AC117" s="24">
        <f t="shared" si="57"/>
        <v>9.7644345585054033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58.484400000000115</v>
      </c>
      <c r="D118" s="12">
        <f t="shared" si="86"/>
        <v>16.784509071499606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581.02315774491024</v>
      </c>
      <c r="H118" s="70">
        <f t="shared" si="56"/>
        <v>424.42668329952869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54.687618269212805</v>
      </c>
      <c r="T118" s="62">
        <f t="shared" si="88"/>
        <v>301.59504677428077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9.5729599525300433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5.2074540766441323E-14</v>
      </c>
      <c r="AC118" s="24">
        <f t="shared" si="57"/>
        <v>9.5729599525300948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58.992960000000117</v>
      </c>
      <c r="D119" s="12">
        <f t="shared" si="86"/>
        <v>16.913407425602678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585.94388889939</v>
      </c>
      <c r="H119" s="70">
        <f t="shared" si="56"/>
        <v>425.53692326625821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54.687618269212805</v>
      </c>
      <c r="T119" s="62">
        <f t="shared" si="88"/>
        <v>301.59504677428077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9.3852400467899546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3.6822260903125973E-14</v>
      </c>
      <c r="AC119" s="24">
        <f t="shared" si="57"/>
        <v>9.3852400467899919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59.50152000000012</v>
      </c>
      <c r="D120" s="12">
        <f t="shared" si="86"/>
        <v>17.042176500053646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590.86362210567825</v>
      </c>
      <c r="H120" s="70">
        <f t="shared" si="56"/>
        <v>426.64693807092692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54.687618269212805</v>
      </c>
      <c r="T120" s="62">
        <f t="shared" si="88"/>
        <v>301.59504677428077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9.201201213903591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2.6037270383220661E-14</v>
      </c>
      <c r="AC120" s="24">
        <f t="shared" si="57"/>
        <v>9.2012012139036177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60.010080000000123</v>
      </c>
      <c r="D121" s="12">
        <f t="shared" si="86"/>
        <v>17.1708175278402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595.78236688157449</v>
      </c>
      <c r="H121" s="70">
        <f t="shared" si="56"/>
        <v>427.75672986098857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54.687618269212805</v>
      </c>
      <c r="T121" s="62">
        <f t="shared" si="88"/>
        <v>301.59504677428077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9.0207712702775247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1.8411130451562986E-14</v>
      </c>
      <c r="AC121" s="24">
        <f t="shared" si="57"/>
        <v>9.0207712702775424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60.518640000000126</v>
      </c>
      <c r="D122" s="12">
        <f t="shared" si="86"/>
        <v>17.299331719845775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600.7001325742491</v>
      </c>
      <c r="H122" s="70">
        <f t="shared" si="56"/>
        <v>428.86630074539823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54.687618269212805</v>
      </c>
      <c r="T122" s="62">
        <f t="shared" si="88"/>
        <v>301.59504677428077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8.843879447794567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1.3018635191610331E-14</v>
      </c>
      <c r="AC122" s="24">
        <f t="shared" si="57"/>
        <v>8.8438794477945795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61.027200000000128</v>
      </c>
      <c r="D123" s="12">
        <f t="shared" si="86"/>
        <v>17.427720265428214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605.61692836471002</v>
      </c>
      <c r="H123" s="70">
        <f t="shared" si="56"/>
        <v>429.97565279562104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54.687618269212805</v>
      </c>
      <c r="T123" s="62">
        <f t="shared" si="88"/>
        <v>301.59504677428077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8.6704563660571417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9.2055652257814932E-15</v>
      </c>
      <c r="AC123" s="24">
        <f t="shared" si="57"/>
        <v>8.6704563660571505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61.535760000000131</v>
      </c>
      <c r="D124" s="12">
        <f t="shared" si="86"/>
        <v>17.555984332978426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610.53276327211506</v>
      </c>
      <c r="H124" s="70">
        <f t="shared" si="56"/>
        <v>431.08478804660427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54.687618269212805</v>
      </c>
      <c r="T124" s="62">
        <f t="shared" si="88"/>
        <v>301.59504677428077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8.5004340051749523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6.5093175958051654E-15</v>
      </c>
      <c r="AC124" s="24">
        <f t="shared" si="57"/>
        <v>8.5004340051749594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62.044320000000134</v>
      </c>
      <c r="D125" s="12">
        <f t="shared" si="86"/>
        <v>17.684125070460311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615.44764615794031</v>
      </c>
      <c r="H125" s="70">
        <f t="shared" si="56"/>
        <v>432.1937084977186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54.687618269212805</v>
      </c>
      <c r="T125" s="62">
        <f t="shared" si="88"/>
        <v>301.59504677428077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8.3337456790862632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4.6027826128907466E-15</v>
      </c>
      <c r="AC125" s="24">
        <f t="shared" si="57"/>
        <v>8.3337456790862685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62.552880000000137</v>
      </c>
      <c r="D126" s="12">
        <f t="shared" si="86"/>
        <v>17.812143605932235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620.36158573000432</v>
      </c>
      <c r="H126" s="70">
        <f t="shared" si="56"/>
        <v>433.30241611366557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54.687618269212805</v>
      </c>
      <c r="T126" s="62">
        <f t="shared" si="88"/>
        <v>301.59504677428077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8.1703260094023324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3.2546587979025827E-15</v>
      </c>
      <c r="AC126" s="24">
        <f t="shared" si="57"/>
        <v>8.170326009402336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63.06144000000014</v>
      </c>
      <c r="D127" s="12">
        <f t="shared" si="86"/>
        <v>17.94004104805115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625.27459054636086</v>
      </c>
      <c r="H127" s="70">
        <f t="shared" si="56"/>
        <v>434.41091282535598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54.687618269212805</v>
      </c>
      <c r="T127" s="62">
        <f t="shared" si="88"/>
        <v>301.59504677428077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8.0101108997647472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2.3013913064453733E-15</v>
      </c>
      <c r="AC127" s="24">
        <f t="shared" si="57"/>
        <v>8.010110899764749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63.570000000000142</v>
      </c>
      <c r="D128" s="12">
        <f t="shared" si="86"/>
        <v>18.067818486560022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630.18666901906101</v>
      </c>
      <c r="H128" s="70">
        <f t="shared" si="56"/>
        <v>435.51920053075889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54.687618269212805</v>
      </c>
      <c r="T128" s="62">
        <f t="shared" si="88"/>
        <v>301.59504677428077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7.8530375107055876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1.6273293989512913E-15</v>
      </c>
      <c r="AC128" s="24">
        <f t="shared" si="57"/>
        <v>7.8530375107055894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64.078560000000138</v>
      </c>
      <c r="D129" s="12">
        <f t="shared" si="86"/>
        <v>18.195476992759176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635.0978294177911</v>
      </c>
      <c r="H129" s="70">
        <f t="shared" si="56"/>
        <v>436.62728109572242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54.687618269212805</v>
      </c>
      <c r="T129" s="62">
        <f t="shared" si="88"/>
        <v>301.59504677428077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7.6990442350005717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1.1506956532226867E-15</v>
      </c>
      <c r="AC129" s="24">
        <f t="shared" si="57"/>
        <v>7.6990442350005726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64.587120000000141</v>
      </c>
      <c r="D130" s="12">
        <f t="shared" si="86"/>
        <v>18.323017619962208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640.00807987339351</v>
      </c>
      <c r="H130" s="70">
        <f t="shared" si="56"/>
        <v>437.7351563547677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54.687618269212805</v>
      </c>
      <c r="T130" s="62">
        <f t="shared" si="88"/>
        <v>301.59504677428077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7.5480706735055065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8.1366469947564567E-16</v>
      </c>
      <c r="AC130" s="24">
        <f t="shared" si="57"/>
        <v>7.5480706735055074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65.095680000000144</v>
      </c>
      <c r="D131" s="12">
        <f t="shared" si="86"/>
        <v>18.450441403937241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644.91742838127095</v>
      </c>
      <c r="H131" s="70">
        <f t="shared" si="56"/>
        <v>438.84282811185756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54.687618269212805</v>
      </c>
      <c r="T131" s="62">
        <f t="shared" si="88"/>
        <v>301.59504677428077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7.4000576114665799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5.7534782661134333E-16</v>
      </c>
      <c r="AC131" s="24">
        <f t="shared" si="57"/>
        <v>7.4000576114665808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65.604240000000146</v>
      </c>
      <c r="D132" s="12">
        <f t="shared" si="86"/>
        <v>18.577749363333876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649.82588280468372</v>
      </c>
      <c r="H132" s="70">
        <f t="shared" ref="H132:H195" si="110">(B132+E132+F132)*44/12+(C132+D132)*0.475*44/12</f>
        <v>439.95029814114008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54.687618269212805</v>
      </c>
      <c r="T132" s="62">
        <f t="shared" si="88"/>
        <v>301.59504677428077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7.2549469952951835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4.0683234973782283E-16</v>
      </c>
      <c r="AC132" s="24">
        <f t="shared" ref="AC132:AC153" si="111">SUM(Z132:AB132)</f>
        <v>7.2549469952951835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66.112800000000149</v>
      </c>
      <c r="D133" s="12">
        <f t="shared" ref="D133:D196" si="140">IFERROR(EXP(-1.0587+0.8836*LN(C133)+0.284),0)</f>
        <v>18.704942500096582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654.73345087793962</v>
      </c>
      <c r="H133" s="70">
        <f t="shared" si="110"/>
        <v>441.05756818766844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54.687618269212805</v>
      </c>
      <c r="T133" s="62">
        <f t="shared" ref="T133:T196" si="142">$T$3</f>
        <v>301.59504677428077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7.1126819097981713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2.8767391330567166E-16</v>
      </c>
      <c r="AC133" s="24">
        <f t="shared" si="111"/>
        <v>7.1126819097981713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66.621360000000152</v>
      </c>
      <c r="D134" s="12">
        <f t="shared" si="140"/>
        <v>18.832021799864986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659.64014020948537</v>
      </c>
      <c r="H134" s="70">
        <f t="shared" si="110"/>
        <v>442.16463996809841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54.687618269212805</v>
      </c>
      <c r="T134" s="62">
        <f t="shared" si="142"/>
        <v>301.59504677428077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6.9732065558546221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2.0341617486891142E-16</v>
      </c>
      <c r="AC134" s="24">
        <f t="shared" si="111"/>
        <v>6.9732065558546221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67.129920000000155</v>
      </c>
      <c r="D135" s="12">
        <f t="shared" si="140"/>
        <v>18.958988232361623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664.54595828489801</v>
      </c>
      <c r="H135" s="70">
        <f t="shared" si="110"/>
        <v>443.27151517136338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54.687618269212805</v>
      </c>
      <c r="T135" s="62">
        <f t="shared" si="142"/>
        <v>301.59504677428077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6.8364662285303401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1.4383695665283583E-16</v>
      </c>
      <c r="AC135" s="24">
        <f t="shared" si="111"/>
        <v>6.8364662285303401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67.638480000000158</v>
      </c>
      <c r="D136" s="12">
        <f t="shared" si="140"/>
        <v>19.085842751767554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669.45091246978586</v>
      </c>
      <c r="H136" s="70">
        <f t="shared" si="110"/>
        <v>444.37819545932871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54.687618269212805</v>
      </c>
      <c r="T136" s="62">
        <f t="shared" si="142"/>
        <v>301.59504677428077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6.7024072956215228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1.0170808743445571E-16</v>
      </c>
      <c r="AC136" s="24">
        <f t="shared" si="111"/>
        <v>6.7024072956215228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68.14704000000016</v>
      </c>
      <c r="D137" s="12">
        <f t="shared" si="140"/>
        <v>19.212586297086364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674.35501001259775</v>
      </c>
      <c r="H137" s="70">
        <f t="shared" si="110"/>
        <v>445.48468246742561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54.687618269212805</v>
      </c>
      <c r="T137" s="62">
        <f t="shared" si="142"/>
        <v>301.59504677428077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6.5709771766191718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7.1918478326417916E-17</v>
      </c>
      <c r="AC137" s="24">
        <f t="shared" si="111"/>
        <v>6.5709771766191718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68.655600000000163</v>
      </c>
      <c r="D138" s="12">
        <f t="shared" si="140"/>
        <v>19.339219792497058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679.258258047347</v>
      </c>
      <c r="H138" s="70">
        <f t="shared" si="110"/>
        <v>446.59097780526599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54.687618269212805</v>
      </c>
      <c r="T138" s="62">
        <f t="shared" si="142"/>
        <v>301.59504677428077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6.4421243220860003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5.0854043717227854E-17</v>
      </c>
      <c r="AC138" s="24">
        <f t="shared" si="111"/>
        <v>6.4421243220860003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69.164160000000166</v>
      </c>
      <c r="D139" s="12">
        <f t="shared" si="140"/>
        <v>19.46574414769605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684.16066359625154</v>
      </c>
      <c r="H139" s="70">
        <f t="shared" si="110"/>
        <v>447.69708305723753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54.687618269212805</v>
      </c>
      <c r="T139" s="62">
        <f t="shared" si="142"/>
        <v>301.59504677428077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6.3157981934377432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3.5959239163208958E-17</v>
      </c>
      <c r="AC139" s="24">
        <f t="shared" si="111"/>
        <v>6.3157981934377432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69.672720000000169</v>
      </c>
      <c r="D140" s="12">
        <f t="shared" si="140"/>
        <v>19.592160258229011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689.06223357229544</v>
      </c>
      <c r="H140" s="70">
        <f t="shared" si="110"/>
        <v>448.80299978308244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54.687618269212805</v>
      </c>
      <c r="T140" s="62">
        <f t="shared" si="142"/>
        <v>301.59504677428077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6.1919492431209484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2.5427021858613927E-17</v>
      </c>
      <c r="AC140" s="24">
        <f t="shared" si="111"/>
        <v>6.1919492431209484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70.181280000000172</v>
      </c>
      <c r="D141" s="12">
        <f t="shared" si="140"/>
        <v>19.71846900581253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693.96297478171221</v>
      </c>
      <c r="H141" s="70">
        <f t="shared" si="110"/>
        <v>449.90872951845711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54.687618269212805</v>
      </c>
      <c r="T141" s="62">
        <f t="shared" si="142"/>
        <v>301.59504677428077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6.0705288951794651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1.7979619581604479E-17</v>
      </c>
      <c r="AC141" s="24">
        <f t="shared" si="111"/>
        <v>6.0705288951794651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70.689840000000174</v>
      </c>
      <c r="D142" s="12">
        <f t="shared" si="140"/>
        <v>19.844671258646365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698.86289392639446</v>
      </c>
      <c r="H142" s="70">
        <f t="shared" si="110"/>
        <v>451.01427377547606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54.687618269212805</v>
      </c>
      <c r="T142" s="62">
        <f t="shared" si="142"/>
        <v>301.59504677428077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5.9514895262020149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1.2713510929306964E-17</v>
      </c>
      <c r="AC142" s="24">
        <f t="shared" si="111"/>
        <v>5.9514895262020149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71.198400000000177</v>
      </c>
      <c r="D143" s="12">
        <f t="shared" si="140"/>
        <v>19.970767871716326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703.76199760623274</v>
      </c>
      <c r="H143" s="70">
        <f t="shared" si="110"/>
        <v>452.11963404323956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54.687618269212805</v>
      </c>
      <c r="T143" s="62">
        <f t="shared" si="142"/>
        <v>301.59504677428077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5.8347844466433667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8.9898097908022395E-18</v>
      </c>
      <c r="AC143" s="24">
        <f t="shared" si="111"/>
        <v>5.8347844466433667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71.70696000000018</v>
      </c>
      <c r="D144" s="12">
        <f t="shared" si="140"/>
        <v>20.096759687088355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708.66029232138533</v>
      </c>
      <c r="H144" s="70">
        <f t="shared" si="110"/>
        <v>453.22481178834585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54.687618269212805</v>
      </c>
      <c r="T144" s="62">
        <f t="shared" si="142"/>
        <v>301.59504677428077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5.7203678825117938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6.3567554646534818E-18</v>
      </c>
      <c r="AC144" s="24">
        <f t="shared" si="111"/>
        <v>5.7203678825117938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72.215520000000183</v>
      </c>
      <c r="D145" s="12">
        <f t="shared" si="140"/>
        <v>20.222647534193918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713.55778447448074</v>
      </c>
      <c r="H145" s="70">
        <f t="shared" si="110"/>
        <v>454.32980845538805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54.687618269212805</v>
      </c>
      <c r="T145" s="62">
        <f t="shared" si="142"/>
        <v>301.59504677428077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5.6081949574156278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4.4949048954011197E-18</v>
      </c>
      <c r="AC145" s="24">
        <f t="shared" si="111"/>
        <v>5.6081949574156278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72.724080000000185</v>
      </c>
      <c r="D146" s="12">
        <f t="shared" si="140"/>
        <v>20.348432230107203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718.45448037275889</v>
      </c>
      <c r="H146" s="70">
        <f t="shared" si="110"/>
        <v>455.434625467437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54.687618269212805</v>
      </c>
      <c r="T146" s="62">
        <f t="shared" si="142"/>
        <v>301.59504677428077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5.4982216749618695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3.1783777323267409E-18</v>
      </c>
      <c r="AC146" s="24">
        <f t="shared" si="111"/>
        <v>5.4982216749618695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73.232640000000188</v>
      </c>
      <c r="D147" s="12">
        <f t="shared" si="140"/>
        <v>20.474114579814387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723.35038623014759</v>
      </c>
      <c r="H147" s="70">
        <f t="shared" si="110"/>
        <v>456.53926422651034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54.687618269212805</v>
      </c>
      <c r="T147" s="62">
        <f t="shared" si="142"/>
        <v>301.59504677428077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5.3904049014999504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2.2474524477005599E-18</v>
      </c>
      <c r="AC147" s="24">
        <f t="shared" si="111"/>
        <v>5.3904049014999504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73.741200000000191</v>
      </c>
      <c r="D148" s="12">
        <f t="shared" si="140"/>
        <v>20.599695376475008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728.24550816928229</v>
      </c>
      <c r="H148" s="70">
        <f t="shared" si="110"/>
        <v>457.64372611402757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54.687618269212805</v>
      </c>
      <c r="T148" s="62">
        <f t="shared" si="142"/>
        <v>301.59504677428077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5.2847023492038812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1.5891888661633704E-18</v>
      </c>
      <c r="AC148" s="24">
        <f t="shared" si="111"/>
        <v>5.2847023492038812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74.249760000000194</v>
      </c>
      <c r="D149" s="12">
        <f t="shared" si="140"/>
        <v>20.725175401676193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733.13985222346685</v>
      </c>
      <c r="H149" s="70">
        <f t="shared" si="110"/>
        <v>458.74801249125301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54.687618269212805</v>
      </c>
      <c r="T149" s="62">
        <f t="shared" si="142"/>
        <v>301.59504677428077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5.1810725594861466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1.1237262238502799E-18</v>
      </c>
      <c r="AC149" s="24">
        <f t="shared" si="111"/>
        <v>5.1810725594861466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74.758320000000197</v>
      </c>
      <c r="D150" s="12">
        <f t="shared" si="140"/>
        <v>20.850555425679485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738.03342433858006</v>
      </c>
      <c r="H150" s="70">
        <f t="shared" si="110"/>
        <v>459.85212469972544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54.687618269212805</v>
      </c>
      <c r="T150" s="62">
        <f t="shared" si="142"/>
        <v>301.59504677428077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5.0794748867368469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7.9459443308168522E-19</v>
      </c>
      <c r="AC150" s="24">
        <f t="shared" si="111"/>
        <v>5.0794748867368469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75.266880000000199</v>
      </c>
      <c r="D151" s="12">
        <f t="shared" si="140"/>
        <v>20.975836207660898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742.92623037492774</v>
      </c>
      <c r="H151" s="70">
        <f t="shared" si="110"/>
        <v>460.95606406167639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54.687618269212805</v>
      </c>
      <c r="T151" s="62">
        <f t="shared" si="142"/>
        <v>301.59504677428077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4.9798694823816989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5.6186311192513997E-19</v>
      </c>
      <c r="AC151" s="24">
        <f t="shared" si="111"/>
        <v>4.9798694823816989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75.775440000000202</v>
      </c>
      <c r="D152" s="12">
        <f t="shared" si="140"/>
        <v>21.101018495944281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747.8182761090452</v>
      </c>
      <c r="H152" s="70">
        <f t="shared" si="110"/>
        <v>462.0598318804366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54.687618269212805</v>
      </c>
      <c r="T152" s="62">
        <f t="shared" si="142"/>
        <v>301.59504677428077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4.8822172792526572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3.9729721654084261E-19</v>
      </c>
      <c r="AC152" s="24">
        <f t="shared" si="111"/>
        <v>4.8822172792526572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76.284000000000205</v>
      </c>
      <c r="D153" s="12">
        <f t="shared" si="140"/>
        <v>21.226103028228124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752.7095672354468</v>
      </c>
      <c r="H153" s="70">
        <f t="shared" si="110"/>
        <v>463.16342944083101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54.687618269212805</v>
      </c>
      <c r="T153" s="62">
        <f t="shared" si="142"/>
        <v>301.59504677428077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4.7864799762650136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2.8093155596256998E-19</v>
      </c>
      <c r="AC153" s="24">
        <f t="shared" si="111"/>
        <v>4.7864799762650136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76.792560000000208</v>
      </c>
      <c r="D154" s="12">
        <f t="shared" si="140"/>
        <v>21.351090531806367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757.60010936833157</v>
      </c>
      <c r="H154" s="70">
        <f t="shared" si="110"/>
        <v>464.26685800956307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54.687618269212805</v>
      </c>
      <c r="T154" s="62">
        <f t="shared" si="142"/>
        <v>301.59504677428077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4.6926200233949693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1.9864860827042131E-19</v>
      </c>
      <c r="AC154" s="24">
        <f t="shared" ref="AC154:AC203" si="163">SUM(Z154:AB154)</f>
        <v>4.6926200233949693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77.301120000000211</v>
      </c>
      <c r="D155" s="12">
        <f t="shared" si="140"/>
        <v>21.47598172378293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762.4899080432383</v>
      </c>
      <c r="H155" s="70">
        <f t="shared" si="110"/>
        <v>465.37011883558898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54.687618269212805</v>
      </c>
      <c r="T155" s="62">
        <f t="shared" si="142"/>
        <v>301.59504677428077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4.6006006069517875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1.4046577798128499E-19</v>
      </c>
      <c r="AC155" s="24">
        <f t="shared" si="163"/>
        <v>4.6006006069517875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77.809680000000213</v>
      </c>
      <c r="D156" s="12">
        <f t="shared" si="140"/>
        <v>21.600777311280623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767.37896871865905</v>
      </c>
      <c r="H156" s="70">
        <f t="shared" si="110"/>
        <v>466.47321315048077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54.687618269212805</v>
      </c>
      <c r="T156" s="62">
        <f t="shared" si="142"/>
        <v>301.59504677428077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4.5103856351387552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9.9324304135210653E-20</v>
      </c>
      <c r="AC156" s="24">
        <f t="shared" si="163"/>
        <v>4.5103856351387552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78.318240000000216</v>
      </c>
      <c r="D157" s="12">
        <f t="shared" si="140"/>
        <v>21.7254779916444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772.2672967776075</v>
      </c>
      <c r="H157" s="70">
        <f t="shared" si="110"/>
        <v>467.57614216878102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54.687618269212805</v>
      </c>
      <c r="T157" s="62">
        <f t="shared" si="142"/>
        <v>301.59504677428077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4.4219397238972764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7.0232888990642496E-20</v>
      </c>
      <c r="AC157" s="24">
        <f t="shared" si="163"/>
        <v>4.4219397238972764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78.826800000000219</v>
      </c>
      <c r="D158" s="12">
        <f t="shared" si="140"/>
        <v>21.850084452639059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777.15489752914539</v>
      </c>
      <c r="H158" s="70">
        <f t="shared" si="110"/>
        <v>468.6789070883467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54.687618269212805</v>
      </c>
      <c r="T158" s="62">
        <f t="shared" si="142"/>
        <v>301.59504677428077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4.3352281830285646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4.9662152067605326E-20</v>
      </c>
      <c r="AC158" s="24">
        <f t="shared" si="163"/>
        <v>4.3352281830285646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79.335360000000222</v>
      </c>
      <c r="D159" s="12">
        <f t="shared" si="140"/>
        <v>21.974597372641924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782.04177620986923</v>
      </c>
      <c r="H159" s="70">
        <f t="shared" si="110"/>
        <v>469.78150909068506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54.687618269212805</v>
      </c>
      <c r="T159" s="62">
        <f t="shared" si="142"/>
        <v>301.59504677428077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4.2502170025874699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3.5116444495321248E-20</v>
      </c>
      <c r="AC159" s="24">
        <f t="shared" si="163"/>
        <v>4.2502170025874699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79.843920000000224</v>
      </c>
      <c r="D160" s="12">
        <f t="shared" si="140"/>
        <v>22.099017420830219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786.92793798535786</v>
      </c>
      <c r="H160" s="70">
        <f t="shared" si="110"/>
        <v>470.88394934127967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54.687618269212805</v>
      </c>
      <c r="T160" s="62">
        <f t="shared" si="142"/>
        <v>301.59504677428077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4.1668728395431254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2.4831076033802663E-20</v>
      </c>
      <c r="AC160" s="24">
        <f t="shared" si="163"/>
        <v>4.1668728395431254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80.352480000000227</v>
      </c>
      <c r="D161" s="12">
        <f t="shared" si="140"/>
        <v>22.223345257363622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791.81338795158069</v>
      </c>
      <c r="H161" s="70">
        <f t="shared" si="110"/>
        <v>471.98622898990868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54.687618269212805</v>
      </c>
      <c r="T161" s="62">
        <f t="shared" si="142"/>
        <v>301.59504677428077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4.08516300470116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1.7558222247660624E-20</v>
      </c>
      <c r="AC161" s="24">
        <f t="shared" si="163"/>
        <v>4.08516300470116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80.86104000000023</v>
      </c>
      <c r="D162" s="12">
        <f t="shared" si="140"/>
        <v>22.347581533562153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796.69813113627106</v>
      </c>
      <c r="H162" s="70">
        <f t="shared" si="110"/>
        <v>473.08834917095442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54.687618269212805</v>
      </c>
      <c r="T162" s="62">
        <f t="shared" si="142"/>
        <v>301.59504677428077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4.0050554498823683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1.2415538016901332E-20</v>
      </c>
      <c r="AC162" s="24">
        <f t="shared" si="163"/>
        <v>4.0050554498823683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81.369600000000233</v>
      </c>
      <c r="D163" s="12">
        <f t="shared" si="140"/>
        <v>22.471726892079285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801.58217250026303</v>
      </c>
      <c r="H163" s="70">
        <f t="shared" si="110"/>
        <v>474.19031100370512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54.687618269212805</v>
      </c>
      <c r="T163" s="62">
        <f t="shared" si="142"/>
        <v>301.59504677428077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3.9265187553527889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8.779111123830312E-21</v>
      </c>
      <c r="AC163" s="24">
        <f t="shared" si="163"/>
        <v>3.9265187553527889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81.878160000000236</v>
      </c>
      <c r="D164" s="12">
        <f t="shared" si="140"/>
        <v>22.595781967070696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806.46551693879326</v>
      </c>
      <c r="H164" s="70">
        <f t="shared" si="110"/>
        <v>475.29211559264849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54.687618269212805</v>
      </c>
      <c r="T164" s="62">
        <f t="shared" si="142"/>
        <v>301.59504677428077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3.8495221175002809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6.2077690084506658E-21</v>
      </c>
      <c r="AC164" s="24">
        <f t="shared" si="163"/>
        <v>3.8495221175002809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82.386720000000238</v>
      </c>
      <c r="D165" s="12">
        <f t="shared" si="140"/>
        <v>22.719747384358772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811.34816928277132</v>
      </c>
      <c r="H165" s="70">
        <f t="shared" si="110"/>
        <v>476.39376402775855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54.687618269212805</v>
      </c>
      <c r="T165" s="62">
        <f t="shared" si="142"/>
        <v>301.59504677428077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3.7740353367527488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4.389555561915156E-21</v>
      </c>
      <c r="AC165" s="24">
        <f t="shared" si="163"/>
        <v>3.7740353367527488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82.895280000000241</v>
      </c>
      <c r="D166" s="12">
        <f t="shared" si="140"/>
        <v>22.843623761592784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816.2301343000164</v>
      </c>
      <c r="H166" s="70">
        <f t="shared" si="110"/>
        <v>477.4952573847745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54.687618269212805</v>
      </c>
      <c r="T166" s="62">
        <f t="shared" si="142"/>
        <v>301.59504677428077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3.7000288057332855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3.1038845042253329E-21</v>
      </c>
      <c r="AC166" s="24">
        <f t="shared" si="163"/>
        <v>3.7000288057332855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83.403840000000244</v>
      </c>
      <c r="D167" s="12">
        <f t="shared" si="140"/>
        <v>22.967411708405145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821.1114166964627</v>
      </c>
      <c r="H167" s="70">
        <f t="shared" si="110"/>
        <v>478.59659672547269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54.687618269212805</v>
      </c>
      <c r="T167" s="62">
        <f t="shared" si="142"/>
        <v>301.59504677428077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3.6274734976475873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2.194777780957578E-21</v>
      </c>
      <c r="AC167" s="24">
        <f t="shared" si="163"/>
        <v>3.6274734976475873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83.912400000000247</v>
      </c>
      <c r="D168" s="12">
        <f t="shared" si="140"/>
        <v>23.091111826563672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825.99202111733564</v>
      </c>
      <c r="H168" s="70">
        <f t="shared" si="110"/>
        <v>479.69778309793213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54.687618269212805</v>
      </c>
      <c r="T168" s="62">
        <f t="shared" si="142"/>
        <v>301.59504677428077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3.5563409548990816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1.5519422521126665E-21</v>
      </c>
      <c r="AC168" s="24">
        <f t="shared" si="163"/>
        <v>3.5563409548990816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84.42096000000025</v>
      </c>
      <c r="D169" s="12">
        <f t="shared" si="140"/>
        <v>23.214724710120091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830.87195214829751</v>
      </c>
      <c r="H169" s="70">
        <f t="shared" si="110"/>
        <v>480.79881753679291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54.687618269212805</v>
      </c>
      <c r="T169" s="62">
        <f t="shared" si="142"/>
        <v>301.59504677428077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3.4866032779273071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1.097388890478789E-21</v>
      </c>
      <c r="AC169" s="24">
        <f t="shared" si="163"/>
        <v>3.4866032779273071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84.929520000000252</v>
      </c>
      <c r="D170" s="12">
        <f t="shared" si="140"/>
        <v>23.33825094555484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835.75121431656578</v>
      </c>
      <c r="H170" s="70">
        <f t="shared" si="110"/>
        <v>481.89970106350842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54.687618269212805</v>
      </c>
      <c r="T170" s="62">
        <f t="shared" si="142"/>
        <v>301.59504677428077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3.4182331142651661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7.7597112605633323E-22</v>
      </c>
      <c r="AC170" s="24">
        <f t="shared" si="163"/>
        <v>3.4182331142651661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85.438080000000255</v>
      </c>
      <c r="D171" s="12">
        <f t="shared" si="140"/>
        <v>23.461691111918345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840.62981209200325</v>
      </c>
      <c r="H171" s="70">
        <f t="shared" si="110"/>
        <v>483.00043468659152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54.687618269212805</v>
      </c>
      <c r="T171" s="62">
        <f t="shared" si="142"/>
        <v>301.59504677428077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3.3512036478107574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5.486944452393945E-22</v>
      </c>
      <c r="AC171" s="24">
        <f t="shared" si="163"/>
        <v>3.3512036478107574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85.946640000000258</v>
      </c>
      <c r="D172" s="12">
        <f t="shared" si="140"/>
        <v>23.585045780968709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845.50774988818148</v>
      </c>
      <c r="H172" s="70">
        <f t="shared" si="110"/>
        <v>484.10101940185427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54.687618269212805</v>
      </c>
      <c r="T172" s="62">
        <f t="shared" si="142"/>
        <v>301.59504677428077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3.2854885883095823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3.8798556302816661E-22</v>
      </c>
      <c r="AC172" s="24">
        <f t="shared" si="163"/>
        <v>3.2854885883095823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86.455200000000261</v>
      </c>
      <c r="D173" s="12">
        <f t="shared" si="140"/>
        <v>23.708315517306314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850.3850320634192</v>
      </c>
      <c r="H173" s="70">
        <f t="shared" si="110"/>
        <v>485.20145619264224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54.687618269212805</v>
      </c>
      <c r="T173" s="62">
        <f t="shared" si="142"/>
        <v>301.59504677428077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3.2210621610429966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2.7434722261969725E-22</v>
      </c>
      <c r="AC173" s="24">
        <f t="shared" si="163"/>
        <v>3.2210621610429966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86.963760000000264</v>
      </c>
      <c r="D174" s="12">
        <f t="shared" si="140"/>
        <v>23.831500878504777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855.26166292179335</v>
      </c>
      <c r="H174" s="70">
        <f t="shared" si="110"/>
        <v>486.30174603006293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54.687618269212805</v>
      </c>
      <c r="T174" s="62">
        <f t="shared" si="142"/>
        <v>301.59504677428077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3.157899096718868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1.9399278151408331E-22</v>
      </c>
      <c r="AC174" s="24">
        <f t="shared" si="163"/>
        <v>3.157899096718868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87.472320000000266</v>
      </c>
      <c r="D175" s="12">
        <f t="shared" si="140"/>
        <v>23.954602415239137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860.13764671412866</v>
      </c>
      <c r="H175" s="70">
        <f t="shared" si="110"/>
        <v>487.40188987320857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54.687618269212805</v>
      </c>
      <c r="T175" s="62">
        <f t="shared" si="142"/>
        <v>301.59504677428077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3.0959746215604707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1.3717361130984862E-22</v>
      </c>
      <c r="AC175" s="24">
        <f t="shared" si="163"/>
        <v>3.0959746215604707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87.980880000000269</v>
      </c>
      <c r="D176" s="12">
        <f t="shared" si="140"/>
        <v>24.077620671410731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865.01298763896204</v>
      </c>
      <c r="H176" s="70">
        <f t="shared" si="110"/>
        <v>488.50188866937413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54.687618269212805</v>
      </c>
      <c r="T176" s="62">
        <f t="shared" si="142"/>
        <v>301.59504677428077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3.035264447589729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9.6996390757041653E-23</v>
      </c>
      <c r="AC176" s="24">
        <f t="shared" si="163"/>
        <v>3.035264447589729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88.489440000000272</v>
      </c>
      <c r="D177" s="12">
        <f t="shared" si="140"/>
        <v>24.200556184269178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869.88768984348337</v>
      </c>
      <c r="H177" s="70">
        <f t="shared" si="110"/>
        <v>489.60174335426927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54.687618269212805</v>
      </c>
      <c r="T177" s="62">
        <f t="shared" si="142"/>
        <v>301.59504677428077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2.9757447631010039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6.8586805654924312E-23</v>
      </c>
      <c r="AC177" s="24">
        <f t="shared" si="163"/>
        <v>2.9757447631010039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88.998000000000275</v>
      </c>
      <c r="D178" s="12">
        <f t="shared" si="140"/>
        <v>24.323409484531542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874.76175742445605</v>
      </c>
      <c r="H178" s="70">
        <f t="shared" si="110"/>
        <v>490.70145485222622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54.687618269212805</v>
      </c>
      <c r="T178" s="62">
        <f t="shared" si="142"/>
        <v>301.59504677428077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2.9173922233216798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4.8498195378520827E-23</v>
      </c>
      <c r="AC178" s="24">
        <f t="shared" si="163"/>
        <v>2.9173922233216798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89.506560000000277</v>
      </c>
      <c r="D179" s="12">
        <f t="shared" si="140"/>
        <v>24.446181096498528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879.63519442911365</v>
      </c>
      <c r="H179" s="70">
        <f t="shared" si="110"/>
        <v>491.80102407640209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54.687618269212805</v>
      </c>
      <c r="T179" s="62">
        <f t="shared" si="142"/>
        <v>301.59504677428077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2.8601839412558934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3.4293402827462156E-23</v>
      </c>
      <c r="AC179" s="24">
        <f t="shared" si="163"/>
        <v>2.8601839412558934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90.01512000000028</v>
      </c>
      <c r="D180" s="12">
        <f t="shared" si="140"/>
        <v>24.568871538168118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884.50800485603668</v>
      </c>
      <c r="H180" s="70">
        <f t="shared" si="110"/>
        <v>492.90045192897657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54.687618269212805</v>
      </c>
      <c r="T180" s="62">
        <f t="shared" si="142"/>
        <v>301.59504677428077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2.8040974787078103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2.4249097689260413E-23</v>
      </c>
      <c r="AC180" s="24">
        <f t="shared" si="163"/>
        <v>2.8040974787078103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90.523680000000283</v>
      </c>
      <c r="D181" s="12">
        <f t="shared" si="140"/>
        <v>24.691481321346508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889.38019265601042</v>
      </c>
      <c r="H181" s="70">
        <f t="shared" si="110"/>
        <v>493.99973930134564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54.687618269212805</v>
      </c>
      <c r="T181" s="62">
        <f t="shared" si="142"/>
        <v>301.59504677428077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2.7491108374809312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1.7146701413731078E-23</v>
      </c>
      <c r="AC181" s="24">
        <f t="shared" si="163"/>
        <v>2.7491108374809312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91.032240000000286</v>
      </c>
      <c r="D182" s="12">
        <f t="shared" si="140"/>
        <v>24.814010951756465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894.25176173285934</v>
      </c>
      <c r="H182" s="70">
        <f t="shared" si="110"/>
        <v>495.09888707430969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54.687618269212805</v>
      </c>
      <c r="T182" s="62">
        <f t="shared" si="142"/>
        <v>301.59504677428077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2.6952024507499717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1.2124548844630207E-23</v>
      </c>
      <c r="AC182" s="24">
        <f t="shared" si="163"/>
        <v>2.6952024507499717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91.540800000000289</v>
      </c>
      <c r="D183" s="12">
        <f t="shared" si="140"/>
        <v>24.93646092914322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899.12271594426568</v>
      </c>
      <c r="H183" s="70">
        <f t="shared" si="110"/>
        <v>496.19789611825826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54.687618269212805</v>
      </c>
      <c r="T183" s="62">
        <f t="shared" si="142"/>
        <v>301.59504677428077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2.642351174601937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8.5733507068655391E-24</v>
      </c>
      <c r="AC183" s="24">
        <f t="shared" si="163"/>
        <v>2.642351174601937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92.049360000000291</v>
      </c>
      <c r="D184" s="12">
        <f t="shared" si="140"/>
        <v>25.058831747377901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903.99305910256851</v>
      </c>
      <c r="H184" s="70">
        <f t="shared" si="110"/>
        <v>497.29676729335029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54.687618269212805</v>
      </c>
      <c r="T184" s="62">
        <f t="shared" si="142"/>
        <v>301.59504677428077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2.5905362797430698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6.0622744223151033E-24</v>
      </c>
      <c r="AC184" s="24">
        <f t="shared" si="163"/>
        <v>2.5905362797430698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92.557920000000294</v>
      </c>
      <c r="D185" s="12">
        <f t="shared" si="140"/>
        <v>25.181123894558723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908.86279497554335</v>
      </c>
      <c r="H185" s="70">
        <f t="shared" si="110"/>
        <v>498.3955014496903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54.687618269212805</v>
      </c>
      <c r="T185" s="62">
        <f t="shared" si="142"/>
        <v>301.59504677428077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2.5397374433684199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4.2866753534327695E-24</v>
      </c>
      <c r="AC185" s="24">
        <f t="shared" si="163"/>
        <v>2.5397374433684199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93.066480000000297</v>
      </c>
      <c r="D186" s="12">
        <f t="shared" si="140"/>
        <v>25.303337853109635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913.73192728716458</v>
      </c>
      <c r="H186" s="70">
        <f t="shared" si="110"/>
        <v>499.4940994274998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54.687618269212805</v>
      </c>
      <c r="T186" s="62">
        <f t="shared" si="142"/>
        <v>301.59504677428077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2.4899347411908459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3.0311372111575517E-24</v>
      </c>
      <c r="AC186" s="24">
        <f t="shared" si="163"/>
        <v>2.4899347411908459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93.5750400000003</v>
      </c>
      <c r="D187" s="12">
        <f t="shared" si="140"/>
        <v>25.42547409987715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918.60045971835234</v>
      </c>
      <c r="H187" s="70">
        <f t="shared" si="110"/>
        <v>500.5925620572865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54.687618269212805</v>
      </c>
      <c r="T187" s="62">
        <f t="shared" si="142"/>
        <v>301.59504677428077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2.4411086396263255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2.1433376767163848E-24</v>
      </c>
      <c r="AC187" s="24">
        <f t="shared" si="163"/>
        <v>2.4411086396263255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94.083600000000303</v>
      </c>
      <c r="D188" s="12">
        <f t="shared" si="140"/>
        <v>25.547533106224602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923.46839590770105</v>
      </c>
      <c r="H188" s="70">
        <f t="shared" si="110"/>
        <v>501.69089016000834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54.687618269212805</v>
      </c>
      <c r="T188" s="62">
        <f t="shared" si="142"/>
        <v>301.59504677428077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2.3932399881325037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1.5155686055787758E-24</v>
      </c>
      <c r="AC188" s="24">
        <f t="shared" si="163"/>
        <v>2.3932399881325037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94.592160000000305</v>
      </c>
      <c r="D189" s="12">
        <f t="shared" si="140"/>
        <v>25.669515338124533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928.33573945219177</v>
      </c>
      <c r="H189" s="70">
        <f t="shared" si="110"/>
        <v>502.78908454723404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54.687618269212805</v>
      </c>
      <c r="T189" s="62">
        <f t="shared" si="142"/>
        <v>301.59504677428077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2.3463100116974815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1.0716688383581924E-24</v>
      </c>
      <c r="AC189" s="24">
        <f t="shared" si="163"/>
        <v>2.3463100116974815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95.100720000000308</v>
      </c>
      <c r="D190" s="12">
        <f t="shared" si="140"/>
        <v>25.791421256249013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933.20249390788956</v>
      </c>
      <c r="H190" s="70">
        <f t="shared" si="110"/>
        <v>503.88714602130085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54.687618269212805</v>
      </c>
      <c r="T190" s="62">
        <f t="shared" si="142"/>
        <v>301.59504677428077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2.3003003034758911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7.5778430278938792E-25</v>
      </c>
      <c r="AC190" s="24">
        <f t="shared" si="163"/>
        <v>2.3003003034758911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95.609280000000311</v>
      </c>
      <c r="D191" s="12">
        <f t="shared" si="140"/>
        <v>25.913251316057998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938.06866279062558</v>
      </c>
      <c r="H191" s="70">
        <f t="shared" si="110"/>
        <v>504.98507537546817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54.687618269212805</v>
      </c>
      <c r="T191" s="62">
        <f t="shared" si="142"/>
        <v>301.59504677428077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2.255192817569375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5.3583441917909619E-25</v>
      </c>
      <c r="AC191" s="24">
        <f t="shared" si="163"/>
        <v>2.255192817569375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96.117840000000314</v>
      </c>
      <c r="D192" s="12">
        <f t="shared" si="140"/>
        <v>26.035005967885567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942.93424957666286</v>
      </c>
      <c r="H192" s="70">
        <f t="shared" si="110"/>
        <v>506.08287339406786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54.687618269212805</v>
      </c>
      <c r="T192" s="62">
        <f t="shared" si="142"/>
        <v>301.59504677428077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2.2109698619486355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3.7889215139469396E-25</v>
      </c>
      <c r="AC192" s="24">
        <f t="shared" si="163"/>
        <v>2.2109698619486355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96.626400000000316</v>
      </c>
      <c r="D193" s="12">
        <f t="shared" si="140"/>
        <v>26.156685657024486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947.79925770334921</v>
      </c>
      <c r="H193" s="70">
        <f t="shared" si="110"/>
        <v>507.18054085265146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54.687618269212805</v>
      </c>
      <c r="T193" s="62">
        <f t="shared" si="142"/>
        <v>301.59504677428077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2.1676140915142796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2.679172095895481E-25</v>
      </c>
      <c r="AC193" s="24">
        <f t="shared" si="163"/>
        <v>2.1676140915142796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97.134960000000319</v>
      </c>
      <c r="D194" s="12">
        <f t="shared" si="140"/>
        <v>26.278290823808955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952.66369056975589</v>
      </c>
      <c r="H194" s="70">
        <f t="shared" si="110"/>
        <v>508.27807851813446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54.687618269212805</v>
      </c>
      <c r="T194" s="62">
        <f t="shared" si="142"/>
        <v>301.59504677428077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2.1251085012937323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1.8944607569734698E-25</v>
      </c>
      <c r="AC194" s="24">
        <f t="shared" si="163"/>
        <v>2.1251085012937323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97.643520000000322</v>
      </c>
      <c r="D195" s="12">
        <f t="shared" si="140"/>
        <v>26.399821903695369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957.52755153730016</v>
      </c>
      <c r="H195" s="70">
        <f t="shared" si="110"/>
        <v>509.3754871489366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54.687618269212805</v>
      </c>
      <c r="T195" s="62">
        <f t="shared" si="142"/>
        <v>301.59504677428077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2.08343641977156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1.3395860479477405E-25</v>
      </c>
      <c r="AC195" s="24">
        <f t="shared" si="163"/>
        <v>2.08343641977156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98.152080000000325</v>
      </c>
      <c r="D196" s="12">
        <f t="shared" si="140"/>
        <v>26.521279327341531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962.39084393035819</v>
      </c>
      <c r="H196" s="70">
        <f t="shared" ref="H196:H203" si="192">(B196+E196+F196)*44/12+(C196+D196)*0.475*44/12</f>
        <v>510.47276749512037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54.687618269212805</v>
      </c>
      <c r="T196" s="62">
        <f t="shared" si="142"/>
        <v>301.59504677428077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2.0425815023505778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9.472303784867349E-26</v>
      </c>
      <c r="AC196" s="24">
        <f t="shared" si="163"/>
        <v>2.0425815023505778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98.660640000000328</v>
      </c>
      <c r="D197" s="12">
        <f t="shared" ref="D197:D203" si="202">IFERROR(EXP(-1.0587+0.8836*LN(C197)+0.284),0)</f>
        <v>26.642663520684049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967.2535710368619</v>
      </c>
      <c r="H197" s="70">
        <f t="shared" si="192"/>
        <v>511.56992029852529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54.687618269212805</v>
      </c>
      <c r="T197" s="62">
        <f t="shared" ref="T197:T203" si="204">$T$3</f>
        <v>301.59504677428077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2.0025277249411819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6.6979302397387024E-26</v>
      </c>
      <c r="AC197" s="24">
        <f t="shared" si="163"/>
        <v>2.0025277249411819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99.16920000000033</v>
      </c>
      <c r="D198" s="12">
        <f t="shared" si="202"/>
        <v>26.763974905014248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972.11573610888456</v>
      </c>
      <c r="H198" s="70">
        <f t="shared" si="192"/>
        <v>512.66694629290032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54.687618269212805</v>
      </c>
      <c r="T198" s="62">
        <f t="shared" si="204"/>
        <v>301.59504677428077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1.9632593776763922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4.7361518924336745E-26</v>
      </c>
      <c r="AC198" s="24">
        <f t="shared" si="163"/>
        <v>1.9632593776763922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99.677760000000333</v>
      </c>
      <c r="D199" s="12">
        <f t="shared" si="202"/>
        <v>26.885213897052331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976.97734236321367</v>
      </c>
      <c r="H199" s="70">
        <f t="shared" si="192"/>
        <v>513.76384620403337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54.687618269212805</v>
      </c>
      <c r="T199" s="62">
        <f t="shared" si="204"/>
        <v>301.59504677428077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1.9247610587501383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3.3489651198693512E-26</v>
      </c>
      <c r="AC199" s="24">
        <f t="shared" si="163"/>
        <v>1.9247610587501383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100.18632000000034</v>
      </c>
      <c r="D200" s="12">
        <f t="shared" si="202"/>
        <v>27.006380909020105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981.83839298191208</v>
      </c>
      <c r="H200" s="70">
        <f t="shared" si="192"/>
        <v>514.86062074987717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54.687618269212805</v>
      </c>
      <c r="T200" s="62">
        <f t="shared" si="204"/>
        <v>301.59504677428077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1.8870176683763722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2.3680759462168372E-26</v>
      </c>
      <c r="AC200" s="24">
        <f t="shared" si="163"/>
        <v>1.8870176683763722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100.69488000000034</v>
      </c>
      <c r="D201" s="12">
        <f t="shared" si="202"/>
        <v>27.127476348711948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986.69889111286682</v>
      </c>
      <c r="H201" s="70">
        <f t="shared" si="192"/>
        <v>515.95727064067387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54.687618269212805</v>
      </c>
      <c r="T201" s="62">
        <f t="shared" si="204"/>
        <v>301.59504677428077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1.8500144028666408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1.6744825599346756E-26</v>
      </c>
      <c r="AC201" s="24">
        <f t="shared" si="163"/>
        <v>1.8500144028666408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101.20344000000034</v>
      </c>
      <c r="D202" s="12">
        <f t="shared" si="202"/>
        <v>27.248500619564698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991.55883987032678</v>
      </c>
      <c r="H202" s="70">
        <f t="shared" si="192"/>
        <v>517.05379657907577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54.687618269212805</v>
      </c>
      <c r="T202" s="62">
        <f t="shared" si="204"/>
        <v>301.59504677428077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1.8137367488237917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1.1840379731084186E-26</v>
      </c>
      <c r="AC202" s="24">
        <f t="shared" si="163"/>
        <v>1.8137367488237917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101.71200000000034</v>
      </c>
      <c r="D203" s="12">
        <f t="shared" si="202"/>
        <v>27.369454120725731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996.41824233542945</v>
      </c>
      <c r="H203" s="70">
        <f t="shared" si="192"/>
        <v>518.15019926026457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54.687618269212805</v>
      </c>
      <c r="T203" s="62">
        <f t="shared" si="204"/>
        <v>301.59504677428077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1.7781704774495388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8.372412799673378E-27</v>
      </c>
      <c r="AC203" s="24">
        <f t="shared" si="163"/>
        <v>1.7781704774495388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1.4246626231544801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6" sqref="M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6.6</v>
      </c>
      <c r="C6" s="156">
        <f ca="1">IF(OR('Données projet'!B9="",'Données projet'!C9="",'Données projet'!C9=0%),0,Calculateur!S3)</f>
        <v>54.687618269212805</v>
      </c>
      <c r="D6" s="156">
        <f>IF(OR('Données projet'!B9="",'Données projet'!C9="",'Données projet'!C9=0%),0,Calculateur!T3)</f>
        <v>301.59504677428077</v>
      </c>
      <c r="E6" s="156">
        <f ca="1">MIN(C6,D6)</f>
        <v>54.687618269212805</v>
      </c>
      <c r="F6" s="156">
        <f ca="1">E6*B6</f>
        <v>360.93828057680452</v>
      </c>
      <c r="G6" s="156">
        <f ca="1">F6*(100%-'Données projet'!$C$24)*(100%-'Données projet'!$C$25)*(100%-'Données projet'!$C$26)*(100%-'Données projet'!$C$27)</f>
        <v>246.88178391453431</v>
      </c>
      <c r="H6" s="157">
        <f>IF(OR('Données projet'!B9="",'Données projet'!C9="",'Données projet'!C9=0%),0,AVERAGE(Calculateur!$AC$3:$AC$33)*B6)</f>
        <v>219.72171415778871</v>
      </c>
      <c r="I6" s="158">
        <f>H6*(100%-'Données projet'!$C$24)*(100%-'Données projet'!$C$25)*(100%-'Données projet'!$C$26)*(100%-'Données projet'!$C$27)</f>
        <v>150.28965248392748</v>
      </c>
      <c r="J6" s="159">
        <f>IF(OR('Données projet'!B9="",'Données projet'!C9="",'Données projet'!C9=0%),0,SUM(Calculateur!$V$3:$V$33)*VLOOKUP('Données projet'!$B$9,Paramètres!$A$1:$I$89,9,0)*B6)</f>
        <v>1957.8239999999998</v>
      </c>
      <c r="K6" s="160">
        <f>J6*(100%-'Données projet'!$C$24)*(100%-'Données projet'!$C$25)*(100%-'Données projet'!$C$26)*(100%-'Données projet'!$C$27)</f>
        <v>1339.1516159999999</v>
      </c>
      <c r="L6" s="161">
        <f ca="1">G6+I6+K6</f>
        <v>1736.3230523984616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360.93828057680452</v>
      </c>
      <c r="G16" s="175">
        <f t="shared" ca="1" si="3"/>
        <v>246.88178391453431</v>
      </c>
      <c r="H16" s="176">
        <f t="shared" si="3"/>
        <v>219.72171415778871</v>
      </c>
      <c r="I16" s="176">
        <f t="shared" si="3"/>
        <v>150.28965248392748</v>
      </c>
      <c r="J16" s="177">
        <f t="shared" si="3"/>
        <v>1957.8239999999998</v>
      </c>
      <c r="K16" s="177">
        <f t="shared" si="3"/>
        <v>1339.1516159999999</v>
      </c>
      <c r="L16" s="178">
        <f t="shared" ca="1" si="3"/>
        <v>1736.3230523984616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E27" sqref="E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16</v>
      </c>
      <c r="B23" s="193">
        <f>'Données projet'!D36</f>
        <v>288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2023-12-21T14:13:47Z</dcterms:modified>
</cp:coreProperties>
</file>