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CANET-DE-SALARS (12) - Sarah SINGLA - SWC ELECTRABEL\Dossier déposé le 27 07 2023\"/>
    </mc:Choice>
  </mc:AlternateContent>
  <xr:revisionPtr revIDLastSave="0" documentId="13_ncr:1_{5675DF40-85A4-460B-9530-C7452F7A3A0D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24" i="2" l="1" a="1"/>
  <c r="CS24" i="2" s="1"/>
  <c r="CS72" i="2" a="1"/>
  <c r="CS72" i="2" s="1"/>
  <c r="CS38" i="2" a="1"/>
  <c r="CS38" i="2" s="1"/>
  <c r="CS129" i="2" a="1"/>
  <c r="CS129" i="2" s="1"/>
  <c r="CS137" i="2" a="1"/>
  <c r="CS137" i="2" s="1"/>
  <c r="CS120" i="2" a="1"/>
  <c r="CS120" i="2" s="1"/>
  <c r="CS114" i="2" a="1"/>
  <c r="CS114" i="2" s="1"/>
  <c r="BC143" i="2" a="1"/>
  <c r="BC143" i="2" s="1"/>
  <c r="BC185" i="2" a="1"/>
  <c r="BC185" i="2" s="1"/>
  <c r="BC192" i="2" a="1"/>
  <c r="BC192" i="2" s="1"/>
  <c r="BC117" i="2" a="1"/>
  <c r="BC117" i="2" s="1"/>
  <c r="BC126" i="2" a="1"/>
  <c r="BC126" i="2" s="1"/>
  <c r="CS52" i="2" a="1"/>
  <c r="CS52" i="2" s="1"/>
  <c r="CS116" i="2" a="1"/>
  <c r="CS116" i="2" s="1"/>
  <c r="CS134" i="2" a="1"/>
  <c r="CS134" i="2" s="1"/>
  <c r="CS185" i="2" a="1"/>
  <c r="CS185" i="2" s="1"/>
  <c r="CS66" i="2" a="1"/>
  <c r="CS66" i="2" s="1"/>
  <c r="AH151" i="2" a="1"/>
  <c r="AH151" i="2" s="1"/>
  <c r="BX107" i="2" a="1"/>
  <c r="BX107" i="2" s="1"/>
  <c r="BC55" i="2" a="1"/>
  <c r="BC55" i="2" s="1"/>
  <c r="BC82" i="2" a="1"/>
  <c r="BC82" i="2" s="1"/>
  <c r="BC18" i="2" a="1"/>
  <c r="BC18" i="2" s="1"/>
  <c r="BC47" i="2" a="1"/>
  <c r="BC47" i="2" s="1"/>
  <c r="BC151" i="2" a="1"/>
  <c r="BC151" i="2" s="1"/>
  <c r="BC7" i="2" a="1"/>
  <c r="BC7" i="2" s="1"/>
  <c r="AH199" i="2" a="1"/>
  <c r="AH199" i="2" s="1"/>
  <c r="CS105" i="2" a="1"/>
  <c r="CS105" i="2" s="1"/>
  <c r="CS161" i="2" a="1"/>
  <c r="CS161" i="2" s="1"/>
  <c r="CS77" i="2" a="1"/>
  <c r="CS77" i="2" s="1"/>
  <c r="AH19" i="2" a="1"/>
  <c r="AH19" i="2" s="1"/>
  <c r="AH90" i="2" a="1"/>
  <c r="AH90" i="2" s="1"/>
  <c r="BC68" i="2" a="1"/>
  <c r="BC68" i="2" s="1"/>
  <c r="AH166" i="2" a="1"/>
  <c r="AH166" i="2" s="1"/>
  <c r="BC181" i="2" a="1"/>
  <c r="BC181" i="2" s="1"/>
  <c r="BC130" i="2" a="1"/>
  <c r="BC130" i="2" s="1"/>
  <c r="BC65" i="2" a="1"/>
  <c r="BC65" i="2" s="1"/>
  <c r="BC38" i="2" a="1"/>
  <c r="BC38" i="2" s="1"/>
  <c r="BC83" i="2" a="1"/>
  <c r="BC83" i="2" s="1"/>
  <c r="BC114" i="2" a="1"/>
  <c r="BC114" i="2" s="1"/>
  <c r="BC58" i="2" a="1"/>
  <c r="BC58" i="2" s="1"/>
  <c r="BC34" i="2" a="1"/>
  <c r="BC34" i="2" s="1"/>
  <c r="BC32" i="2" a="1"/>
  <c r="BC32" i="2" s="1"/>
  <c r="BC31" i="2" a="1"/>
  <c r="BC31" i="2" s="1"/>
  <c r="BC84" i="2" a="1"/>
  <c r="BC84" i="2" s="1"/>
  <c r="BC164" i="2" a="1"/>
  <c r="BC164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53" i="2" l="1"/>
  <c r="BI146" i="2"/>
  <c r="BI47" i="2"/>
  <c r="BI59" i="2"/>
  <c r="BI103" i="2"/>
  <c r="BI7" i="2"/>
  <c r="BI178" i="2"/>
  <c r="BI170" i="2"/>
  <c r="BI171" i="2"/>
  <c r="BI76" i="2"/>
  <c r="BI54" i="2"/>
  <c r="BI100" i="2"/>
  <c r="BI106" i="2"/>
  <c r="BI130" i="2"/>
  <c r="BI91" i="2"/>
  <c r="BI43" i="2"/>
  <c r="BI176" i="2"/>
  <c r="BI29" i="2"/>
  <c r="BI145" i="2"/>
  <c r="BI35" i="2"/>
  <c r="BI189" i="2"/>
  <c r="BI156" i="2"/>
  <c r="BI86" i="2"/>
  <c r="BI120" i="2"/>
  <c r="BI33" i="2"/>
  <c r="BI158" i="2"/>
  <c r="BI12" i="2"/>
  <c r="BI3" i="2"/>
  <c r="C8" i="4" s="1"/>
  <c r="E8" i="4" s="1"/>
  <c r="F8" i="4" s="1"/>
  <c r="G8" i="4" s="1"/>
  <c r="L8" i="4" s="1"/>
  <c r="BI192" i="2"/>
  <c r="BI135" i="2"/>
  <c r="BI186" i="2"/>
  <c r="BI15" i="2"/>
  <c r="BI107" i="2"/>
  <c r="BI45" i="2"/>
  <c r="BI196" i="2"/>
  <c r="BI67" i="2"/>
  <c r="BI172" i="2"/>
  <c r="BI65" i="2"/>
  <c r="BI152" i="2"/>
  <c r="BI34" i="2"/>
  <c r="BI25" i="2"/>
  <c r="BI155" i="2"/>
  <c r="BI165" i="2"/>
  <c r="BI198" i="2"/>
  <c r="BI17" i="2"/>
  <c r="BI20" i="2"/>
  <c r="BI62" i="2"/>
  <c r="BI79" i="2"/>
  <c r="BI64" i="2"/>
  <c r="BI9" i="2"/>
  <c r="BI51" i="2"/>
  <c r="BI202" i="2"/>
  <c r="BI169" i="2"/>
  <c r="BI112" i="2"/>
  <c r="BI95" i="2"/>
  <c r="BI98" i="2"/>
  <c r="BI77" i="2"/>
  <c r="BI162" i="2"/>
  <c r="BI182" i="2"/>
  <c r="BI113" i="2"/>
  <c r="BI149" i="2"/>
  <c r="BI99" i="2"/>
  <c r="BI129" i="2"/>
  <c r="BI18" i="2"/>
  <c r="BI105" i="2"/>
  <c r="BI147" i="2"/>
  <c r="BI191" i="2"/>
  <c r="BI93" i="2"/>
  <c r="BI194" i="2"/>
  <c r="BI55" i="2"/>
  <c r="BI97" i="2"/>
  <c r="BI28" i="2"/>
  <c r="BI131" i="2"/>
  <c r="BI139" i="2"/>
  <c r="BI4" i="2"/>
  <c r="BI19" i="2"/>
  <c r="BI39" i="2"/>
  <c r="BI201" i="2"/>
  <c r="BI185" i="2"/>
  <c r="BI48" i="2"/>
  <c r="BI75" i="2"/>
  <c r="BI13" i="2"/>
  <c r="BI114" i="2"/>
  <c r="BI73" i="2"/>
  <c r="BI16" i="2"/>
  <c r="BI111" i="2"/>
  <c r="BI144" i="2"/>
  <c r="BI199" i="2"/>
  <c r="BI37" i="2"/>
  <c r="BI118" i="2"/>
  <c r="BI183" i="2"/>
  <c r="BI148" i="2"/>
  <c r="BI40" i="2"/>
  <c r="BI160" i="2"/>
  <c r="BI119" i="2"/>
  <c r="BI32" i="2"/>
  <c r="BI142" i="2"/>
  <c r="BI5" i="2"/>
  <c r="BI72" i="2"/>
  <c r="BI11" i="2"/>
  <c r="BI101" i="2"/>
  <c r="BI117" i="2"/>
  <c r="BI163" i="2"/>
  <c r="BI167" i="2"/>
  <c r="BI87" i="2"/>
  <c r="BI74" i="2"/>
  <c r="BI177" i="2"/>
  <c r="BI187" i="2"/>
  <c r="BI88" i="2"/>
  <c r="BI166" i="2"/>
  <c r="BI57" i="2"/>
  <c r="BI128" i="2"/>
  <c r="BI151" i="2"/>
  <c r="BI36" i="2"/>
  <c r="BI41" i="2"/>
  <c r="BI14" i="2"/>
  <c r="BI24" i="2"/>
  <c r="BI81" i="2"/>
  <c r="BI123" i="2"/>
  <c r="BI84" i="2"/>
  <c r="BI66" i="2"/>
  <c r="BI63" i="2"/>
  <c r="BI52" i="2"/>
  <c r="BI83" i="2"/>
  <c r="BI23" i="2"/>
  <c r="BI141" i="2"/>
  <c r="BI203" i="2"/>
  <c r="BI21" i="2"/>
  <c r="BI174" i="2"/>
  <c r="BI31" i="2"/>
  <c r="BI49" i="2"/>
  <c r="BI127" i="2"/>
  <c r="BI60" i="2"/>
  <c r="BI71" i="2"/>
  <c r="BI50" i="2"/>
  <c r="BI125" i="2"/>
  <c r="BI89" i="2"/>
  <c r="BI68" i="2"/>
  <c r="BI136" i="2"/>
  <c r="BI157" i="2"/>
  <c r="BI27" i="2"/>
  <c r="BI126" i="2"/>
  <c r="BI184" i="2"/>
  <c r="BI193" i="2"/>
  <c r="BI80" i="2"/>
  <c r="BI92" i="2"/>
  <c r="BI58" i="2"/>
  <c r="BI30" i="2"/>
  <c r="BI124" i="2"/>
  <c r="BI195" i="2"/>
  <c r="BI164" i="2"/>
  <c r="BI116" i="2"/>
  <c r="BI200" i="2"/>
  <c r="BI153" i="2"/>
  <c r="BI108" i="2"/>
  <c r="BI150" i="2"/>
  <c r="BI175" i="2"/>
  <c r="BI102" i="2"/>
  <c r="BI121" i="2"/>
  <c r="BI104" i="2"/>
  <c r="BI46" i="2"/>
  <c r="BI94" i="2"/>
  <c r="BI109" i="2"/>
  <c r="BI134" i="2"/>
  <c r="BI26" i="2"/>
  <c r="BI10" i="2"/>
  <c r="BI140" i="2"/>
  <c r="BI85" i="2"/>
  <c r="BI179" i="2"/>
  <c r="BI168" i="2"/>
  <c r="BI115" i="2"/>
  <c r="BI161" i="2"/>
  <c r="BI44" i="2"/>
  <c r="BI42" i="2"/>
  <c r="BI110" i="2"/>
  <c r="BI154" i="2"/>
  <c r="BI82" i="2"/>
  <c r="BI197" i="2"/>
  <c r="BI159" i="2"/>
  <c r="BI69" i="2"/>
  <c r="BI181" i="2"/>
  <c r="BI70" i="2"/>
  <c r="BI38" i="2"/>
  <c r="BI22" i="2"/>
  <c r="BI143" i="2"/>
  <c r="BI78" i="2"/>
  <c r="BI137" i="2"/>
  <c r="BI56" i="2"/>
  <c r="BI61" i="2"/>
  <c r="BI138" i="2"/>
  <c r="BI133" i="2"/>
  <c r="BI122" i="2"/>
  <c r="BI90" i="2"/>
  <c r="BI173" i="2"/>
  <c r="BI180" i="2"/>
  <c r="BI96" i="2"/>
  <c r="BI188" i="2"/>
  <c r="BI132" i="2"/>
  <c r="BI190" i="2"/>
  <c r="BI8" i="2"/>
  <c r="BI6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<sst xmlns="http://schemas.openxmlformats.org/spreadsheetml/2006/main" count="1174" uniqueCount="324">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</sst>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3.2647516674612578</c:v>
                </c:pt>
                <c:pt idx="2">
                  <c:v>4.0150798908873933</c:v>
                </c:pt>
                <c:pt idx="3">
                  <c:v>4.9385049314225391</c:v>
                </c:pt>
                <c:pt idx="4">
                  <c:v>6.0751007979600642</c:v>
                </c:pt>
                <c:pt idx="5">
                  <c:v>7.4742497420629066</c:v>
                </c:pt>
                <c:pt idx="6">
                  <c:v>9.1968109479427493</c:v>
                </c:pt>
                <c:pt idx="7">
                  <c:v>11.317795916981858</c:v>
                </c:pt>
                <c:pt idx="8">
                  <c:v>13.929669235737409</c:v>
                </c:pt>
                <c:pt idx="9">
                  <c:v>17.14642128331749</c:v>
                </c:pt>
                <c:pt idx="10">
                  <c:v>21.108593857712506</c:v>
                </c:pt>
                <c:pt idx="11">
                  <c:v>25.989482226776222</c:v>
                </c:pt>
                <c:pt idx="12">
                  <c:v>32.002789648745868</c:v>
                </c:pt>
                <c:pt idx="13">
                  <c:v>39.412075321462829</c:v>
                </c:pt>
                <c:pt idx="14">
                  <c:v>48.542416928887945</c:v>
                </c:pt>
                <c:pt idx="15">
                  <c:v>59.794808068333602</c:v>
                </c:pt>
                <c:pt idx="16">
                  <c:v>73.663933325798567</c:v>
                </c:pt>
                <c:pt idx="17">
                  <c:v>90.760115139196031</c:v>
                </c:pt>
                <c:pt idx="18">
                  <c:v>111.83641367495041</c:v>
                </c:pt>
                <c:pt idx="19">
                  <c:v>137.82209218199722</c:v>
                </c:pt>
                <c:pt idx="20">
                  <c:v>169.86394611557276</c:v>
                </c:pt>
                <c:pt idx="21">
                  <c:v>172.58496967177132</c:v>
                </c:pt>
                <c:pt idx="22">
                  <c:v>188.89052567397002</c:v>
                </c:pt>
                <c:pt idx="23">
                  <c:v>205.16327176634272</c:v>
                </c:pt>
                <c:pt idx="24">
                  <c:v>221.40617734460454</c:v>
                </c:pt>
                <c:pt idx="25">
                  <c:v>237.62174013263072</c:v>
                </c:pt>
                <c:pt idx="26">
                  <c:v>195.22253928938787</c:v>
                </c:pt>
                <c:pt idx="27">
                  <c:v>215.99502847920544</c:v>
                </c:pt>
                <c:pt idx="28">
                  <c:v>236.72155522512904</c:v>
                </c:pt>
                <c:pt idx="29">
                  <c:v>257.40670959179056</c:v>
                </c:pt>
                <c:pt idx="30">
                  <c:v>278.05428316466663</c:v>
                </c:pt>
                <c:pt idx="31">
                  <c:v>239.4218770441876</c:v>
                </c:pt>
                <c:pt idx="32">
                  <c:v>263.69457505841399</c:v>
                </c:pt>
                <c:pt idx="33">
                  <c:v>287.91687361454052</c:v>
                </c:pt>
                <c:pt idx="34">
                  <c:v>312.09360685877567</c:v>
                </c:pt>
                <c:pt idx="35">
                  <c:v>336.22879868133333</c:v>
                </c:pt>
                <c:pt idx="36">
                  <c:v>298.66745821941805</c:v>
                </c:pt>
                <c:pt idx="37">
                  <c:v>323.71921792546948</c:v>
                </c:pt>
                <c:pt idx="38">
                  <c:v>348.72813241867397</c:v>
                </c:pt>
                <c:pt idx="39">
                  <c:v>373.69770390114491</c:v>
                </c:pt>
                <c:pt idx="40">
                  <c:v>398.63092853204995</c:v>
                </c:pt>
                <c:pt idx="41">
                  <c:v>361.66351520952873</c:v>
                </c:pt>
                <c:pt idx="42">
                  <c:v>387.05913530996241</c:v>
                </c:pt>
                <c:pt idx="43">
                  <c:v>412.4185824823133</c:v>
                </c:pt>
                <c:pt idx="44">
                  <c:v>437.74439157568901</c:v>
                </c:pt>
                <c:pt idx="45">
                  <c:v>463.03878041146328</c:v>
                </c:pt>
                <c:pt idx="46">
                  <c:v>425.30770062156677</c:v>
                </c:pt>
                <c:pt idx="47">
                  <c:v>449.72973549516246</c:v>
                </c:pt>
                <c:pt idx="48">
                  <c:v>474.12340797215148</c:v>
                </c:pt>
                <c:pt idx="49">
                  <c:v>498.49038104754044</c:v>
                </c:pt>
                <c:pt idx="50">
                  <c:v>522.83214202266072</c:v>
                </c:pt>
                <c:pt idx="51">
                  <c:v>483.43022788495318</c:v>
                </c:pt>
                <c:pt idx="52">
                  <c:v>506.01682508175622</c:v>
                </c:pt>
                <c:pt idx="53">
                  <c:v>528.58211378930434</c:v>
                </c:pt>
                <c:pt idx="54">
                  <c:v>551.12713076815692</c:v>
                </c:pt>
                <c:pt idx="55">
                  <c:v>573.65282111998749</c:v>
                </c:pt>
                <c:pt idx="56">
                  <c:v>532.56209117756305</c:v>
                </c:pt>
                <c:pt idx="57">
                  <c:v>553.33637170601048</c:v>
                </c:pt>
                <c:pt idx="58">
                  <c:v>574.094314073443</c:v>
                </c:pt>
                <c:pt idx="59">
                  <c:v>594.83659163226605</c:v>
                </c:pt>
                <c:pt idx="60">
                  <c:v>615.56382698883351</c:v>
                </c:pt>
                <c:pt idx="61">
                  <c:v>573.21132107085111</c:v>
                </c:pt>
                <c:pt idx="62">
                  <c:v>592.63069187888527</c:v>
                </c:pt>
                <c:pt idx="63">
                  <c:v>612.03682380942735</c:v>
                </c:pt>
                <c:pt idx="64">
                  <c:v>631.43019535928761</c:v>
                </c:pt>
                <c:pt idx="65">
                  <c:v>650.81125326279141</c:v>
                </c:pt>
                <c:pt idx="66">
                  <c:v>607.18650523611609</c:v>
                </c:pt>
                <c:pt idx="67">
                  <c:v>625.26093350286112</c:v>
                </c:pt>
                <c:pt idx="68">
                  <c:v>643.32454970129459</c:v>
                </c:pt>
                <c:pt idx="69">
                  <c:v>661.37769991395862</c:v>
                </c:pt>
                <c:pt idx="70">
                  <c:v>679.42070980579183</c:v>
                </c:pt>
                <c:pt idx="71">
                  <c:v>634.51435801627906</c:v>
                </c:pt>
                <c:pt idx="72">
                  <c:v>651.25159207068907</c:v>
                </c:pt>
                <c:pt idx="73">
                  <c:v>667.97996079591985</c:v>
                </c:pt>
                <c:pt idx="74">
                  <c:v>684.69971730434384</c:v>
                </c:pt>
                <c:pt idx="75">
                  <c:v>701.41110134898781</c:v>
                </c:pt>
                <c:pt idx="76">
                  <c:v>655.65464330634632</c:v>
                </c:pt>
                <c:pt idx="77">
                  <c:v>671.50061699832099</c:v>
                </c:pt>
                <c:pt idx="78">
                  <c:v>687.33890753222886</c:v>
                </c:pt>
                <c:pt idx="79">
                  <c:v>703.16971675614161</c:v>
                </c:pt>
                <c:pt idx="80">
                  <c:v>718.99323669563557</c:v>
                </c:pt>
                <c:pt idx="81">
                  <c:v>672.38072168310896</c:v>
                </c:pt>
                <c:pt idx="82">
                  <c:v>687.33890753222886</c:v>
                </c:pt>
                <c:pt idx="83">
                  <c:v>702.29042031636936</c:v>
                </c:pt>
                <c:pt idx="84">
                  <c:v>717.23542201586224</c:v>
                </c:pt>
                <c:pt idx="85">
                  <c:v>732.17406731534845</c:v>
                </c:pt>
                <c:pt idx="86">
                  <c:v>684.69971730434384</c:v>
                </c:pt>
                <c:pt idx="87">
                  <c:v>698.77300895828614</c:v>
                </c:pt>
                <c:pt idx="88">
                  <c:v>712.8404999070126</c:v>
                </c:pt>
                <c:pt idx="89">
                  <c:v>726.90232067651914</c:v>
                </c:pt>
                <c:pt idx="90">
                  <c:v>740.9585963345786</c:v>
                </c:pt>
                <c:pt idx="91">
                  <c:v>693.05644139351341</c:v>
                </c:pt>
                <c:pt idx="92">
                  <c:v>706.68667788099867</c:v>
                </c:pt>
                <c:pt idx="93">
                  <c:v>720.3115401228124</c:v>
                </c:pt>
                <c:pt idx="94">
                  <c:v>733.9311440317606</c:v>
                </c:pt>
                <c:pt idx="95">
                  <c:v>747.54560087081666</c:v>
                </c:pt>
                <c:pt idx="96">
                  <c:v>698.33330709188249</c:v>
                </c:pt>
                <c:pt idx="97">
                  <c:v>710.6428314634428</c:v>
                </c:pt>
                <c:pt idx="98">
                  <c:v>722.94799935390438</c:v>
                </c:pt>
                <c:pt idx="99">
                  <c:v>735.24889532269901</c:v>
                </c:pt>
                <c:pt idx="100">
                  <c:v>747.54560087081688</c:v>
                </c:pt>
                <c:pt idx="101">
                  <c:v>700.09208058808451</c:v>
                </c:pt>
                <c:pt idx="102">
                  <c:v>711.9614491674389</c:v>
                </c:pt>
                <c:pt idx="103">
                  <c:v>723.82677546874572</c:v>
                </c:pt>
                <c:pt idx="104">
                  <c:v>735.68813505891342</c:v>
                </c:pt>
                <c:pt idx="105">
                  <c:v>747.54560087081666</c:v>
                </c:pt>
                <c:pt idx="106">
                  <c:v>701.41110134898747</c:v>
                </c:pt>
                <c:pt idx="107">
                  <c:v>712.40097730759601</c:v>
                </c:pt>
                <c:pt idx="108">
                  <c:v>723.38739013371344</c:v>
                </c:pt>
                <c:pt idx="109">
                  <c:v>734.37039981277212</c:v>
                </c:pt>
                <c:pt idx="110">
                  <c:v>745.35006439052552</c:v>
                </c:pt>
                <c:pt idx="111">
                  <c:v>700.97143340736932</c:v>
                </c:pt>
                <c:pt idx="112">
                  <c:v>711.52191548263556</c:v>
                </c:pt>
                <c:pt idx="113">
                  <c:v>722.06920144483729</c:v>
                </c:pt>
                <c:pt idx="114">
                  <c:v>732.61334454063888</c:v>
                </c:pt>
                <c:pt idx="115">
                  <c:v>743.15439635970449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M127" sqref="M1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4.45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9.4E-2</v>
      </c>
      <c r="D9" s="36">
        <f t="shared" ref="D9:D18" si="0">C9*$C$5</f>
        <v>0.41830000000000001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9</v>
      </c>
      <c r="C10" s="35">
        <v>9.4E-2</v>
      </c>
      <c r="D10" s="36">
        <f t="shared" si="0"/>
        <v>0.41830000000000001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0.36</v>
      </c>
      <c r="D11" s="36">
        <f t="shared" si="0"/>
        <v>1.6020000000000001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35</v>
      </c>
      <c r="C12" s="35">
        <v>0.13500000000000001</v>
      </c>
      <c r="D12" s="36">
        <f t="shared" si="0"/>
        <v>0.60075000000000012</v>
      </c>
      <c r="E12" s="37">
        <v>82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164</v>
      </c>
      <c r="C13" s="35">
        <v>0.31</v>
      </c>
      <c r="D13" s="36">
        <f t="shared" si="0"/>
        <v>1.3794999999999999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0.9930000000000001</v>
      </c>
      <c r="D19" s="41">
        <f>SUM(D9:D18)</f>
        <v>4.4188499999999999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87</v>
      </c>
      <c r="C36" s="63">
        <v>1</v>
      </c>
      <c r="D36" s="63">
        <v>21</v>
      </c>
      <c r="E36" s="54"/>
      <c r="F36" s="54"/>
      <c r="G36" s="54">
        <v>1</v>
      </c>
      <c r="H36" s="54"/>
      <c r="I36" s="52">
        <f>IFERROR(B36/A36,"")</f>
        <v>5.8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137</v>
      </c>
      <c r="C37" s="63">
        <v>2</v>
      </c>
      <c r="D37" s="63">
        <v>43</v>
      </c>
      <c r="E37" s="54"/>
      <c r="F37" s="54"/>
      <c r="G37" s="54">
        <v>1</v>
      </c>
      <c r="H37" s="54"/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163</v>
      </c>
      <c r="C38" s="63">
        <v>3</v>
      </c>
      <c r="D38" s="63">
        <v>44</v>
      </c>
      <c r="E38" s="54"/>
      <c r="F38" s="54"/>
      <c r="G38" s="54">
        <v>1</v>
      </c>
      <c r="H38" s="54"/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184</v>
      </c>
      <c r="C39" s="63">
        <v>4</v>
      </c>
      <c r="D39" s="63">
        <v>44</v>
      </c>
      <c r="E39" s="54">
        <v>0.25</v>
      </c>
      <c r="F39" s="54"/>
      <c r="G39" s="54">
        <v>0.75</v>
      </c>
      <c r="H39" s="54"/>
      <c r="I39" s="52">
        <f t="shared" si="1"/>
        <v>13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201</v>
      </c>
      <c r="C40" s="63">
        <v>5</v>
      </c>
      <c r="D40" s="63">
        <v>42</v>
      </c>
      <c r="E40" s="54"/>
      <c r="F40" s="54"/>
      <c r="G40" s="54"/>
      <c r="H40" s="54"/>
      <c r="I40" s="52">
        <f t="shared" si="1"/>
        <v>12.2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213</v>
      </c>
      <c r="C41" s="63">
        <v>6</v>
      </c>
      <c r="D41" s="63">
        <v>39</v>
      </c>
      <c r="E41" s="54"/>
      <c r="F41" s="54"/>
      <c r="G41" s="54"/>
      <c r="H41" s="54"/>
      <c r="I41" s="56">
        <f t="shared" si="1"/>
        <v>10.8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223</v>
      </c>
      <c r="C42" s="63">
        <v>7</v>
      </c>
      <c r="D42" s="63">
        <v>36</v>
      </c>
      <c r="E42" s="54"/>
      <c r="F42" s="54"/>
      <c r="G42" s="54"/>
      <c r="H42" s="54"/>
      <c r="I42" s="56">
        <f t="shared" si="1"/>
        <v>9.8000000000000007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231</v>
      </c>
      <c r="C43" s="63">
        <v>8</v>
      </c>
      <c r="D43" s="63">
        <v>33</v>
      </c>
      <c r="E43" s="54"/>
      <c r="F43" s="54"/>
      <c r="G43" s="54"/>
      <c r="H43" s="54"/>
      <c r="I43" s="52">
        <f t="shared" si="1"/>
        <v>8.8000000000000007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237</v>
      </c>
      <c r="C44" s="63">
        <v>9</v>
      </c>
      <c r="D44" s="63">
        <v>29</v>
      </c>
      <c r="E44" s="54"/>
      <c r="F44" s="54"/>
      <c r="G44" s="54"/>
      <c r="H44" s="54"/>
      <c r="I44" s="52">
        <f t="shared" si="1"/>
        <v>7.8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242</v>
      </c>
      <c r="C45" s="63">
        <v>10</v>
      </c>
      <c r="D45" s="63">
        <v>26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246</v>
      </c>
      <c r="C46" s="63">
        <v>11</v>
      </c>
      <c r="D46" s="63">
        <v>23</v>
      </c>
      <c r="E46" s="54"/>
      <c r="F46" s="54"/>
      <c r="G46" s="54"/>
      <c r="H46" s="54"/>
      <c r="I46" s="52">
        <f t="shared" si="1"/>
        <v>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70</v>
      </c>
      <c r="B47" s="63">
        <v>249</v>
      </c>
      <c r="C47" s="63">
        <v>12</v>
      </c>
      <c r="D47" s="63">
        <v>249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chevelu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/>
      <c r="H64" s="54">
        <v>1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333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331</v>
      </c>
      <c r="C81" s="53">
        <v>20</v>
      </c>
      <c r="D81" s="53">
        <v>331</v>
      </c>
      <c r="E81" s="54"/>
      <c r="F81" s="54"/>
      <c r="G81" s="54"/>
      <c r="H81" s="54"/>
      <c r="I81" s="52">
        <f t="shared" si="2"/>
        <v>4.8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93"/>
      <c r="H90" s="93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333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331</v>
      </c>
      <c r="C107" s="53">
        <v>20</v>
      </c>
      <c r="D107" s="53">
        <v>331</v>
      </c>
      <c r="E107" s="57"/>
      <c r="F107" s="57"/>
      <c r="G107" s="57"/>
      <c r="H107" s="57"/>
      <c r="I107" s="56">
        <f t="shared" si="3"/>
        <v>4.8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laricio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22</v>
      </c>
      <c r="B114" s="63">
        <v>123</v>
      </c>
      <c r="C114" s="53">
        <v>1</v>
      </c>
      <c r="D114" s="63">
        <v>16</v>
      </c>
      <c r="E114" s="54">
        <v>0.2</v>
      </c>
      <c r="F114" s="54">
        <v>0.3</v>
      </c>
      <c r="G114" s="54">
        <v>0.5</v>
      </c>
      <c r="H114" s="54"/>
      <c r="I114" s="56">
        <f>IFERROR(B114/A114,"")</f>
        <v>5.5909090909090908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144</v>
      </c>
      <c r="C115" s="53">
        <v>2</v>
      </c>
      <c r="D115" s="63">
        <v>17</v>
      </c>
      <c r="E115" s="54">
        <v>0.4</v>
      </c>
      <c r="F115" s="54">
        <v>0.25</v>
      </c>
      <c r="G115" s="54">
        <v>0.35</v>
      </c>
      <c r="H115" s="54"/>
      <c r="I115" s="56">
        <f t="shared" ref="I115:I133" si="4">IF(A115&lt;&gt;0,(B115-(B114-D114))/(A115-A114),"")</f>
        <v>12.333333333333334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194</v>
      </c>
      <c r="C116" s="53">
        <v>3</v>
      </c>
      <c r="D116" s="63">
        <v>34</v>
      </c>
      <c r="E116" s="54">
        <v>0.4</v>
      </c>
      <c r="F116" s="54">
        <v>0.35</v>
      </c>
      <c r="G116" s="54">
        <v>0.25</v>
      </c>
      <c r="H116" s="54"/>
      <c r="I116" s="56">
        <f t="shared" si="4"/>
        <v>13.4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233</v>
      </c>
      <c r="C117" s="53">
        <v>4</v>
      </c>
      <c r="D117" s="63">
        <v>41</v>
      </c>
      <c r="E117" s="54"/>
      <c r="F117" s="54"/>
      <c r="G117" s="54"/>
      <c r="H117" s="54"/>
      <c r="I117" s="56">
        <f t="shared" si="4"/>
        <v>14.6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264</v>
      </c>
      <c r="C118" s="53">
        <v>5</v>
      </c>
      <c r="D118" s="63">
        <v>41</v>
      </c>
      <c r="E118" s="54"/>
      <c r="F118" s="54"/>
      <c r="G118" s="54"/>
      <c r="H118" s="54"/>
      <c r="I118" s="56">
        <f t="shared" si="4"/>
        <v>14.4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306</v>
      </c>
      <c r="C119" s="53">
        <v>6</v>
      </c>
      <c r="D119" s="63">
        <v>53</v>
      </c>
      <c r="E119" s="54"/>
      <c r="F119" s="54"/>
      <c r="G119" s="54"/>
      <c r="H119" s="54"/>
      <c r="I119" s="56">
        <f t="shared" si="4"/>
        <v>16.600000000000001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340</v>
      </c>
      <c r="C120" s="63">
        <v>7</v>
      </c>
      <c r="D120" s="63">
        <v>53</v>
      </c>
      <c r="E120" s="93"/>
      <c r="F120" s="93"/>
      <c r="G120" s="93"/>
      <c r="H120" s="93"/>
      <c r="I120" s="56">
        <f t="shared" si="4"/>
        <v>17.399999999999999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58</v>
      </c>
      <c r="B121" s="63">
        <v>428</v>
      </c>
      <c r="C121" s="63">
        <v>8</v>
      </c>
      <c r="D121" s="63">
        <v>78</v>
      </c>
      <c r="E121" s="93"/>
      <c r="F121" s="93"/>
      <c r="G121" s="93"/>
      <c r="H121" s="93"/>
      <c r="I121" s="56">
        <f t="shared" si="4"/>
        <v>17.625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66</v>
      </c>
      <c r="B122" s="63">
        <v>483</v>
      </c>
      <c r="C122" s="63">
        <v>9</v>
      </c>
      <c r="D122" s="63">
        <v>65</v>
      </c>
      <c r="E122" s="93"/>
      <c r="F122" s="93"/>
      <c r="G122" s="93"/>
      <c r="H122" s="93"/>
      <c r="I122" s="56">
        <f t="shared" si="4"/>
        <v>16.625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74</v>
      </c>
      <c r="B123" s="63">
        <v>521</v>
      </c>
      <c r="C123" s="63">
        <v>10</v>
      </c>
      <c r="D123" s="63">
        <v>37</v>
      </c>
      <c r="E123" s="93"/>
      <c r="F123" s="93"/>
      <c r="G123" s="93"/>
      <c r="H123" s="93"/>
      <c r="I123" s="56">
        <f t="shared" si="4"/>
        <v>12.875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82</v>
      </c>
      <c r="B124" s="63">
        <v>555</v>
      </c>
      <c r="C124" s="63">
        <v>11</v>
      </c>
      <c r="D124" s="63">
        <v>555</v>
      </c>
      <c r="E124" s="93"/>
      <c r="F124" s="93"/>
      <c r="G124" s="93"/>
      <c r="H124" s="93"/>
      <c r="I124" s="56">
        <f t="shared" si="4"/>
        <v>8.875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Cèdre de l'Atlas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158</v>
      </c>
      <c r="C140" s="53">
        <v>1</v>
      </c>
      <c r="D140" s="63">
        <v>0</v>
      </c>
      <c r="E140" s="54">
        <v>0</v>
      </c>
      <c r="F140" s="54">
        <v>0</v>
      </c>
      <c r="G140" s="54">
        <v>0</v>
      </c>
      <c r="H140" s="54">
        <v>0</v>
      </c>
      <c r="I140" s="60">
        <f>IFERROR(B140/A140,"")</f>
        <v>7.9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250</v>
      </c>
      <c r="C141" s="53">
        <v>2</v>
      </c>
      <c r="D141" s="63">
        <v>0</v>
      </c>
      <c r="E141" s="54">
        <v>0</v>
      </c>
      <c r="F141" s="54">
        <v>0</v>
      </c>
      <c r="G141" s="54">
        <v>0</v>
      </c>
      <c r="H141" s="54">
        <v>0</v>
      </c>
      <c r="I141" s="60">
        <f t="shared" ref="I141:I159" si="5">IF(A141&lt;&gt;0,(B141-(B140-D140))/(A141-A140),"")</f>
        <v>9.1999999999999993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40</v>
      </c>
      <c r="B142" s="63">
        <v>350</v>
      </c>
      <c r="C142" s="53">
        <v>3</v>
      </c>
      <c r="D142" s="63">
        <v>88</v>
      </c>
      <c r="E142" s="54"/>
      <c r="F142" s="54"/>
      <c r="G142" s="54"/>
      <c r="H142" s="54"/>
      <c r="I142" s="60">
        <f t="shared" si="5"/>
        <v>10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50</v>
      </c>
      <c r="B143" s="63">
        <v>377</v>
      </c>
      <c r="C143" s="53">
        <v>4</v>
      </c>
      <c r="D143" s="63">
        <v>0</v>
      </c>
      <c r="E143" s="54"/>
      <c r="F143" s="54"/>
      <c r="G143" s="54"/>
      <c r="H143" s="54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60</v>
      </c>
      <c r="B144" s="63">
        <v>512</v>
      </c>
      <c r="C144" s="53">
        <v>5</v>
      </c>
      <c r="D144" s="63">
        <v>102</v>
      </c>
      <c r="E144" s="54"/>
      <c r="F144" s="54"/>
      <c r="G144" s="54"/>
      <c r="H144" s="54"/>
      <c r="I144" s="60">
        <f t="shared" si="5"/>
        <v>13.5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70</v>
      </c>
      <c r="B145" s="63">
        <v>565</v>
      </c>
      <c r="C145" s="53">
        <v>6</v>
      </c>
      <c r="D145" s="63">
        <v>113</v>
      </c>
      <c r="E145" s="54"/>
      <c r="F145" s="54"/>
      <c r="G145" s="54"/>
      <c r="H145" s="54"/>
      <c r="I145" s="60">
        <f t="shared" si="5"/>
        <v>15.5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80</v>
      </c>
      <c r="B146" s="63">
        <v>622</v>
      </c>
      <c r="C146" s="53">
        <v>7</v>
      </c>
      <c r="D146" s="63">
        <v>124</v>
      </c>
      <c r="E146" s="54"/>
      <c r="F146" s="54"/>
      <c r="G146" s="54"/>
      <c r="H146" s="54"/>
      <c r="I146" s="60">
        <f t="shared" si="5"/>
        <v>17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90</v>
      </c>
      <c r="B147" s="63">
        <v>673</v>
      </c>
      <c r="C147" s="53">
        <v>8</v>
      </c>
      <c r="D147" s="63">
        <v>135</v>
      </c>
      <c r="E147" s="54"/>
      <c r="F147" s="54"/>
      <c r="G147" s="54"/>
      <c r="H147" s="54"/>
      <c r="I147" s="60">
        <f>IF(A147&lt;&gt;0,(B147-(B146-D146))/(A147-A146),"")</f>
        <v>17.5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100</v>
      </c>
      <c r="B148" s="63">
        <v>723</v>
      </c>
      <c r="C148" s="53">
        <v>9</v>
      </c>
      <c r="D148" s="63">
        <v>723</v>
      </c>
      <c r="E148" s="54"/>
      <c r="F148" s="54"/>
      <c r="G148" s="54"/>
      <c r="H148" s="54"/>
      <c r="I148" s="60">
        <f t="shared" si="5"/>
        <v>18.5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rouge d'Amérique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chevelu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laricio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Cèdre de l'Atlas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253.73326067725128</v>
      </c>
      <c r="T3" s="62">
        <f>IF('Données projet'!E9&gt;30,$R$33-$H$33,LOOKUP('Données projet'!$E$9,$A$3:$A$203,R3:R203)-LOOKUP('Données projet'!$E$9,$A$3:$A$203,$H$3:$H$203))</f>
        <v>317.76427047458026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406.17572122067492</v>
      </c>
      <c r="AO3" s="62">
        <f>IF('Données projet'!E10&gt;30,$AM$33-$H$33,LOOKUP('Données projet'!$E$10,$A$3:$A$203,AM3:AM203)-LOOKUP('Données projet'!$E$10,$A$3:$A$203,$H$3:$H$203))</f>
        <v>244.4332618279085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344.49457749226184</v>
      </c>
      <c r="BJ3" s="62">
        <f>IF('Données projet'!E11&gt;30,$BH$33-$H$33,LOOKUP('Données projet'!$E$11,$A$3:$A$203,BH3:BH203)-LOOKUP('Données projet'!$E$11,$A$3:$A$203,$H$3:$H$203))</f>
        <v>207.92972431357452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287.69656598881124</v>
      </c>
      <c r="CE3" s="62">
        <f>IF('Données projet'!E12&gt;30,$CC$33-$H$33,LOOKUP('Données projet'!$E$12,$A$3:$A$203,CC3:CC203)-LOOKUP('Données projet'!$E$12,$A$3:$A$203,$H$3:$H$203))</f>
        <v>221.9773436301067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310.95287409903602</v>
      </c>
      <c r="CZ3" s="62">
        <f>IF('Données projet'!E13&gt;30,$CX$33-$H$33,LOOKUP('Données projet'!$E$13,$A$3:$A$203,CX3:CX203)-LOOKUP('Données projet'!$E$13,$A$3:$A$203,$H$3:$H$203))</f>
        <v>224.10083380795163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5.8</v>
      </c>
      <c r="N4" s="14">
        <f>IF('Données projet'!$A$36&gt;35,N3+M4-V3,IF(A4&lt;'Données projet'!$A$36,$K$205^A4,IF(A4='Données projet'!$A$36,'Données projet'!$B$36,N3+M4-V3)))</f>
        <v>1.3467943429205997</v>
      </c>
      <c r="O4" s="14">
        <f>N4*VLOOKUP('Données projet'!$B$9,Paramètres!$A$1:$I$89,3,0)*VLOOKUP('Données projet'!$B$9,Paramètres!$A$1:$I$89,5,0)</f>
        <v>1.1765595379754361</v>
      </c>
      <c r="P4" s="14">
        <f>EXP(-1.0587+0.8836*LN(O4)+0.284)</f>
        <v>0.53204273185561757</v>
      </c>
      <c r="Q4" s="22">
        <f t="shared" ref="Q4:Q34" si="2">(O4+P4)*0.475*44/12</f>
        <v>2.9758156199557515</v>
      </c>
      <c r="R4" s="62">
        <f t="shared" si="0"/>
        <v>296.30914895328908</v>
      </c>
      <c r="S4" s="62">
        <f ca="1">AVERAGE(OFFSET($R$3,0,0,'Données projet'!$E$9+1,1))-AVERAGE(OFFSET($H$3,0,0,'Données projet'!$E$9+1,1))</f>
        <v>253.73326067725128</v>
      </c>
      <c r="T4" s="62">
        <f>$T$3</f>
        <v>317.76427047458026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1.2952856198764018</v>
      </c>
      <c r="AK4" s="14">
        <f>EXP(-1.0587+0.8836*LN(AJ4)+0.284)</f>
        <v>0.57921294517312394</v>
      </c>
      <c r="AL4" s="22">
        <f t="shared" ref="AL4:AL67" si="4">(AJ4+AK4)*0.475*44/12</f>
        <v>3.2647516674612578</v>
      </c>
      <c r="AM4" s="62">
        <f t="shared" ref="AM4:AM67" si="5">AL4+(AD4+AE4)*44/12</f>
        <v>296.59808500079458</v>
      </c>
      <c r="AN4" s="62">
        <f ca="1">AVERAGE(OFFSET($AM$3,0,0,'Données projet'!$E$10+1,1))-AVERAGE(OFFSET($H$3,0,0,'Données projet'!$E$10+1,1))</f>
        <v>406.17572122067492</v>
      </c>
      <c r="AO4" s="62">
        <f>$AO$3</f>
        <v>244.4332618279085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296.17432310550635</v>
      </c>
      <c r="BI4" s="62">
        <f ca="1">AVERAGE(OFFSET($BH$3,0,0,'Données projet'!$E$11+1,1))-AVERAGE(OFFSET($H$3,0,0,'Données projet'!$E$11+1,1))</f>
        <v>344.49457749226184</v>
      </c>
      <c r="BJ4" s="62">
        <f>$BJ$3</f>
        <v>207.92972431357452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5.5909090909090908</v>
      </c>
      <c r="BY4" s="13">
        <f>IF('Données projet'!$A$114&gt;35,BY3+BX4-CG3,IF(A4&lt;'Données projet'!$A$114,$BV$205^A4,IF(A4='Données projet'!$A$114,'Données projet'!$B$114,BY3+BX4-CG3)))</f>
        <v>1.244502252163008</v>
      </c>
      <c r="BZ4" s="14">
        <f>BY4*VLOOKUP('Données projet'!$B$12,Paramètres!$A$1:$I$89,3,0)*VLOOKUP('Données projet'!$B$12,Paramètres!$A$1:$I$89,5,0)</f>
        <v>0.74421234679347892</v>
      </c>
      <c r="CA4" s="14">
        <f>EXP(-1.0587+0.8836*LN(BZ4)+0.284)</f>
        <v>0.3549632728022305</v>
      </c>
      <c r="CB4" s="22">
        <f t="shared" ref="CB4:CB67" si="10">(BZ4+CA4)*0.475*44/12</f>
        <v>1.9143975374625271</v>
      </c>
      <c r="CC4" s="62">
        <f t="shared" ref="CC4:CC67" si="11">CB4+(BT4+BU4)*44/12</f>
        <v>295.24773087079586</v>
      </c>
      <c r="CD4" s="62">
        <f ca="1">AVERAGE(OFFSET($CC$3,0,0,'Données projet'!$E$12+1,1))-AVERAGE(OFFSET($H$3,0,0,'Données projet'!$E$12+1,1))</f>
        <v>287.69656598881124</v>
      </c>
      <c r="CE4" s="62">
        <f>$CE$3</f>
        <v>221.9773436301067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7.9</v>
      </c>
      <c r="CT4" s="13">
        <f>IF('Données projet'!$A$140&gt;35,CT3+CS4-DB3,IF(A4&lt;'Données projet'!$A$140,$CQ$205^A4,IF(A4='Données projet'!$A$140,'Données projet'!$B$140,CT3+CS4-DB3)))</f>
        <v>1.2880503926580862</v>
      </c>
      <c r="CU4" s="18">
        <f>CT4*VLOOKUP('Données projet'!$B$13,Paramètres!$A$1:$I$89,3,0)*VLOOKUP('Données projet'!$B$13,Paramètres!$A$1:$I$89,5,0)</f>
        <v>0.60280758376398436</v>
      </c>
      <c r="CV4" s="14">
        <f>EXP(-1.0587+0.8836*LN(CU4)+0.284)</f>
        <v>0.29465781953181042</v>
      </c>
      <c r="CW4" s="22">
        <f t="shared" ref="CW4:CW67" si="13">(CU4+CV4)*0.475*44/12</f>
        <v>1.5630855774068424</v>
      </c>
      <c r="CX4" s="62">
        <f t="shared" ref="CX4:CX67" si="14">CW4+(CO4+CP4)*44/12</f>
        <v>294.89641891074018</v>
      </c>
      <c r="CY4" s="62">
        <f ca="1">AVERAGE(OFFSET($CX$3,0,0,'Données projet'!$E$13+1,1))-AVERAGE(OFFSET($H$3,0,0,'Données projet'!$E$13+1,1))</f>
        <v>310.95287409903602</v>
      </c>
      <c r="CZ4" s="62">
        <f>$CZ$3</f>
        <v>224.10083380795163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5.8</v>
      </c>
      <c r="N5" s="14">
        <f>IF('Données projet'!$A$36&gt;35,N4+M5-V4,IF(A5&lt;'Données projet'!$A$36,$K$205^A5,IF(A5='Données projet'!$A$36,'Données projet'!$B$36,N4+M5-V4)))</f>
        <v>1.81385500212293</v>
      </c>
      <c r="O5" s="14">
        <f>N5*VLOOKUP('Données projet'!$B$9,Paramètres!$A$1:$I$89,3,0)*VLOOKUP('Données projet'!$B$9,Paramètres!$A$1:$I$89,5,0)</f>
        <v>1.5845837298545919</v>
      </c>
      <c r="P5" s="14">
        <f t="shared" ref="P5:P68" si="33">EXP(-1.0587+0.8836*LN(O5)+0.284)</f>
        <v>0.69214506839939893</v>
      </c>
      <c r="Q5" s="22">
        <f t="shared" si="2"/>
        <v>3.9653026569590337</v>
      </c>
      <c r="R5" s="62">
        <f t="shared" si="0"/>
        <v>297.29863599029233</v>
      </c>
      <c r="S5" s="62">
        <f ca="1">AVERAGE(OFFSET($R$3,0,0,'Données projet'!$E$9+1,1))-AVERAGE(OFFSET($H$3,0,0,'Données projet'!$E$9+1,1))</f>
        <v>253.73326067725128</v>
      </c>
      <c r="T5" s="62">
        <f t="shared" ref="T5:T68" si="34">$T$3</f>
        <v>317.76427047458026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1.6052093733817396</v>
      </c>
      <c r="AK5" s="14">
        <f t="shared" ref="AK5:AK68" si="35">EXP(-1.0587+0.8836*LN(AJ5)+0.284)</f>
        <v>0.70009965487896453</v>
      </c>
      <c r="AL5" s="22">
        <f t="shared" si="4"/>
        <v>4.0150798908873933</v>
      </c>
      <c r="AM5" s="62">
        <f t="shared" si="5"/>
        <v>297.34841322422074</v>
      </c>
      <c r="AN5" s="62">
        <f ca="1">AVERAGE(OFFSET($AM$3,0,0,'Données projet'!$E$10+1,1))-AVERAGE(OFFSET($H$3,0,0,'Données projet'!$E$10+1,1))</f>
        <v>406.17572122067492</v>
      </c>
      <c r="AO5" s="62">
        <f t="shared" ref="AO5:AO68" si="36">$AO$3</f>
        <v>244.4332618279085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296.82694711009896</v>
      </c>
      <c r="BI5" s="62">
        <f ca="1">AVERAGE(OFFSET($BH$3,0,0,'Données projet'!$E$11+1,1))-AVERAGE(OFFSET($H$3,0,0,'Données projet'!$E$11+1,1))</f>
        <v>344.49457749226184</v>
      </c>
      <c r="BJ5" s="62">
        <f t="shared" ref="BJ5:BJ68" si="38">$BJ$3</f>
        <v>207.92972431357452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5.5909090909090908</v>
      </c>
      <c r="BY5" s="13">
        <f>IF('Données projet'!$A$114&gt;35,BY4+BX5-CG4,IF(A5&lt;'Données projet'!$A$114,$BV$205^A5,IF(A5='Données projet'!$A$114,'Données projet'!$B$114,BY4+BX5-CG4)))</f>
        <v>1.5487858556387992</v>
      </c>
      <c r="BZ5" s="14">
        <f>BY5*VLOOKUP('Données projet'!$B$12,Paramètres!$A$1:$I$89,3,0)*VLOOKUP('Données projet'!$B$12,Paramètres!$A$1:$I$89,5,0)</f>
        <v>0.92617394167200195</v>
      </c>
      <c r="CA5" s="14">
        <f t="shared" ref="CA5:CA68" si="39">EXP(-1.0587+0.8836*LN(BZ5)+0.284)</f>
        <v>0.43064718121421069</v>
      </c>
      <c r="CB5" s="22">
        <f t="shared" si="10"/>
        <v>2.3631301223601535</v>
      </c>
      <c r="CC5" s="62">
        <f t="shared" si="11"/>
        <v>295.69646345569345</v>
      </c>
      <c r="CD5" s="62">
        <f ca="1">AVERAGE(OFFSET($CC$3,0,0,'Données projet'!$E$12+1,1))-AVERAGE(OFFSET($H$3,0,0,'Données projet'!$E$12+1,1))</f>
        <v>287.69656598881124</v>
      </c>
      <c r="CE5" s="62">
        <f t="shared" ref="CE5:CE68" si="40">$CE$3</f>
        <v>221.9773436301067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7.9</v>
      </c>
      <c r="CT5" s="13">
        <f>IF('Données projet'!$A$140&gt;35,CT4+CS5-DB4,IF(A5&lt;'Données projet'!$A$140,$CQ$205^A5,IF(A5='Données projet'!$A$140,'Données projet'!$B$140,CT4+CS5-DB4)))</f>
        <v>1.6590738140266501</v>
      </c>
      <c r="CU5" s="18">
        <f>CT5*VLOOKUP('Données projet'!$B$13,Paramètres!$A$1:$I$89,3,0)*VLOOKUP('Données projet'!$B$13,Paramètres!$A$1:$I$89,5,0)</f>
        <v>0.77644654496447219</v>
      </c>
      <c r="CV5" s="14">
        <f t="shared" ref="CV5:CV68" si="41">EXP(-1.0587+0.8836*LN(CU5)+0.284)</f>
        <v>0.36851455096495994</v>
      </c>
      <c r="CW5" s="22">
        <f t="shared" si="13"/>
        <v>1.9941405754104276</v>
      </c>
      <c r="CX5" s="62">
        <f t="shared" si="14"/>
        <v>295.32747390874374</v>
      </c>
      <c r="CY5" s="62">
        <f ca="1">AVERAGE(OFFSET($CX$3,0,0,'Données projet'!$E$13+1,1))-AVERAGE(OFFSET($H$3,0,0,'Données projet'!$E$13+1,1))</f>
        <v>310.95287409903602</v>
      </c>
      <c r="CZ5" s="62">
        <f t="shared" ref="CZ5:CZ68" si="42">$CZ$3</f>
        <v>224.10083380795163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5.8</v>
      </c>
      <c r="N6" s="14">
        <f>IF('Données projet'!$A$36&gt;35,N5+M6-V5,IF(A6&lt;'Données projet'!$A$36,$K$205^A6,IF(A6='Données projet'!$A$36,'Données projet'!$B$36,N5+M6-V5)))</f>
        <v>2.4428896557373947</v>
      </c>
      <c r="O6" s="14">
        <f>N6*VLOOKUP('Données projet'!$B$9,Paramètres!$A$1:$I$89,3,0)*VLOOKUP('Données projet'!$B$9,Paramètres!$A$1:$I$89,5,0)</f>
        <v>2.1341084032521884</v>
      </c>
      <c r="P6" s="14">
        <f t="shared" si="33"/>
        <v>0.90042541139273424</v>
      </c>
      <c r="Q6" s="22">
        <f t="shared" si="2"/>
        <v>5.2851463938399075</v>
      </c>
      <c r="R6" s="62">
        <f t="shared" si="0"/>
        <v>298.61847972717322</v>
      </c>
      <c r="S6" s="62">
        <f ca="1">AVERAGE(OFFSET($R$3,0,0,'Données projet'!$E$9+1,1))-AVERAGE(OFFSET($H$3,0,0,'Données projet'!$E$9+1,1))</f>
        <v>253.73326067725128</v>
      </c>
      <c r="T6" s="62">
        <f t="shared" si="34"/>
        <v>317.76427047458026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1.9892887660085887</v>
      </c>
      <c r="AK6" s="14">
        <f t="shared" si="35"/>
        <v>0.84621645777468746</v>
      </c>
      <c r="AL6" s="22">
        <f t="shared" si="4"/>
        <v>4.9385049314225391</v>
      </c>
      <c r="AM6" s="62">
        <f t="shared" si="5"/>
        <v>298.27183826475584</v>
      </c>
      <c r="AN6" s="62">
        <f ca="1">AVERAGE(OFFSET($AM$3,0,0,'Données projet'!$E$10+1,1))-AVERAGE(OFFSET($H$3,0,0,'Données projet'!$E$10+1,1))</f>
        <v>406.17572122067492</v>
      </c>
      <c r="AO6" s="62">
        <f t="shared" si="36"/>
        <v>244.4332618279085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297.63006022433916</v>
      </c>
      <c r="BI6" s="62">
        <f ca="1">AVERAGE(OFFSET($BH$3,0,0,'Données projet'!$E$11+1,1))-AVERAGE(OFFSET($H$3,0,0,'Données projet'!$E$11+1,1))</f>
        <v>344.49457749226184</v>
      </c>
      <c r="BJ6" s="62">
        <f t="shared" si="38"/>
        <v>207.92972431357452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5.5909090909090908</v>
      </c>
      <c r="BY6" s="13">
        <f>IF('Données projet'!$A$114&gt;35,BY5+BX6-CG5,IF(A6&lt;'Données projet'!$A$114,$BV$205^A6,IF(A6='Données projet'!$A$114,'Données projet'!$B$114,BY5+BX6-CG5)))</f>
        <v>1.927467485460697</v>
      </c>
      <c r="BZ6" s="14">
        <f>BY6*VLOOKUP('Données projet'!$B$12,Paramètres!$A$1:$I$89,3,0)*VLOOKUP('Données projet'!$B$12,Paramètres!$A$1:$I$89,5,0)</f>
        <v>1.152625556305497</v>
      </c>
      <c r="CA6" s="14">
        <f t="shared" si="39"/>
        <v>0.52246812247269758</v>
      </c>
      <c r="CB6" s="22">
        <f t="shared" si="10"/>
        <v>2.9174548238720219</v>
      </c>
      <c r="CC6" s="62">
        <f t="shared" si="11"/>
        <v>296.25078815720536</v>
      </c>
      <c r="CD6" s="62">
        <f ca="1">AVERAGE(OFFSET($CC$3,0,0,'Données projet'!$E$12+1,1))-AVERAGE(OFFSET($H$3,0,0,'Données projet'!$E$12+1,1))</f>
        <v>287.69656598881124</v>
      </c>
      <c r="CE6" s="62">
        <f t="shared" si="40"/>
        <v>221.9773436301067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7.9</v>
      </c>
      <c r="CT6" s="13">
        <f>IF('Données projet'!$A$140&gt;35,CT5+CS6-DB5,IF(A6&lt;'Données projet'!$A$140,$CQ$205^A6,IF(A6='Données projet'!$A$140,'Données projet'!$B$140,CT5+CS6-DB5)))</f>
        <v>2.1369706776057753</v>
      </c>
      <c r="CU6" s="18">
        <f>CT6*VLOOKUP('Données projet'!$B$13,Paramètres!$A$1:$I$89,3,0)*VLOOKUP('Données projet'!$B$13,Paramètres!$A$1:$I$89,5,0)</f>
        <v>1.0001022771195029</v>
      </c>
      <c r="CV6" s="14">
        <f t="shared" si="41"/>
        <v>0.46088365986243646</v>
      </c>
      <c r="CW6" s="22">
        <f t="shared" si="13"/>
        <v>2.5445505069102112</v>
      </c>
      <c r="CX6" s="62">
        <f t="shared" si="14"/>
        <v>295.8778838402435</v>
      </c>
      <c r="CY6" s="62">
        <f ca="1">AVERAGE(OFFSET($CX$3,0,0,'Données projet'!$E$13+1,1))-AVERAGE(OFFSET($H$3,0,0,'Données projet'!$E$13+1,1))</f>
        <v>310.95287409903602</v>
      </c>
      <c r="CZ6" s="62">
        <f t="shared" si="42"/>
        <v>224.10083380795163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5.8</v>
      </c>
      <c r="N7" s="14">
        <f>IF('Données projet'!$A$36&gt;35,N6+M7-V6,IF(A7&lt;'Données projet'!$A$36,$K$205^A7,IF(A7='Données projet'!$A$36,'Données projet'!$B$36,N6+M7-V6)))</f>
        <v>3.2900699687263746</v>
      </c>
      <c r="O7" s="14">
        <f>N7*VLOOKUP('Données projet'!$B$9,Paramètres!$A$1:$I$89,3,0)*VLOOKUP('Données projet'!$B$9,Paramètres!$A$1:$I$89,5,0)</f>
        <v>2.874205124679361</v>
      </c>
      <c r="P7" s="14">
        <f t="shared" si="33"/>
        <v>1.1713814899478936</v>
      </c>
      <c r="Q7" s="22">
        <f t="shared" si="2"/>
        <v>7.0460633538091342</v>
      </c>
      <c r="R7" s="62">
        <f t="shared" si="0"/>
        <v>300.37939668714245</v>
      </c>
      <c r="S7" s="62">
        <f ca="1">AVERAGE(OFFSET($R$3,0,0,'Données projet'!$E$9+1,1))-AVERAGE(OFFSET($H$3,0,0,'Données projet'!$E$9+1,1))</f>
        <v>253.73326067725128</v>
      </c>
      <c r="T7" s="62">
        <f t="shared" si="34"/>
        <v>317.76427047458026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2.4652670612252172</v>
      </c>
      <c r="AK7" s="14">
        <f t="shared" si="35"/>
        <v>1.0228290907135758</v>
      </c>
      <c r="AL7" s="22">
        <f t="shared" si="4"/>
        <v>6.0751007979600642</v>
      </c>
      <c r="AM7" s="62">
        <f t="shared" si="5"/>
        <v>299.4084341312934</v>
      </c>
      <c r="AN7" s="62">
        <f ca="1">AVERAGE(OFFSET($AM$3,0,0,'Données projet'!$E$10+1,1))-AVERAGE(OFFSET($H$3,0,0,'Données projet'!$E$10+1,1))</f>
        <v>406.17572122067492</v>
      </c>
      <c r="AO7" s="62">
        <f t="shared" si="36"/>
        <v>244.4332618279085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298.61848781128475</v>
      </c>
      <c r="BI7" s="62">
        <f ca="1">AVERAGE(OFFSET($BH$3,0,0,'Données projet'!$E$11+1,1))-AVERAGE(OFFSET($H$3,0,0,'Données projet'!$E$11+1,1))</f>
        <v>344.49457749226184</v>
      </c>
      <c r="BJ7" s="62">
        <f t="shared" si="38"/>
        <v>207.92972431357452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5.5909090909090908</v>
      </c>
      <c r="BY7" s="13">
        <f>IF('Données projet'!$A$114&gt;35,BY6+BX7-CG6,IF(A7&lt;'Données projet'!$A$114,$BV$205^A7,IF(A7='Données projet'!$A$114,'Données projet'!$B$114,BY6+BX7-CG6)))</f>
        <v>2.3987376266268075</v>
      </c>
      <c r="BZ7" s="14">
        <f>BY7*VLOOKUP('Données projet'!$B$12,Paramètres!$A$1:$I$89,3,0)*VLOOKUP('Données projet'!$B$12,Paramètres!$A$1:$I$89,5,0)</f>
        <v>1.4344451007228309</v>
      </c>
      <c r="CA7" s="14">
        <f t="shared" si="39"/>
        <v>0.63386677286612625</v>
      </c>
      <c r="CB7" s="22">
        <f t="shared" si="10"/>
        <v>3.6023098465007668</v>
      </c>
      <c r="CC7" s="62">
        <f t="shared" si="11"/>
        <v>296.93564317983407</v>
      </c>
      <c r="CD7" s="62">
        <f ca="1">AVERAGE(OFFSET($CC$3,0,0,'Données projet'!$E$12+1,1))-AVERAGE(OFFSET($H$3,0,0,'Données projet'!$E$12+1,1))</f>
        <v>287.69656598881124</v>
      </c>
      <c r="CE7" s="62">
        <f t="shared" si="40"/>
        <v>221.9773436301067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7.9</v>
      </c>
      <c r="CT7" s="13">
        <f>IF('Données projet'!$A$140&gt;35,CT6+CS7-DB6,IF(A7&lt;'Données projet'!$A$140,$CQ$205^A7,IF(A7='Données projet'!$A$140,'Données projet'!$B$140,CT6+CS7-DB6)))</f>
        <v>2.7525259203889356</v>
      </c>
      <c r="CU7" s="18">
        <f>CT7*VLOOKUP('Données projet'!$B$13,Paramètres!$A$1:$I$89,3,0)*VLOOKUP('Données projet'!$B$13,Paramètres!$A$1:$I$89,5,0)</f>
        <v>1.2881821307420218</v>
      </c>
      <c r="CV7" s="14">
        <f t="shared" si="41"/>
        <v>0.57640532069082717</v>
      </c>
      <c r="CW7" s="22">
        <f t="shared" si="13"/>
        <v>3.2474898112455457</v>
      </c>
      <c r="CX7" s="62">
        <f t="shared" si="14"/>
        <v>296.58082314457886</v>
      </c>
      <c r="CY7" s="62">
        <f ca="1">AVERAGE(OFFSET($CX$3,0,0,'Données projet'!$E$13+1,1))-AVERAGE(OFFSET($H$3,0,0,'Données projet'!$E$13+1,1))</f>
        <v>310.95287409903602</v>
      </c>
      <c r="CZ7" s="62">
        <f t="shared" si="42"/>
        <v>224.10083380795163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5.8</v>
      </c>
      <c r="N8" s="14">
        <f>IF('Données projet'!$A$36&gt;35,N7+M8-V7,IF(A8&lt;'Données projet'!$A$36,$K$205^A8,IF(A8='Données projet'!$A$36,'Données projet'!$B$36,N7+M8-V7)))</f>
        <v>4.4310476216936356</v>
      </c>
      <c r="O8" s="14">
        <f>N8*VLOOKUP('Données projet'!$B$9,Paramètres!$A$1:$I$89,3,0)*VLOOKUP('Données projet'!$B$9,Paramètres!$A$1:$I$89,5,0)</f>
        <v>3.8709632023115605</v>
      </c>
      <c r="P8" s="14">
        <f t="shared" si="33"/>
        <v>1.5238736908481918</v>
      </c>
      <c r="Q8" s="22">
        <f t="shared" si="2"/>
        <v>9.3960075889199022</v>
      </c>
      <c r="R8" s="62">
        <f t="shared" si="0"/>
        <v>302.72934092225324</v>
      </c>
      <c r="S8" s="62">
        <f ca="1">AVERAGE(OFFSET($R$3,0,0,'Données projet'!$E$9+1,1))-AVERAGE(OFFSET($H$3,0,0,'Données projet'!$E$9+1,1))</f>
        <v>253.73326067725128</v>
      </c>
      <c r="T8" s="62">
        <f t="shared" si="34"/>
        <v>317.76427047458026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3.0551329636050331</v>
      </c>
      <c r="AK8" s="14">
        <f t="shared" si="35"/>
        <v>1.2363022949956788</v>
      </c>
      <c r="AL8" s="22">
        <f t="shared" si="4"/>
        <v>7.4742497420629066</v>
      </c>
      <c r="AM8" s="62">
        <f t="shared" si="5"/>
        <v>300.80758307539622</v>
      </c>
      <c r="AN8" s="62">
        <f ca="1">AVERAGE(OFFSET($AM$3,0,0,'Données projet'!$E$10+1,1))-AVERAGE(OFFSET($H$3,0,0,'Données projet'!$E$10+1,1))</f>
        <v>406.17572122067492</v>
      </c>
      <c r="AO8" s="62">
        <f t="shared" si="36"/>
        <v>244.4332618279085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299.83514117239878</v>
      </c>
      <c r="BI8" s="62">
        <f ca="1">AVERAGE(OFFSET($BH$3,0,0,'Données projet'!$E$11+1,1))-AVERAGE(OFFSET($H$3,0,0,'Données projet'!$E$11+1,1))</f>
        <v>344.49457749226184</v>
      </c>
      <c r="BJ8" s="62">
        <f t="shared" si="38"/>
        <v>207.92972431357452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5.5909090909090908</v>
      </c>
      <c r="BY8" s="13">
        <f>IF('Données projet'!$A$114&gt;35,BY7+BX8-CG7,IF(A8&lt;'Données projet'!$A$114,$BV$205^A8,IF(A8='Données projet'!$A$114,'Données projet'!$B$114,BY7+BX8-CG7)))</f>
        <v>2.9852343786852105</v>
      </c>
      <c r="BZ8" s="14">
        <f>BY8*VLOOKUP('Données projet'!$B$12,Paramètres!$A$1:$I$89,3,0)*VLOOKUP('Données projet'!$B$12,Paramètres!$A$1:$I$89,5,0)</f>
        <v>1.785170158453756</v>
      </c>
      <c r="CA8" s="14">
        <f t="shared" si="39"/>
        <v>0.7690174164926461</v>
      </c>
      <c r="CB8" s="22">
        <f t="shared" si="10"/>
        <v>4.4485433596983173</v>
      </c>
      <c r="CC8" s="62">
        <f t="shared" si="11"/>
        <v>297.78187669303162</v>
      </c>
      <c r="CD8" s="62">
        <f ca="1">AVERAGE(OFFSET($CC$3,0,0,'Données projet'!$E$12+1,1))-AVERAGE(OFFSET($H$3,0,0,'Données projet'!$E$12+1,1))</f>
        <v>287.69656598881124</v>
      </c>
      <c r="CE8" s="62">
        <f t="shared" si="40"/>
        <v>221.9773436301067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7.9</v>
      </c>
      <c r="CT8" s="13">
        <f>IF('Données projet'!$A$140&gt;35,CT7+CS8-DB7,IF(A8&lt;'Données projet'!$A$140,$CQ$205^A8,IF(A8='Données projet'!$A$140,'Données projet'!$B$140,CT7+CS8-DB7)))</f>
        <v>3.5453920925585285</v>
      </c>
      <c r="CU8" s="18">
        <f>CT8*VLOOKUP('Données projet'!$B$13,Paramètres!$A$1:$I$89,3,0)*VLOOKUP('Données projet'!$B$13,Paramètres!$A$1:$I$89,5,0)</f>
        <v>1.6592434993173915</v>
      </c>
      <c r="CV8" s="14">
        <f t="shared" si="41"/>
        <v>0.72088277944126433</v>
      </c>
      <c r="CW8" s="22">
        <f t="shared" si="13"/>
        <v>4.1453866021713255</v>
      </c>
      <c r="CX8" s="62">
        <f t="shared" si="14"/>
        <v>297.47871993550461</v>
      </c>
      <c r="CY8" s="62">
        <f ca="1">AVERAGE(OFFSET($CX$3,0,0,'Données projet'!$E$13+1,1))-AVERAGE(OFFSET($H$3,0,0,'Données projet'!$E$13+1,1))</f>
        <v>310.95287409903602</v>
      </c>
      <c r="CZ8" s="62">
        <f t="shared" si="42"/>
        <v>224.10083380795163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5.8</v>
      </c>
      <c r="N9" s="14">
        <f>IF('Données projet'!$A$36&gt;35,N8+M9-V8,IF(A9&lt;'Données projet'!$A$36,$K$205^A9,IF(A9='Données projet'!$A$36,'Données projet'!$B$36,N8+M9-V8)))</f>
        <v>5.9677098701087665</v>
      </c>
      <c r="O9" s="14">
        <f>N9*VLOOKUP('Données projet'!$B$9,Paramètres!$A$1:$I$89,3,0)*VLOOKUP('Données projet'!$B$9,Paramètres!$A$1:$I$89,5,0)</f>
        <v>5.2133913425270189</v>
      </c>
      <c r="P9" s="14">
        <f t="shared" si="33"/>
        <v>1.9824378698032765</v>
      </c>
      <c r="Q9" s="22">
        <f t="shared" si="2"/>
        <v>12.53273587814193</v>
      </c>
      <c r="R9" s="62">
        <f t="shared" si="0"/>
        <v>305.86606921147524</v>
      </c>
      <c r="S9" s="62">
        <f ca="1">AVERAGE(OFFSET($R$3,0,0,'Données projet'!$E$9+1,1))-AVERAGE(OFFSET($H$3,0,0,'Données projet'!$E$9+1,1))</f>
        <v>253.73326067725128</v>
      </c>
      <c r="T9" s="62">
        <f t="shared" si="34"/>
        <v>317.76427047458026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3.7861364280214058</v>
      </c>
      <c r="AK9" s="14">
        <f t="shared" si="35"/>
        <v>1.494329188022278</v>
      </c>
      <c r="AL9" s="22">
        <f t="shared" si="4"/>
        <v>9.1968109479427493</v>
      </c>
      <c r="AM9" s="62">
        <f t="shared" si="5"/>
        <v>302.53014428127608</v>
      </c>
      <c r="AN9" s="62">
        <f ca="1">AVERAGE(OFFSET($AM$3,0,0,'Données projet'!$E$10+1,1))-AVERAGE(OFFSET($H$3,0,0,'Données projet'!$E$10+1,1))</f>
        <v>406.17572122067492</v>
      </c>
      <c r="AO9" s="62">
        <f t="shared" si="36"/>
        <v>244.4332618279085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301.33290077663611</v>
      </c>
      <c r="BI9" s="62">
        <f ca="1">AVERAGE(OFFSET($BH$3,0,0,'Données projet'!$E$11+1,1))-AVERAGE(OFFSET($H$3,0,0,'Données projet'!$E$11+1,1))</f>
        <v>344.49457749226184</v>
      </c>
      <c r="BJ9" s="62">
        <f t="shared" si="38"/>
        <v>207.92972431357452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5.5909090909090908</v>
      </c>
      <c r="BY9" s="13">
        <f>IF('Données projet'!$A$114&gt;35,BY8+BX9-CG8,IF(A9&lt;'Données projet'!$A$114,$BV$205^A9,IF(A9='Données projet'!$A$114,'Données projet'!$B$114,BY8+BX9-CG8)))</f>
        <v>3.7151309075081826</v>
      </c>
      <c r="BZ9" s="14">
        <f>BY9*VLOOKUP('Données projet'!$B$12,Paramètres!$A$1:$I$89,3,0)*VLOOKUP('Données projet'!$B$12,Paramètres!$A$1:$I$89,5,0)</f>
        <v>2.2216482826898933</v>
      </c>
      <c r="CA9" s="14">
        <f t="shared" si="39"/>
        <v>0.93298436230530435</v>
      </c>
      <c r="CB9" s="22">
        <f t="shared" si="10"/>
        <v>5.4943185233666361</v>
      </c>
      <c r="CC9" s="62">
        <f t="shared" si="11"/>
        <v>298.82765185669996</v>
      </c>
      <c r="CD9" s="62">
        <f ca="1">AVERAGE(OFFSET($CC$3,0,0,'Données projet'!$E$12+1,1))-AVERAGE(OFFSET($H$3,0,0,'Données projet'!$E$12+1,1))</f>
        <v>287.69656598881124</v>
      </c>
      <c r="CE9" s="62">
        <f t="shared" si="40"/>
        <v>221.9773436301067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7.9</v>
      </c>
      <c r="CT9" s="13">
        <f>IF('Données projet'!$A$140&gt;35,CT8+CS9-DB8,IF(A9&lt;'Données projet'!$A$140,$CQ$205^A9,IF(A9='Données projet'!$A$140,'Données projet'!$B$140,CT8+CS9-DB8)))</f>
        <v>4.566643676946887</v>
      </c>
      <c r="CU9" s="18">
        <f>CT9*VLOOKUP('Données projet'!$B$13,Paramètres!$A$1:$I$89,3,0)*VLOOKUP('Données projet'!$B$13,Paramètres!$A$1:$I$89,5,0)</f>
        <v>2.1371892408111433</v>
      </c>
      <c r="CV9" s="14">
        <f t="shared" si="41"/>
        <v>0.9015738804633705</v>
      </c>
      <c r="CW9" s="22">
        <f t="shared" si="13"/>
        <v>5.292512436219778</v>
      </c>
      <c r="CX9" s="62">
        <f t="shared" si="14"/>
        <v>298.62584576955311</v>
      </c>
      <c r="CY9" s="62">
        <f ca="1">AVERAGE(OFFSET($CX$3,0,0,'Données projet'!$E$13+1,1))-AVERAGE(OFFSET($H$3,0,0,'Données projet'!$E$13+1,1))</f>
        <v>310.95287409903602</v>
      </c>
      <c r="CZ9" s="62">
        <f t="shared" si="42"/>
        <v>224.10083380795163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5.8</v>
      </c>
      <c r="N10" s="14">
        <f>IF('Données projet'!$A$36&gt;35,N9+M10-V9,IF(A10&lt;'Données projet'!$A$36,$K$205^A10,IF(A10='Données projet'!$A$36,'Données projet'!$B$36,N9+M10-V9)))</f>
        <v>8.0372778932539148</v>
      </c>
      <c r="O10" s="14">
        <f>N10*VLOOKUP('Données projet'!$B$9,Paramètres!$A$1:$I$89,3,0)*VLOOKUP('Données projet'!$B$9,Paramètres!$A$1:$I$89,5,0)</f>
        <v>7.0213659675466209</v>
      </c>
      <c r="P10" s="14">
        <f t="shared" si="33"/>
        <v>2.5789932139603198</v>
      </c>
      <c r="Q10" s="22">
        <f t="shared" si="2"/>
        <v>16.72062557445792</v>
      </c>
      <c r="R10" s="62">
        <f t="shared" si="0"/>
        <v>310.05395890779124</v>
      </c>
      <c r="S10" s="62">
        <f ca="1">AVERAGE(OFFSET($R$3,0,0,'Données projet'!$E$9+1,1))-AVERAGE(OFFSET($H$3,0,0,'Données projet'!$E$9+1,1))</f>
        <v>253.73326067725128</v>
      </c>
      <c r="T10" s="62">
        <f t="shared" si="34"/>
        <v>317.76427047458026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4.6920475221070923</v>
      </c>
      <c r="AK10" s="14">
        <f t="shared" si="35"/>
        <v>1.8062085067820133</v>
      </c>
      <c r="AL10" s="22">
        <f t="shared" si="4"/>
        <v>11.317795916981858</v>
      </c>
      <c r="AM10" s="62">
        <f t="shared" si="5"/>
        <v>304.65112925031519</v>
      </c>
      <c r="AN10" s="62">
        <f ca="1">AVERAGE(OFFSET($AM$3,0,0,'Données projet'!$E$10+1,1))-AVERAGE(OFFSET($H$3,0,0,'Données projet'!$E$10+1,1))</f>
        <v>406.17572122067492</v>
      </c>
      <c r="AO10" s="62">
        <f t="shared" si="36"/>
        <v>244.4332618279085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303.17693934275616</v>
      </c>
      <c r="BI10" s="62">
        <f ca="1">AVERAGE(OFFSET($BH$3,0,0,'Données projet'!$E$11+1,1))-AVERAGE(OFFSET($H$3,0,0,'Données projet'!$E$11+1,1))</f>
        <v>344.49457749226184</v>
      </c>
      <c r="BJ10" s="62">
        <f t="shared" si="38"/>
        <v>207.92972431357452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5.5909090909090908</v>
      </c>
      <c r="BY10" s="13">
        <f>IF('Données projet'!$A$114&gt;35,BY9+BX10-CG9,IF(A10&lt;'Données projet'!$A$114,$BV$205^A10,IF(A10='Données projet'!$A$114,'Données projet'!$B$114,BY9+BX10-CG9)))</f>
        <v>4.6234887814743333</v>
      </c>
      <c r="BZ10" s="14">
        <f>BY10*VLOOKUP('Données projet'!$B$12,Paramètres!$A$1:$I$89,3,0)*VLOOKUP('Données projet'!$B$12,Paramètres!$A$1:$I$89,5,0)</f>
        <v>2.7648462913216516</v>
      </c>
      <c r="CA10" s="14">
        <f t="shared" si="39"/>
        <v>1.1319117118000401</v>
      </c>
      <c r="CB10" s="22">
        <f t="shared" si="10"/>
        <v>6.7868535221036126</v>
      </c>
      <c r="CC10" s="62">
        <f t="shared" si="11"/>
        <v>300.12018685543694</v>
      </c>
      <c r="CD10" s="62">
        <f ca="1">AVERAGE(OFFSET($CC$3,0,0,'Données projet'!$E$12+1,1))-AVERAGE(OFFSET($H$3,0,0,'Données projet'!$E$12+1,1))</f>
        <v>287.69656598881124</v>
      </c>
      <c r="CE10" s="62">
        <f t="shared" si="40"/>
        <v>221.9773436301067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7.9</v>
      </c>
      <c r="CT10" s="13">
        <f>IF('Données projet'!$A$140&gt;35,CT9+CS10-DB9,IF(A10&lt;'Données projet'!$A$140,$CQ$205^A10,IF(A10='Données projet'!$A$140,'Données projet'!$B$140,CT9+CS10-DB9)))</f>
        <v>5.8820671812210037</v>
      </c>
      <c r="CU10" s="18">
        <f>CT10*VLOOKUP('Données projet'!$B$13,Paramètres!$A$1:$I$89,3,0)*VLOOKUP('Données projet'!$B$13,Paramètres!$A$1:$I$89,5,0)</f>
        <v>2.7528074408114294</v>
      </c>
      <c r="CV10" s="14">
        <f t="shared" si="41"/>
        <v>1.1275556652411438</v>
      </c>
      <c r="CW10" s="22">
        <f t="shared" si="13"/>
        <v>6.7582990763748976</v>
      </c>
      <c r="CX10" s="62">
        <f t="shared" si="14"/>
        <v>300.09163240970821</v>
      </c>
      <c r="CY10" s="62">
        <f ca="1">AVERAGE(OFFSET($CX$3,0,0,'Données projet'!$E$13+1,1))-AVERAGE(OFFSET($H$3,0,0,'Données projet'!$E$13+1,1))</f>
        <v>310.95287409903602</v>
      </c>
      <c r="CZ10" s="62">
        <f t="shared" si="42"/>
        <v>224.10083380795163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5.8</v>
      </c>
      <c r="N11" s="14">
        <f>IF('Données projet'!$A$36&gt;35,N10+M11-V10,IF(A11&lt;'Données projet'!$A$36,$K$205^A11,IF(A11='Données projet'!$A$36,'Données projet'!$B$36,N10+M11-V10)))</f>
        <v>10.824560399115168</v>
      </c>
      <c r="O11" s="14">
        <f>N11*VLOOKUP('Données projet'!$B$9,Paramètres!$A$1:$I$89,3,0)*VLOOKUP('Données projet'!$B$9,Paramètres!$A$1:$I$89,5,0)</f>
        <v>9.4563359646670122</v>
      </c>
      <c r="P11" s="14">
        <f t="shared" si="33"/>
        <v>3.3550640345230081</v>
      </c>
      <c r="Q11" s="22">
        <f t="shared" si="2"/>
        <v>22.313188331922618</v>
      </c>
      <c r="R11" s="62">
        <f t="shared" si="0"/>
        <v>315.64652166525593</v>
      </c>
      <c r="S11" s="62">
        <f ca="1">AVERAGE(OFFSET($R$3,0,0,'Données projet'!$E$9+1,1))-AVERAGE(OFFSET($H$3,0,0,'Données projet'!$E$9+1,1))</f>
        <v>253.73326067725128</v>
      </c>
      <c r="T11" s="62">
        <f t="shared" si="34"/>
        <v>317.76427047458026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5.8147164974760992</v>
      </c>
      <c r="AK11" s="14">
        <f t="shared" si="35"/>
        <v>2.1831797144305476</v>
      </c>
      <c r="AL11" s="22">
        <f t="shared" si="4"/>
        <v>13.929669235737409</v>
      </c>
      <c r="AM11" s="62">
        <f t="shared" si="5"/>
        <v>307.26300256907075</v>
      </c>
      <c r="AN11" s="62">
        <f ca="1">AVERAGE(OFFSET($AM$3,0,0,'Données projet'!$E$10+1,1))-AVERAGE(OFFSET($H$3,0,0,'Données projet'!$E$10+1,1))</f>
        <v>406.17572122067492</v>
      </c>
      <c r="AO11" s="62">
        <f t="shared" si="36"/>
        <v>244.4332618279085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305.44758777557922</v>
      </c>
      <c r="BI11" s="62">
        <f ca="1">AVERAGE(OFFSET($BH$3,0,0,'Données projet'!$E$11+1,1))-AVERAGE(OFFSET($H$3,0,0,'Données projet'!$E$11+1,1))</f>
        <v>344.49457749226184</v>
      </c>
      <c r="BJ11" s="62">
        <f t="shared" si="38"/>
        <v>207.92972431357452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5.5909090909090908</v>
      </c>
      <c r="BY11" s="13">
        <f>IF('Données projet'!$A$114&gt;35,BY10+BX11-CG10,IF(A11&lt;'Données projet'!$A$114,$BV$205^A11,IF(A11='Données projet'!$A$114,'Données projet'!$B$114,BY10+BX11-CG10)))</f>
        <v>5.7539422013952093</v>
      </c>
      <c r="BZ11" s="14">
        <f>BY11*VLOOKUP('Données projet'!$B$12,Paramètres!$A$1:$I$89,3,0)*VLOOKUP('Données projet'!$B$12,Paramètres!$A$1:$I$89,5,0)</f>
        <v>3.4408574364343356</v>
      </c>
      <c r="CA11" s="14">
        <f t="shared" si="39"/>
        <v>1.3732535882427113</v>
      </c>
      <c r="CB11" s="22">
        <f t="shared" si="10"/>
        <v>8.3845767013125236</v>
      </c>
      <c r="CC11" s="62">
        <f t="shared" si="11"/>
        <v>301.71791003464585</v>
      </c>
      <c r="CD11" s="62">
        <f ca="1">AVERAGE(OFFSET($CC$3,0,0,'Données projet'!$E$12+1,1))-AVERAGE(OFFSET($H$3,0,0,'Données projet'!$E$12+1,1))</f>
        <v>287.69656598881124</v>
      </c>
      <c r="CE11" s="62">
        <f t="shared" si="40"/>
        <v>221.9773436301067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7.9</v>
      </c>
      <c r="CT11" s="13">
        <f>IF('Données projet'!$A$140&gt;35,CT10+CS11-DB10,IF(A11&lt;'Données projet'!$A$140,$CQ$205^A11,IF(A11='Données projet'!$A$140,'Données projet'!$B$140,CT10+CS11-DB10)))</f>
        <v>7.5763989424129567</v>
      </c>
      <c r="CU11" s="18">
        <f>CT11*VLOOKUP('Données projet'!$B$13,Paramètres!$A$1:$I$89,3,0)*VLOOKUP('Données projet'!$B$13,Paramètres!$A$1:$I$89,5,0)</f>
        <v>3.5457547050492639</v>
      </c>
      <c r="CV11" s="14">
        <f t="shared" si="41"/>
        <v>1.4101803587787649</v>
      </c>
      <c r="CW11" s="22">
        <f t="shared" si="13"/>
        <v>8.631586902833817</v>
      </c>
      <c r="CX11" s="62">
        <f t="shared" si="14"/>
        <v>301.96492023616713</v>
      </c>
      <c r="CY11" s="62">
        <f ca="1">AVERAGE(OFFSET($CX$3,0,0,'Données projet'!$E$13+1,1))-AVERAGE(OFFSET($H$3,0,0,'Données projet'!$E$13+1,1))</f>
        <v>310.95287409903602</v>
      </c>
      <c r="CZ11" s="62">
        <f t="shared" si="42"/>
        <v>224.10083380795163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5.8</v>
      </c>
      <c r="N12" s="14">
        <f>IF('Données projet'!$A$36&gt;35,N11+M12-V11,IF(A12&lt;'Données projet'!$A$36,$K$205^A12,IF(A12='Données projet'!$A$36,'Données projet'!$B$36,N11+M12-V11)))</f>
        <v>14.578456710130657</v>
      </c>
      <c r="O12" s="14">
        <f>N12*VLOOKUP('Données projet'!$B$9,Paramètres!$A$1:$I$89,3,0)*VLOOKUP('Données projet'!$B$9,Paramètres!$A$1:$I$89,5,0)</f>
        <v>12.735739781970144</v>
      </c>
      <c r="P12" s="14">
        <f t="shared" si="33"/>
        <v>4.364670141362768</v>
      </c>
      <c r="Q12" s="22">
        <f t="shared" si="2"/>
        <v>29.783213949804821</v>
      </c>
      <c r="R12" s="62">
        <f t="shared" si="0"/>
        <v>323.11654728313812</v>
      </c>
      <c r="S12" s="62">
        <f ca="1">AVERAGE(OFFSET($R$3,0,0,'Données projet'!$E$9+1,1))-AVERAGE(OFFSET($H$3,0,0,'Données projet'!$E$9+1,1))</f>
        <v>253.73326067725128</v>
      </c>
      <c r="T12" s="62">
        <f t="shared" si="34"/>
        <v>317.76427047458026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7.2060071401060739</v>
      </c>
      <c r="AK12" s="14">
        <f t="shared" si="35"/>
        <v>2.6388280464877014</v>
      </c>
      <c r="AL12" s="22">
        <f t="shared" si="4"/>
        <v>17.14642128331749</v>
      </c>
      <c r="AM12" s="62">
        <f t="shared" si="5"/>
        <v>310.47975461665078</v>
      </c>
      <c r="AN12" s="62">
        <f ca="1">AVERAGE(OFFSET($AM$3,0,0,'Données projet'!$E$10+1,1))-AVERAGE(OFFSET($H$3,0,0,'Données projet'!$E$10+1,1))</f>
        <v>406.17572122067492</v>
      </c>
      <c r="AO12" s="62">
        <f t="shared" si="36"/>
        <v>244.4332618279085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308.24387113376753</v>
      </c>
      <c r="BI12" s="62">
        <f ca="1">AVERAGE(OFFSET($BH$3,0,0,'Données projet'!$E$11+1,1))-AVERAGE(OFFSET($H$3,0,0,'Données projet'!$E$11+1,1))</f>
        <v>344.49457749226184</v>
      </c>
      <c r="BJ12" s="62">
        <f t="shared" si="38"/>
        <v>207.92972431357452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5.5909090909090908</v>
      </c>
      <c r="BY12" s="13">
        <f>IF('Données projet'!$A$114&gt;35,BY11+BX12-CG11,IF(A12&lt;'Données projet'!$A$114,$BV$205^A12,IF(A12='Données projet'!$A$114,'Données projet'!$B$114,BY11+BX12-CG11)))</f>
        <v>7.1607940284521145</v>
      </c>
      <c r="BZ12" s="14">
        <f>BY12*VLOOKUP('Données projet'!$B$12,Paramètres!$A$1:$I$89,3,0)*VLOOKUP('Données projet'!$B$12,Paramètres!$A$1:$I$89,5,0)</f>
        <v>4.2821548290143649</v>
      </c>
      <c r="CA12" s="14">
        <f t="shared" si="39"/>
        <v>1.6660534544894132</v>
      </c>
      <c r="CB12" s="22">
        <f t="shared" si="10"/>
        <v>10.359796093769079</v>
      </c>
      <c r="CC12" s="62">
        <f t="shared" si="11"/>
        <v>303.69312942710241</v>
      </c>
      <c r="CD12" s="62">
        <f ca="1">AVERAGE(OFFSET($CC$3,0,0,'Données projet'!$E$12+1,1))-AVERAGE(OFFSET($H$3,0,0,'Données projet'!$E$12+1,1))</f>
        <v>287.69656598881124</v>
      </c>
      <c r="CE12" s="62">
        <f t="shared" si="40"/>
        <v>221.9773436301067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7.9</v>
      </c>
      <c r="CT12" s="13">
        <f>IF('Données projet'!$A$140&gt;35,CT11+CS12-DB11,IF(A12&lt;'Données projet'!$A$140,$CQ$205^A12,IF(A12='Données projet'!$A$140,'Données projet'!$B$140,CT11+CS12-DB11)))</f>
        <v>9.7587836327093171</v>
      </c>
      <c r="CU12" s="18">
        <f>CT12*VLOOKUP('Données projet'!$B$13,Paramètres!$A$1:$I$89,3,0)*VLOOKUP('Données projet'!$B$13,Paramètres!$A$1:$I$89,5,0)</f>
        <v>4.5671107401079603</v>
      </c>
      <c r="CV12" s="14">
        <f t="shared" si="41"/>
        <v>1.763645650133036</v>
      </c>
      <c r="CW12" s="22">
        <f t="shared" si="13"/>
        <v>11.026067379669733</v>
      </c>
      <c r="CX12" s="62">
        <f t="shared" si="14"/>
        <v>304.35940071300303</v>
      </c>
      <c r="CY12" s="62">
        <f ca="1">AVERAGE(OFFSET($CX$3,0,0,'Données projet'!$E$13+1,1))-AVERAGE(OFFSET($H$3,0,0,'Données projet'!$E$13+1,1))</f>
        <v>310.95287409903602</v>
      </c>
      <c r="CZ12" s="62">
        <f t="shared" si="42"/>
        <v>224.10083380795163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5.8</v>
      </c>
      <c r="N13" s="14">
        <f>IF('Données projet'!$A$36&gt;35,N12+M13-V12,IF(A13&lt;'Données projet'!$A$36,$K$205^A13,IF(A13='Données projet'!$A$36,'Données projet'!$B$36,N12+M13-V12)))</f>
        <v>19.634183025716826</v>
      </c>
      <c r="O13" s="14">
        <f>N13*VLOOKUP('Données projet'!$B$9,Paramètres!$A$1:$I$89,3,0)*VLOOKUP('Données projet'!$B$9,Paramètres!$A$1:$I$89,5,0)</f>
        <v>17.152422291266223</v>
      </c>
      <c r="P13" s="14">
        <f t="shared" si="33"/>
        <v>5.678086989362658</v>
      </c>
      <c r="Q13" s="22">
        <f t="shared" si="2"/>
        <v>39.763136997095295</v>
      </c>
      <c r="R13" s="62">
        <f t="shared" si="0"/>
        <v>333.09647033042859</v>
      </c>
      <c r="S13" s="62">
        <f ca="1">AVERAGE(OFFSET($R$3,0,0,'Données projet'!$E$9+1,1))-AVERAGE(OFFSET($H$3,0,0,'Données projet'!$E$9+1,1))</f>
        <v>253.73326067725128</v>
      </c>
      <c r="T13" s="62">
        <f t="shared" si="34"/>
        <v>317.76427047458026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8.9301927146058855</v>
      </c>
      <c r="AK13" s="14">
        <f t="shared" si="35"/>
        <v>3.1895740936500991</v>
      </c>
      <c r="AL13" s="22">
        <f t="shared" si="4"/>
        <v>21.108593857712506</v>
      </c>
      <c r="AM13" s="62">
        <f t="shared" si="5"/>
        <v>314.44192719104581</v>
      </c>
      <c r="AN13" s="62">
        <f ca="1">AVERAGE(OFFSET($AM$3,0,0,'Données projet'!$E$10+1,1))-AVERAGE(OFFSET($H$3,0,0,'Données projet'!$E$10+1,1))</f>
        <v>406.17572122067492</v>
      </c>
      <c r="AO13" s="62">
        <f t="shared" si="36"/>
        <v>244.4332618279085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311.68787167067455</v>
      </c>
      <c r="BI13" s="62">
        <f ca="1">AVERAGE(OFFSET($BH$3,0,0,'Données projet'!$E$11+1,1))-AVERAGE(OFFSET($H$3,0,0,'Données projet'!$E$11+1,1))</f>
        <v>344.49457749226184</v>
      </c>
      <c r="BJ13" s="62">
        <f t="shared" si="38"/>
        <v>207.92972431357452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5.5909090909090908</v>
      </c>
      <c r="BY13" s="13">
        <f>IF('Données projet'!$A$114&gt;35,BY12+BX13-CG12,IF(A13&lt;'Données projet'!$A$114,$BV$205^A13,IF(A13='Données projet'!$A$114,'Données projet'!$B$114,BY12+BX13-CG12)))</f>
        <v>8.9116242956840761</v>
      </c>
      <c r="BZ13" s="14">
        <f>BY13*VLOOKUP('Données projet'!$B$12,Paramètres!$A$1:$I$89,3,0)*VLOOKUP('Données projet'!$B$12,Paramètres!$A$1:$I$89,5,0)</f>
        <v>5.3291513288190782</v>
      </c>
      <c r="CA13" s="14">
        <f t="shared" si="39"/>
        <v>2.0212829858817885</v>
      </c>
      <c r="CB13" s="22">
        <f t="shared" si="10"/>
        <v>12.802006431437341</v>
      </c>
      <c r="CC13" s="62">
        <f t="shared" si="11"/>
        <v>306.13533976477066</v>
      </c>
      <c r="CD13" s="62">
        <f ca="1">AVERAGE(OFFSET($CC$3,0,0,'Données projet'!$E$12+1,1))-AVERAGE(OFFSET($H$3,0,0,'Données projet'!$E$12+1,1))</f>
        <v>287.69656598881124</v>
      </c>
      <c r="CE13" s="62">
        <f t="shared" si="40"/>
        <v>221.9773436301067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7.9</v>
      </c>
      <c r="CT13" s="13">
        <f>IF('Données projet'!$A$140&gt;35,CT12+CS13-DB12,IF(A13&lt;'Données projet'!$A$140,$CQ$205^A13,IF(A13='Données projet'!$A$140,'Données projet'!$B$140,CT12+CS13-DB12)))</f>
        <v>12.569805089976542</v>
      </c>
      <c r="CU13" s="18">
        <f>CT13*VLOOKUP('Données projet'!$B$13,Paramètres!$A$1:$I$89,3,0)*VLOOKUP('Données projet'!$B$13,Paramètres!$A$1:$I$89,5,0)</f>
        <v>5.8826687821090227</v>
      </c>
      <c r="CV13" s="14">
        <f t="shared" si="41"/>
        <v>2.2057079152108381</v>
      </c>
      <c r="CW13" s="22">
        <f t="shared" si="13"/>
        <v>14.087256081165423</v>
      </c>
      <c r="CX13" s="62">
        <f t="shared" si="14"/>
        <v>307.42058941449875</v>
      </c>
      <c r="CY13" s="62">
        <f ca="1">AVERAGE(OFFSET($CX$3,0,0,'Données projet'!$E$13+1,1))-AVERAGE(OFFSET($H$3,0,0,'Données projet'!$E$13+1,1))</f>
        <v>310.95287409903602</v>
      </c>
      <c r="CZ13" s="62">
        <f t="shared" si="42"/>
        <v>224.10083380795163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5.8</v>
      </c>
      <c r="N14" s="14">
        <f>IF('Données projet'!$A$36&gt;35,N13+M14-V13,IF(A14&lt;'Données projet'!$A$36,$K$205^A14,IF(A14='Données projet'!$A$36,'Données projet'!$B$36,N13+M14-V13)))</f>
        <v>26.443206626903088</v>
      </c>
      <c r="O14" s="14">
        <f>N14*VLOOKUP('Données projet'!$B$9,Paramètres!$A$1:$I$89,3,0)*VLOOKUP('Données projet'!$B$9,Paramètres!$A$1:$I$89,5,0)</f>
        <v>23.100785309262541</v>
      </c>
      <c r="P14" s="14">
        <f t="shared" si="33"/>
        <v>7.3867373282653306</v>
      </c>
      <c r="Q14" s="22">
        <f t="shared" si="2"/>
        <v>53.099101927027704</v>
      </c>
      <c r="R14" s="62">
        <f t="shared" si="0"/>
        <v>346.43243526036099</v>
      </c>
      <c r="S14" s="62">
        <f ca="1">AVERAGE(OFFSET($R$3,0,0,'Données projet'!$E$9+1,1))-AVERAGE(OFFSET($H$3,0,0,'Données projet'!$E$9+1,1))</f>
        <v>253.73326067725128</v>
      </c>
      <c r="T14" s="62">
        <f t="shared" si="34"/>
        <v>317.76427047458026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11.066925187479919</v>
      </c>
      <c r="AK14" s="14">
        <f t="shared" si="35"/>
        <v>3.8552655647360954</v>
      </c>
      <c r="AL14" s="22">
        <f t="shared" si="4"/>
        <v>25.989482226776222</v>
      </c>
      <c r="AM14" s="62">
        <f t="shared" si="5"/>
        <v>319.32281556010952</v>
      </c>
      <c r="AN14" s="62">
        <f ca="1">AVERAGE(OFFSET($AM$3,0,0,'Données projet'!$E$10+1,1))-AVERAGE(OFFSET($H$3,0,0,'Données projet'!$E$10+1,1))</f>
        <v>406.17572122067492</v>
      </c>
      <c r="AO14" s="62">
        <f t="shared" si="36"/>
        <v>244.4332618279085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315.93011288122739</v>
      </c>
      <c r="BI14" s="62">
        <f ca="1">AVERAGE(OFFSET($BH$3,0,0,'Données projet'!$E$11+1,1))-AVERAGE(OFFSET($H$3,0,0,'Données projet'!$E$11+1,1))</f>
        <v>344.49457749226184</v>
      </c>
      <c r="BJ14" s="62">
        <f t="shared" si="38"/>
        <v>207.92972431357452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5.5909090909090908</v>
      </c>
      <c r="BY14" s="13">
        <f>IF('Données projet'!$A$114&gt;35,BY13+BX14-CG13,IF(A14&lt;'Données projet'!$A$114,$BV$205^A14,IF(A14='Données projet'!$A$114,'Données projet'!$B$114,BY13+BX14-CG13)))</f>
        <v>11.090536506409412</v>
      </c>
      <c r="BZ14" s="14">
        <f>BY14*VLOOKUP('Données projet'!$B$12,Paramètres!$A$1:$I$89,3,0)*VLOOKUP('Données projet'!$B$12,Paramètres!$A$1:$I$89,5,0)</f>
        <v>6.6321408308328289</v>
      </c>
      <c r="CA14" s="14">
        <f t="shared" si="39"/>
        <v>2.4522531963221348</v>
      </c>
      <c r="CB14" s="22">
        <f t="shared" si="10"/>
        <v>15.821986263961561</v>
      </c>
      <c r="CC14" s="62">
        <f t="shared" si="11"/>
        <v>309.15531959729486</v>
      </c>
      <c r="CD14" s="62">
        <f ca="1">AVERAGE(OFFSET($CC$3,0,0,'Données projet'!$E$12+1,1))-AVERAGE(OFFSET($H$3,0,0,'Données projet'!$E$12+1,1))</f>
        <v>287.69656598881124</v>
      </c>
      <c r="CE14" s="62">
        <f t="shared" si="40"/>
        <v>221.9773436301067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7.9</v>
      </c>
      <c r="CT14" s="13">
        <f>IF('Données projet'!$A$140&gt;35,CT13+CS14-DB13,IF(A14&lt;'Données projet'!$A$140,$CQ$205^A14,IF(A14='Données projet'!$A$140,'Données projet'!$B$140,CT13+CS14-DB13)))</f>
        <v>16.190542381779895</v>
      </c>
      <c r="CU14" s="18">
        <f>CT14*VLOOKUP('Données projet'!$B$13,Paramètres!$A$1:$I$89,3,0)*VLOOKUP('Données projet'!$B$13,Paramètres!$A$1:$I$89,5,0)</f>
        <v>7.5771738346729904</v>
      </c>
      <c r="CV14" s="14">
        <f t="shared" si="41"/>
        <v>2.7585742106736397</v>
      </c>
      <c r="CW14" s="22">
        <f t="shared" si="13"/>
        <v>18.001427845645381</v>
      </c>
      <c r="CX14" s="62">
        <f t="shared" si="14"/>
        <v>311.33476117897868</v>
      </c>
      <c r="CY14" s="62">
        <f ca="1">AVERAGE(OFFSET($CX$3,0,0,'Données projet'!$E$13+1,1))-AVERAGE(OFFSET($H$3,0,0,'Données projet'!$E$13+1,1))</f>
        <v>310.95287409903602</v>
      </c>
      <c r="CZ14" s="62">
        <f t="shared" si="42"/>
        <v>224.10083380795163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5.8</v>
      </c>
      <c r="N15" s="14">
        <f>IF('Données projet'!$A$36&gt;35,N14+M15-V14,IF(A15&lt;'Données projet'!$A$36,$K$205^A15,IF(A15='Données projet'!$A$36,'Données projet'!$B$36,N14+M15-V14)))</f>
        <v>35.613561093793592</v>
      </c>
      <c r="O15" s="14">
        <f>N15*VLOOKUP('Données projet'!$B$9,Paramètres!$A$1:$I$89,3,0)*VLOOKUP('Données projet'!$B$9,Paramètres!$A$1:$I$89,5,0)</f>
        <v>31.112006971538086</v>
      </c>
      <c r="P15" s="14">
        <f t="shared" si="33"/>
        <v>9.6095548481396289</v>
      </c>
      <c r="Q15" s="22">
        <f t="shared" si="2"/>
        <v>70.9233868359387</v>
      </c>
      <c r="R15" s="62">
        <f t="shared" si="0"/>
        <v>364.256720169272</v>
      </c>
      <c r="S15" s="62">
        <f ca="1">AVERAGE(OFFSET($R$3,0,0,'Données projet'!$E$9+1,1))-AVERAGE(OFFSET($H$3,0,0,'Données projet'!$E$9+1,1))</f>
        <v>253.73326067725128</v>
      </c>
      <c r="T15" s="62">
        <f t="shared" si="34"/>
        <v>317.76427047458026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13.714914898192394</v>
      </c>
      <c r="AK15" s="14">
        <f t="shared" si="35"/>
        <v>4.6598925556329869</v>
      </c>
      <c r="AL15" s="22">
        <f t="shared" si="4"/>
        <v>32.002789648745868</v>
      </c>
      <c r="AM15" s="62">
        <f t="shared" si="5"/>
        <v>325.33612298207919</v>
      </c>
      <c r="AN15" s="62">
        <f ca="1">AVERAGE(OFFSET($AM$3,0,0,'Données projet'!$E$10+1,1))-AVERAGE(OFFSET($H$3,0,0,'Données projet'!$E$10+1,1))</f>
        <v>406.17572122067492</v>
      </c>
      <c r="AO15" s="62">
        <f t="shared" si="36"/>
        <v>244.4332618279085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321.15620406350808</v>
      </c>
      <c r="BI15" s="62">
        <f ca="1">AVERAGE(OFFSET($BH$3,0,0,'Données projet'!$E$11+1,1))-AVERAGE(OFFSET($H$3,0,0,'Données projet'!$E$11+1,1))</f>
        <v>344.49457749226184</v>
      </c>
      <c r="BJ15" s="62">
        <f t="shared" si="38"/>
        <v>207.92972431357452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5.5909090909090908</v>
      </c>
      <c r="BY15" s="13">
        <f>IF('Données projet'!$A$114&gt;35,BY14+BX15-CG14,IF(A15&lt;'Données projet'!$A$114,$BV$205^A15,IF(A15='Données projet'!$A$114,'Données projet'!$B$114,BY14+BX15-CG14)))</f>
        <v>13.802197659922571</v>
      </c>
      <c r="BZ15" s="14">
        <f>BY15*VLOOKUP('Données projet'!$B$12,Paramètres!$A$1:$I$89,3,0)*VLOOKUP('Données projet'!$B$12,Paramètres!$A$1:$I$89,5,0)</f>
        <v>8.2537142006336985</v>
      </c>
      <c r="CA15" s="14">
        <f t="shared" si="39"/>
        <v>2.9751132230743558</v>
      </c>
      <c r="CB15" s="22">
        <f t="shared" si="10"/>
        <v>19.556874429624859</v>
      </c>
      <c r="CC15" s="62">
        <f t="shared" si="11"/>
        <v>312.8902077629582</v>
      </c>
      <c r="CD15" s="62">
        <f ca="1">AVERAGE(OFFSET($CC$3,0,0,'Données projet'!$E$12+1,1))-AVERAGE(OFFSET($H$3,0,0,'Données projet'!$E$12+1,1))</f>
        <v>287.69656598881124</v>
      </c>
      <c r="CE15" s="62">
        <f t="shared" si="40"/>
        <v>221.9773436301067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7.9</v>
      </c>
      <c r="CT15" s="13">
        <f>IF('Données projet'!$A$140&gt;35,CT14+CS15-DB14,IF(A15&lt;'Données projet'!$A$140,$CQ$205^A15,IF(A15='Données projet'!$A$140,'Données projet'!$B$140,CT14+CS15-DB14)))</f>
        <v>20.854234472198982</v>
      </c>
      <c r="CU15" s="18">
        <f>CT15*VLOOKUP('Données projet'!$B$13,Paramètres!$A$1:$I$89,3,0)*VLOOKUP('Données projet'!$B$13,Paramètres!$A$1:$I$89,5,0)</f>
        <v>9.7597817329891239</v>
      </c>
      <c r="CV15" s="14">
        <f t="shared" si="41"/>
        <v>3.4500178483814818</v>
      </c>
      <c r="CW15" s="22">
        <f t="shared" si="13"/>
        <v>23.00706760422047</v>
      </c>
      <c r="CX15" s="62">
        <f t="shared" si="14"/>
        <v>316.3404009375538</v>
      </c>
      <c r="CY15" s="62">
        <f ca="1">AVERAGE(OFFSET($CX$3,0,0,'Données projet'!$E$13+1,1))-AVERAGE(OFFSET($H$3,0,0,'Données projet'!$E$13+1,1))</f>
        <v>310.95287409903602</v>
      </c>
      <c r="CZ15" s="62">
        <f t="shared" si="42"/>
        <v>224.10083380795163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5.8</v>
      </c>
      <c r="N16" s="14">
        <f>IF('Données projet'!$A$36&gt;35,N15+M16-V15,IF(A16&lt;'Données projet'!$A$36,$K$205^A16,IF(A16='Données projet'!$A$36,'Données projet'!$B$36,N15+M16-V15)))</f>
        <v>47.964142612378375</v>
      </c>
      <c r="O16" s="14">
        <f>N16*VLOOKUP('Données projet'!$B$9,Paramètres!$A$1:$I$89,3,0)*VLOOKUP('Données projet'!$B$9,Paramètres!$A$1:$I$89,5,0)</f>
        <v>41.901474986173753</v>
      </c>
      <c r="P16" s="14">
        <f t="shared" si="33"/>
        <v>12.501262773491545</v>
      </c>
      <c r="Q16" s="22">
        <f t="shared" si="2"/>
        <v>94.751434931417066</v>
      </c>
      <c r="R16" s="62">
        <f t="shared" si="0"/>
        <v>388.08476826475038</v>
      </c>
      <c r="S16" s="62">
        <f ca="1">AVERAGE(OFFSET($R$3,0,0,'Données projet'!$E$9+1,1))-AVERAGE(OFFSET($H$3,0,0,'Données projet'!$E$9+1,1))</f>
        <v>253.73326067725128</v>
      </c>
      <c r="T16" s="62">
        <f t="shared" si="34"/>
        <v>317.76427047458026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16.996490667295472</v>
      </c>
      <c r="AK16" s="14">
        <f t="shared" si="35"/>
        <v>5.6324521010085444</v>
      </c>
      <c r="AL16" s="22">
        <f t="shared" si="4"/>
        <v>39.412075321462829</v>
      </c>
      <c r="AM16" s="62">
        <f t="shared" si="5"/>
        <v>332.74540865479617</v>
      </c>
      <c r="AN16" s="62">
        <f ca="1">AVERAGE(OFFSET($AM$3,0,0,'Données projet'!$E$10+1,1))-AVERAGE(OFFSET($H$3,0,0,'Données projet'!$E$10+1,1))</f>
        <v>406.17572122067492</v>
      </c>
      <c r="AO16" s="62">
        <f t="shared" si="36"/>
        <v>244.4332618279085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327.59504121177019</v>
      </c>
      <c r="BI16" s="62">
        <f ca="1">AVERAGE(OFFSET($BH$3,0,0,'Données projet'!$E$11+1,1))-AVERAGE(OFFSET($H$3,0,0,'Données projet'!$E$11+1,1))</f>
        <v>344.49457749226184</v>
      </c>
      <c r="BJ16" s="62">
        <f t="shared" si="38"/>
        <v>207.92972431357452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5.5909090909090908</v>
      </c>
      <c r="BY16" s="13">
        <f>IF('Données projet'!$A$114&gt;35,BY15+BX16-CG15,IF(A16&lt;'Données projet'!$A$114,$BV$205^A16,IF(A16='Données projet'!$A$114,'Données projet'!$B$114,BY15+BX16-CG15)))</f>
        <v>17.17686607257264</v>
      </c>
      <c r="BZ16" s="14">
        <f>BY16*VLOOKUP('Données projet'!$B$12,Paramètres!$A$1:$I$89,3,0)*VLOOKUP('Données projet'!$B$12,Paramètres!$A$1:$I$89,5,0)</f>
        <v>10.27176591139844</v>
      </c>
      <c r="CA16" s="14">
        <f t="shared" si="39"/>
        <v>3.609455460548272</v>
      </c>
      <c r="CB16" s="22">
        <f t="shared" si="10"/>
        <v>24.176460556140523</v>
      </c>
      <c r="CC16" s="62">
        <f t="shared" si="11"/>
        <v>317.50979388947383</v>
      </c>
      <c r="CD16" s="62">
        <f ca="1">AVERAGE(OFFSET($CC$3,0,0,'Données projet'!$E$12+1,1))-AVERAGE(OFFSET($H$3,0,0,'Données projet'!$E$12+1,1))</f>
        <v>287.69656598881124</v>
      </c>
      <c r="CE16" s="62">
        <f t="shared" si="40"/>
        <v>221.9773436301067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7.9</v>
      </c>
      <c r="CT16" s="13">
        <f>IF('Données projet'!$A$140&gt;35,CT15+CS16-DB15,IF(A16&lt;'Données projet'!$A$140,$CQ$205^A16,IF(A16='Données projet'!$A$140,'Données projet'!$B$140,CT15+CS16-DB15)))</f>
        <v>26.861304900499697</v>
      </c>
      <c r="CU16" s="18">
        <f>CT16*VLOOKUP('Données projet'!$B$13,Paramètres!$A$1:$I$89,3,0)*VLOOKUP('Données projet'!$B$13,Paramètres!$A$1:$I$89,5,0)</f>
        <v>12.571090693433858</v>
      </c>
      <c r="CV16" s="14">
        <f t="shared" si="41"/>
        <v>4.3147735914069099</v>
      </c>
      <c r="CW16" s="22">
        <f t="shared" si="13"/>
        <v>29.409546962764335</v>
      </c>
      <c r="CX16" s="62">
        <f t="shared" si="14"/>
        <v>322.74288029609767</v>
      </c>
      <c r="CY16" s="62">
        <f ca="1">AVERAGE(OFFSET($CX$3,0,0,'Données projet'!$E$13+1,1))-AVERAGE(OFFSET($H$3,0,0,'Données projet'!$E$13+1,1))</f>
        <v>310.95287409903602</v>
      </c>
      <c r="CZ16" s="62">
        <f t="shared" si="42"/>
        <v>224.10083380795163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5.8</v>
      </c>
      <c r="N17" s="14">
        <f>IF('Données projet'!$A$36&gt;35,N16+M17-V16,IF(A17&lt;'Données projet'!$A$36,$K$205^A17,IF(A17='Données projet'!$A$36,'Données projet'!$B$36,N16+M17-V16)))</f>
        <v>64.597835933388069</v>
      </c>
      <c r="O17" s="14">
        <f>N17*VLOOKUP('Données projet'!$B$9,Paramètres!$A$1:$I$89,3,0)*VLOOKUP('Données projet'!$B$9,Paramètres!$A$1:$I$89,5,0)</f>
        <v>56.432669471407827</v>
      </c>
      <c r="P17" s="14">
        <f t="shared" si="33"/>
        <v>16.263143652501352</v>
      </c>
      <c r="Q17" s="22">
        <f t="shared" si="2"/>
        <v>126.61187452414181</v>
      </c>
      <c r="R17" s="62">
        <f t="shared" si="0"/>
        <v>419.94520785747511</v>
      </c>
      <c r="S17" s="62">
        <f ca="1">AVERAGE(OFFSET($R$3,0,0,'Données projet'!$E$9+1,1))-AVERAGE(OFFSET($H$3,0,0,'Données projet'!$E$9+1,1))</f>
        <v>253.73326067725128</v>
      </c>
      <c r="T17" s="62">
        <f t="shared" si="34"/>
        <v>317.76427047458026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21.063251004316204</v>
      </c>
      <c r="AK17" s="14">
        <f t="shared" si="35"/>
        <v>6.8079931653802301</v>
      </c>
      <c r="AL17" s="22">
        <f t="shared" si="4"/>
        <v>48.542416928887945</v>
      </c>
      <c r="AM17" s="62">
        <f t="shared" si="5"/>
        <v>341.87575026222123</v>
      </c>
      <c r="AN17" s="62">
        <f ca="1">AVERAGE(OFFSET($AM$3,0,0,'Données projet'!$E$10+1,1))-AVERAGE(OFFSET($H$3,0,0,'Données projet'!$E$10+1,1))</f>
        <v>406.17572122067492</v>
      </c>
      <c r="AO17" s="62">
        <f t="shared" si="36"/>
        <v>244.4332618279085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335.52892963000164</v>
      </c>
      <c r="BI17" s="62">
        <f ca="1">AVERAGE(OFFSET($BH$3,0,0,'Données projet'!$E$11+1,1))-AVERAGE(OFFSET($H$3,0,0,'Données projet'!$E$11+1,1))</f>
        <v>344.49457749226184</v>
      </c>
      <c r="BJ17" s="62">
        <f t="shared" si="38"/>
        <v>207.92972431357452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5.5909090909090908</v>
      </c>
      <c r="BY17" s="13">
        <f>IF('Données projet'!$A$114&gt;35,BY16+BX17-CG16,IF(A17&lt;'Données projet'!$A$114,$BV$205^A17,IF(A17='Données projet'!$A$114,'Données projet'!$B$114,BY16+BX17-CG16)))</f>
        <v>21.376648512419013</v>
      </c>
      <c r="BZ17" s="14">
        <f>BY17*VLOOKUP('Données projet'!$B$12,Paramètres!$A$1:$I$89,3,0)*VLOOKUP('Données projet'!$B$12,Paramètres!$A$1:$I$89,5,0)</f>
        <v>12.783235810426572</v>
      </c>
      <c r="CA17" s="14">
        <f t="shared" si="39"/>
        <v>4.3790497183898731</v>
      </c>
      <c r="CB17" s="22">
        <f t="shared" si="10"/>
        <v>29.890980629355308</v>
      </c>
      <c r="CC17" s="62">
        <f t="shared" si="11"/>
        <v>323.2243139626886</v>
      </c>
      <c r="CD17" s="62">
        <f ca="1">AVERAGE(OFFSET($CC$3,0,0,'Données projet'!$E$12+1,1))-AVERAGE(OFFSET($H$3,0,0,'Données projet'!$E$12+1,1))</f>
        <v>287.69656598881124</v>
      </c>
      <c r="CE17" s="62">
        <f t="shared" si="40"/>
        <v>221.9773436301067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7.9</v>
      </c>
      <c r="CT17" s="13">
        <f>IF('Données projet'!$A$140&gt;35,CT16+CS17-DB16,IF(A17&lt;'Données projet'!$A$140,$CQ$205^A17,IF(A17='Données projet'!$A$140,'Données projet'!$B$140,CT16+CS17-DB16)))</f>
        <v>34.598714324397214</v>
      </c>
      <c r="CU17" s="18">
        <f>CT17*VLOOKUP('Données projet'!$B$13,Paramètres!$A$1:$I$89,3,0)*VLOOKUP('Données projet'!$B$13,Paramètres!$A$1:$I$89,5,0)</f>
        <v>16.192198303817896</v>
      </c>
      <c r="CV17" s="14">
        <f t="shared" si="41"/>
        <v>5.3962825594761723</v>
      </c>
      <c r="CW17" s="22">
        <f t="shared" si="13"/>
        <v>37.599937503570509</v>
      </c>
      <c r="CX17" s="62">
        <f t="shared" si="14"/>
        <v>330.93327083690383</v>
      </c>
      <c r="CY17" s="62">
        <f ca="1">AVERAGE(OFFSET($CX$3,0,0,'Données projet'!$E$13+1,1))-AVERAGE(OFFSET($H$3,0,0,'Données projet'!$E$13+1,1))</f>
        <v>310.95287409903602</v>
      </c>
      <c r="CZ17" s="62">
        <f t="shared" si="42"/>
        <v>224.10083380795163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87</v>
      </c>
      <c r="L18" s="13">
        <f>VLOOKUP(A18,'Données projet'!$A$35:$I$55,9,0)</f>
        <v>5.8</v>
      </c>
      <c r="M18" s="13">
        <f t="array" ref="M18">INDEX(L:L,MIN(IF(ISNUMBER(L18:L214),ROW(L18:L214),"")))</f>
        <v>5.8</v>
      </c>
      <c r="N18" s="14">
        <f>IF('Données projet'!$A$36&gt;35,N17+M18-V17,IF(A18&lt;'Données projet'!$A$36,$K$205^A18,IF(A18='Données projet'!$A$36,'Données projet'!$B$36,N17+M18-V17)))</f>
        <v>87</v>
      </c>
      <c r="O18" s="14">
        <f>N18*VLOOKUP('Données projet'!$B$9,Paramètres!$A$1:$I$89,3,0)*VLOOKUP('Données projet'!$B$9,Paramètres!$A$1:$I$89,5,0)</f>
        <v>76.003200000000007</v>
      </c>
      <c r="P18" s="14">
        <f t="shared" si="33"/>
        <v>21.157049992000456</v>
      </c>
      <c r="Q18" s="22">
        <f t="shared" si="2"/>
        <v>169.22076873606747</v>
      </c>
      <c r="R18" s="62">
        <f t="shared" si="0"/>
        <v>462.55410206940076</v>
      </c>
      <c r="S18" s="62">
        <f ca="1">AVERAGE(OFFSET($R$3,0,0,'Données projet'!$E$9+1,1))-AVERAGE(OFFSET($H$3,0,0,'Données projet'!$E$9+1,1))</f>
        <v>253.73326067725128</v>
      </c>
      <c r="T18" s="62">
        <f t="shared" si="34"/>
        <v>317.76427047458026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21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17.309567364584613</v>
      </c>
      <c r="AC18" s="24">
        <f t="shared" si="3"/>
        <v>17.309567364584613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26.103067483484455</v>
      </c>
      <c r="AK18" s="14">
        <f t="shared" si="35"/>
        <v>8.2288797327836498</v>
      </c>
      <c r="AL18" s="22">
        <f t="shared" si="4"/>
        <v>59.794808068333602</v>
      </c>
      <c r="AM18" s="62">
        <f t="shared" si="5"/>
        <v>353.12814140166694</v>
      </c>
      <c r="AN18" s="62">
        <f ca="1">AVERAGE(OFFSET($AM$3,0,0,'Données projet'!$E$10+1,1))-AVERAGE(OFFSET($H$3,0,0,'Données projet'!$E$10+1,1))</f>
        <v>406.17572122067492</v>
      </c>
      <c r="AO18" s="62">
        <f t="shared" si="36"/>
        <v>244.4332618279085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345.30607962204783</v>
      </c>
      <c r="BI18" s="62">
        <f ca="1">AVERAGE(OFFSET($BH$3,0,0,'Données projet'!$E$11+1,1))-AVERAGE(OFFSET($H$3,0,0,'Données projet'!$E$11+1,1))</f>
        <v>344.49457749226184</v>
      </c>
      <c r="BJ18" s="62">
        <f t="shared" si="38"/>
        <v>207.92972431357452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5.5909090909090908</v>
      </c>
      <c r="BY18" s="13">
        <f>IF('Données projet'!$A$114&gt;35,BY17+BX18-CG17,IF(A18&lt;'Données projet'!$A$114,$BV$205^A18,IF(A18='Données projet'!$A$114,'Données projet'!$B$114,BY17+BX18-CG17)))</f>
        <v>26.603287217402478</v>
      </c>
      <c r="BZ18" s="14">
        <f>BY18*VLOOKUP('Données projet'!$B$12,Paramètres!$A$1:$I$89,3,0)*VLOOKUP('Données projet'!$B$12,Paramètres!$A$1:$I$89,5,0)</f>
        <v>15.908765756006684</v>
      </c>
      <c r="CA18" s="14">
        <f t="shared" si="39"/>
        <v>5.312733913945455</v>
      </c>
      <c r="CB18" s="22">
        <f t="shared" si="10"/>
        <v>36.960778591833304</v>
      </c>
      <c r="CC18" s="62">
        <f t="shared" si="11"/>
        <v>330.29411192516659</v>
      </c>
      <c r="CD18" s="62">
        <f ca="1">AVERAGE(OFFSET($CC$3,0,0,'Données projet'!$E$12+1,1))-AVERAGE(OFFSET($H$3,0,0,'Données projet'!$E$12+1,1))</f>
        <v>287.69656598881124</v>
      </c>
      <c r="CE18" s="62">
        <f t="shared" si="40"/>
        <v>221.9773436301067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7.9</v>
      </c>
      <c r="CT18" s="13">
        <f>IF('Données projet'!$A$140&gt;35,CT17+CS18-DB17,IF(A18&lt;'Données projet'!$A$140,$CQ$205^A18,IF(A18='Données projet'!$A$140,'Données projet'!$B$140,CT17+CS18-DB17)))</f>
        <v>44.564887571004775</v>
      </c>
      <c r="CU18" s="18">
        <f>CT18*VLOOKUP('Données projet'!$B$13,Paramètres!$A$1:$I$89,3,0)*VLOOKUP('Données projet'!$B$13,Paramètres!$A$1:$I$89,5,0)</f>
        <v>20.856367383230236</v>
      </c>
      <c r="CV18" s="14">
        <f t="shared" si="41"/>
        <v>6.7488744993944465</v>
      </c>
      <c r="CW18" s="22">
        <f t="shared" si="13"/>
        <v>48.079129612237985</v>
      </c>
      <c r="CX18" s="62">
        <f t="shared" si="14"/>
        <v>341.41246294557129</v>
      </c>
      <c r="CY18" s="62">
        <f ca="1">AVERAGE(OFFSET($CX$3,0,0,'Données projet'!$E$13+1,1))-AVERAGE(OFFSET($H$3,0,0,'Données projet'!$E$13+1,1))</f>
        <v>310.95287409903602</v>
      </c>
      <c r="CZ18" s="62">
        <f t="shared" si="42"/>
        <v>224.10083380795163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14.2</v>
      </c>
      <c r="N19" s="14">
        <f>IF('Données projet'!$A$36&gt;35,N18+M19-V18,IF(A19&lt;'Données projet'!$A$36,$K$205^A19,IF(A19='Données projet'!$A$36,'Données projet'!$B$36,N18+M19-V18)))</f>
        <v>80.2</v>
      </c>
      <c r="O19" s="14">
        <f>N19*VLOOKUP('Données projet'!$B$9,Paramètres!$A$1:$I$89,3,0)*VLOOKUP('Données projet'!$B$9,Paramètres!$A$1:$I$89,5,0)</f>
        <v>70.062720000000013</v>
      </c>
      <c r="P19" s="14">
        <f t="shared" si="33"/>
        <v>19.689032345957123</v>
      </c>
      <c r="Q19" s="22">
        <f t="shared" si="2"/>
        <v>156.31763533587534</v>
      </c>
      <c r="R19" s="62">
        <f t="shared" si="0"/>
        <v>449.65096866920862</v>
      </c>
      <c r="S19" s="62">
        <f ca="1">AVERAGE(OFFSET($R$3,0,0,'Données projet'!$E$9+1,1))-AVERAGE(OFFSET($H$3,0,0,'Données projet'!$E$9+1,1))</f>
        <v>253.73326067725128</v>
      </c>
      <c r="T19" s="62">
        <f t="shared" si="34"/>
        <v>317.76427047458026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12.239712462903137</v>
      </c>
      <c r="AC19" s="24">
        <f t="shared" si="3"/>
        <v>12.239712462903137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32.348763821298036</v>
      </c>
      <c r="AK19" s="14">
        <f t="shared" si="35"/>
        <v>9.9463175140886975</v>
      </c>
      <c r="AL19" s="22">
        <f t="shared" si="4"/>
        <v>73.663933325798567</v>
      </c>
      <c r="AM19" s="62">
        <f t="shared" si="5"/>
        <v>366.99726665913187</v>
      </c>
      <c r="AN19" s="62">
        <f ca="1">AVERAGE(OFFSET($AM$3,0,0,'Données projet'!$E$10+1,1))-AVERAGE(OFFSET($H$3,0,0,'Données projet'!$E$10+1,1))</f>
        <v>406.17572122067492</v>
      </c>
      <c r="AO19" s="62">
        <f t="shared" si="36"/>
        <v>244.4332618279085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357.3560328458579</v>
      </c>
      <c r="BI19" s="62">
        <f ca="1">AVERAGE(OFFSET($BH$3,0,0,'Données projet'!$E$11+1,1))-AVERAGE(OFFSET($H$3,0,0,'Données projet'!$E$11+1,1))</f>
        <v>344.49457749226184</v>
      </c>
      <c r="BJ19" s="62">
        <f t="shared" si="38"/>
        <v>207.92972431357452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5.5909090909090908</v>
      </c>
      <c r="BY19" s="13">
        <f>IF('Données projet'!$A$114&gt;35,BY18+BX19-CG18,IF(A19&lt;'Données projet'!$A$114,$BV$205^A19,IF(A19='Données projet'!$A$114,'Données projet'!$B$114,BY18+BX19-CG18)))</f>
        <v>33.107850856996748</v>
      </c>
      <c r="BZ19" s="14">
        <f>BY19*VLOOKUP('Données projet'!$B$12,Paramètres!$A$1:$I$89,3,0)*VLOOKUP('Données projet'!$B$12,Paramètres!$A$1:$I$89,5,0)</f>
        <v>19.798494812484059</v>
      </c>
      <c r="CA19" s="14">
        <f t="shared" si="39"/>
        <v>6.4454946747588586</v>
      </c>
      <c r="CB19" s="22">
        <f t="shared" si="10"/>
        <v>45.70828169028141</v>
      </c>
      <c r="CC19" s="62">
        <f t="shared" si="11"/>
        <v>339.04161502361472</v>
      </c>
      <c r="CD19" s="62">
        <f ca="1">AVERAGE(OFFSET($CC$3,0,0,'Données projet'!$E$12+1,1))-AVERAGE(OFFSET($H$3,0,0,'Données projet'!$E$12+1,1))</f>
        <v>287.69656598881124</v>
      </c>
      <c r="CE19" s="62">
        <f t="shared" si="40"/>
        <v>221.9773436301067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7.9</v>
      </c>
      <c r="CT19" s="13">
        <f>IF('Données projet'!$A$140&gt;35,CT18+CS19-DB18,IF(A19&lt;'Données projet'!$A$140,$CQ$205^A19,IF(A19='Données projet'!$A$140,'Données projet'!$B$140,CT18+CS19-DB18)))</f>
        <v>57.401820934596167</v>
      </c>
      <c r="CU19" s="18">
        <f>CT19*VLOOKUP('Données projet'!$B$13,Paramètres!$A$1:$I$89,3,0)*VLOOKUP('Données projet'!$B$13,Paramètres!$A$1:$I$89,5,0)</f>
        <v>26.864052197391008</v>
      </c>
      <c r="CV19" s="14">
        <f t="shared" si="41"/>
        <v>8.4404970471001413</v>
      </c>
      <c r="CW19" s="22">
        <f t="shared" si="13"/>
        <v>61.488756600822086</v>
      </c>
      <c r="CX19" s="62">
        <f t="shared" si="14"/>
        <v>354.82208993415543</v>
      </c>
      <c r="CY19" s="62">
        <f ca="1">AVERAGE(OFFSET($CX$3,0,0,'Données projet'!$E$13+1,1))-AVERAGE(OFFSET($H$3,0,0,'Données projet'!$E$13+1,1))</f>
        <v>310.95287409903602</v>
      </c>
      <c r="CZ19" s="62">
        <f t="shared" si="42"/>
        <v>224.10083380795163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14.2</v>
      </c>
      <c r="N20" s="14">
        <f>IF('Données projet'!$A$36&gt;35,N19+M20-V19,IF(A20&lt;'Données projet'!$A$36,$K$205^A20,IF(A20='Données projet'!$A$36,'Données projet'!$B$36,N19+M20-V19)))</f>
        <v>94.4</v>
      </c>
      <c r="O20" s="14">
        <f>N20*VLOOKUP('Données projet'!$B$9,Paramètres!$A$1:$I$89,3,0)*VLOOKUP('Données projet'!$B$9,Paramètres!$A$1:$I$89,5,0)</f>
        <v>82.467840000000024</v>
      </c>
      <c r="P20" s="14">
        <f t="shared" si="33"/>
        <v>22.739512759227473</v>
      </c>
      <c r="Q20" s="22">
        <f t="shared" si="2"/>
        <v>183.23613938898788</v>
      </c>
      <c r="R20" s="62">
        <f t="shared" si="0"/>
        <v>476.56947272232117</v>
      </c>
      <c r="S20" s="62">
        <f ca="1">AVERAGE(OFFSET($R$3,0,0,'Données projet'!$E$9+1,1))-AVERAGE(OFFSET($H$3,0,0,'Données projet'!$E$9+1,1))</f>
        <v>253.73326067725128</v>
      </c>
      <c r="T20" s="62">
        <f t="shared" si="34"/>
        <v>317.76427047458026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8.6547836822923081</v>
      </c>
      <c r="AC20" s="24">
        <f t="shared" si="3"/>
        <v>8.6547836822923081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40.08887160209084</v>
      </c>
      <c r="AK20" s="14">
        <f t="shared" si="35"/>
        <v>12.022199291227453</v>
      </c>
      <c r="AL20" s="22">
        <f t="shared" si="4"/>
        <v>90.760115139196031</v>
      </c>
      <c r="AM20" s="62">
        <f t="shared" si="5"/>
        <v>384.09344847252936</v>
      </c>
      <c r="AN20" s="62">
        <f ca="1">AVERAGE(OFFSET($AM$3,0,0,'Données projet'!$E$10+1,1))-AVERAGE(OFFSET($H$3,0,0,'Données projet'!$E$10+1,1))</f>
        <v>406.17572122067492</v>
      </c>
      <c r="AO20" s="62">
        <f t="shared" si="36"/>
        <v>244.4332618279085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372.20870820074703</v>
      </c>
      <c r="BI20" s="62">
        <f ca="1">AVERAGE(OFFSET($BH$3,0,0,'Données projet'!$E$11+1,1))-AVERAGE(OFFSET($H$3,0,0,'Données projet'!$E$11+1,1))</f>
        <v>344.49457749226184</v>
      </c>
      <c r="BJ20" s="62">
        <f t="shared" si="38"/>
        <v>207.92972431357452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5.5909090909090908</v>
      </c>
      <c r="BY20" s="13">
        <f>IF('Données projet'!$A$114&gt;35,BY19+BX20-CG19,IF(A20&lt;'Données projet'!$A$114,$BV$205^A20,IF(A20='Données projet'!$A$114,'Données projet'!$B$114,BY19+BX20-CG19)))</f>
        <v>41.202794955809431</v>
      </c>
      <c r="BZ20" s="14">
        <f>BY20*VLOOKUP('Données projet'!$B$12,Paramètres!$A$1:$I$89,3,0)*VLOOKUP('Données projet'!$B$12,Paramètres!$A$1:$I$89,5,0)</f>
        <v>24.639271383574041</v>
      </c>
      <c r="CA20" s="14">
        <f t="shared" si="39"/>
        <v>7.8197783429910519</v>
      </c>
      <c r="CB20" s="22">
        <f t="shared" si="10"/>
        <v>56.532844940434195</v>
      </c>
      <c r="CC20" s="62">
        <f t="shared" si="11"/>
        <v>349.8661782737675</v>
      </c>
      <c r="CD20" s="62">
        <f ca="1">AVERAGE(OFFSET($CC$3,0,0,'Données projet'!$E$12+1,1))-AVERAGE(OFFSET($H$3,0,0,'Données projet'!$E$12+1,1))</f>
        <v>287.69656598881124</v>
      </c>
      <c r="CE20" s="62">
        <f t="shared" si="40"/>
        <v>221.9773436301067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7.9</v>
      </c>
      <c r="CT20" s="13">
        <f>IF('Données projet'!$A$140&gt;35,CT19+CS20-DB19,IF(A20&lt;'Données projet'!$A$140,$CQ$205^A20,IF(A20='Données projet'!$A$140,'Données projet'!$B$140,CT19+CS20-DB19)))</f>
        <v>73.936437994095741</v>
      </c>
      <c r="CU20" s="18">
        <f>CT20*VLOOKUP('Données projet'!$B$13,Paramètres!$A$1:$I$89,3,0)*VLOOKUP('Données projet'!$B$13,Paramètres!$A$1:$I$89,5,0)</f>
        <v>34.602252981236802</v>
      </c>
      <c r="CV20" s="14">
        <f t="shared" si="41"/>
        <v>10.556129086190376</v>
      </c>
      <c r="CW20" s="22">
        <f t="shared" si="13"/>
        <v>78.650848767435647</v>
      </c>
      <c r="CX20" s="62">
        <f t="shared" si="14"/>
        <v>371.98418210076898</v>
      </c>
      <c r="CY20" s="62">
        <f ca="1">AVERAGE(OFFSET($CX$3,0,0,'Données projet'!$E$13+1,1))-AVERAGE(OFFSET($H$3,0,0,'Données projet'!$E$13+1,1))</f>
        <v>310.95287409903602</v>
      </c>
      <c r="CZ20" s="62">
        <f t="shared" si="42"/>
        <v>224.10083380795163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14.2</v>
      </c>
      <c r="N21" s="14">
        <f>IF('Données projet'!$A$36&gt;35,N20+M21-V20,IF(A21&lt;'Données projet'!$A$36,$K$205^A21,IF(A21='Données projet'!$A$36,'Données projet'!$B$36,N20+M21-V20)))</f>
        <v>108.60000000000001</v>
      </c>
      <c r="O21" s="14">
        <f>N21*VLOOKUP('Données projet'!$B$9,Paramètres!$A$1:$I$89,3,0)*VLOOKUP('Données projet'!$B$9,Paramètres!$A$1:$I$89,5,0)</f>
        <v>94.87296000000002</v>
      </c>
      <c r="P21" s="14">
        <f t="shared" si="33"/>
        <v>25.736834760472274</v>
      </c>
      <c r="Q21" s="22">
        <f t="shared" si="2"/>
        <v>210.06205920782259</v>
      </c>
      <c r="R21" s="62">
        <f t="shared" si="0"/>
        <v>503.3953925411559</v>
      </c>
      <c r="S21" s="62">
        <f ca="1">AVERAGE(OFFSET($R$3,0,0,'Données projet'!$E$9+1,1))-AVERAGE(OFFSET($H$3,0,0,'Données projet'!$E$9+1,1))</f>
        <v>253.73326067725128</v>
      </c>
      <c r="T21" s="62">
        <f t="shared" si="34"/>
        <v>317.76427047458026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6.1198562314515694</v>
      </c>
      <c r="AC21" s="24">
        <f t="shared" si="3"/>
        <v>6.1198562314515694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49.680959532395441</v>
      </c>
      <c r="AK21" s="14">
        <f t="shared" si="35"/>
        <v>14.53133540059045</v>
      </c>
      <c r="AL21" s="22">
        <f t="shared" si="4"/>
        <v>111.83641367495041</v>
      </c>
      <c r="AM21" s="62">
        <f t="shared" si="5"/>
        <v>405.16974700828371</v>
      </c>
      <c r="AN21" s="62">
        <f ca="1">AVERAGE(OFFSET($AM$3,0,0,'Données projet'!$E$10+1,1))-AVERAGE(OFFSET($H$3,0,0,'Données projet'!$E$10+1,1))</f>
        <v>406.17572122067492</v>
      </c>
      <c r="AO21" s="62">
        <f t="shared" si="36"/>
        <v>244.4332618279085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390.51791836449235</v>
      </c>
      <c r="BI21" s="62">
        <f ca="1">AVERAGE(OFFSET($BH$3,0,0,'Données projet'!$E$11+1,1))-AVERAGE(OFFSET($H$3,0,0,'Données projet'!$E$11+1,1))</f>
        <v>344.49457749226184</v>
      </c>
      <c r="BJ21" s="62">
        <f t="shared" si="38"/>
        <v>207.92972431357452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5.5909090909090908</v>
      </c>
      <c r="BY21" s="13">
        <f>IF('Données projet'!$A$114&gt;35,BY20+BX21-CG20,IF(A21&lt;'Données projet'!$A$114,$BV$205^A21,IF(A21='Données projet'!$A$114,'Données projet'!$B$114,BY20+BX21-CG20)))</f>
        <v>51.276971117915458</v>
      </c>
      <c r="BZ21" s="14">
        <f>BY21*VLOOKUP('Données projet'!$B$12,Paramètres!$A$1:$I$89,3,0)*VLOOKUP('Données projet'!$B$12,Paramètres!$A$1:$I$89,5,0)</f>
        <v>30.663628728513448</v>
      </c>
      <c r="CA21" s="14">
        <f t="shared" si="39"/>
        <v>9.4870815071768995</v>
      </c>
      <c r="CB21" s="22">
        <f t="shared" si="10"/>
        <v>69.929153660494023</v>
      </c>
      <c r="CC21" s="62">
        <f t="shared" si="11"/>
        <v>363.26248699382734</v>
      </c>
      <c r="CD21" s="62">
        <f ca="1">AVERAGE(OFFSET($CC$3,0,0,'Données projet'!$E$12+1,1))-AVERAGE(OFFSET($H$3,0,0,'Données projet'!$E$12+1,1))</f>
        <v>287.69656598881124</v>
      </c>
      <c r="CE21" s="62">
        <f t="shared" si="40"/>
        <v>221.9773436301067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7.9</v>
      </c>
      <c r="CT21" s="13">
        <f>IF('Données projet'!$A$140&gt;35,CT20+CS21-DB20,IF(A21&lt;'Données projet'!$A$140,$CQ$205^A21,IF(A21='Données projet'!$A$140,'Données projet'!$B$140,CT20+CS21-DB20)))</f>
        <v>95.233857990035276</v>
      </c>
      <c r="CU21" s="18">
        <f>CT21*VLOOKUP('Données projet'!$B$13,Paramètres!$A$1:$I$89,3,0)*VLOOKUP('Données projet'!$B$13,Paramètres!$A$1:$I$89,5,0)</f>
        <v>44.569445539336513</v>
      </c>
      <c r="CV21" s="14">
        <f t="shared" si="41"/>
        <v>13.202049673437019</v>
      </c>
      <c r="CW21" s="22">
        <f t="shared" si="13"/>
        <v>100.61868749558056</v>
      </c>
      <c r="CX21" s="62">
        <f t="shared" si="14"/>
        <v>393.95202082891387</v>
      </c>
      <c r="CY21" s="62">
        <f ca="1">AVERAGE(OFFSET($CX$3,0,0,'Données projet'!$E$13+1,1))-AVERAGE(OFFSET($H$3,0,0,'Données projet'!$E$13+1,1))</f>
        <v>310.95287409903602</v>
      </c>
      <c r="CZ21" s="62">
        <f t="shared" si="42"/>
        <v>224.10083380795163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14.2</v>
      </c>
      <c r="N22" s="14">
        <f>IF('Données projet'!$A$36&gt;35,N21+M22-V21,IF(A22&lt;'Données projet'!$A$36,$K$205^A22,IF(A22='Données projet'!$A$36,'Données projet'!$B$36,N21+M22-V21)))</f>
        <v>122.80000000000001</v>
      </c>
      <c r="O22" s="14">
        <f>N22*VLOOKUP('Données projet'!$B$9,Paramètres!$A$1:$I$89,3,0)*VLOOKUP('Données projet'!$B$9,Paramètres!$A$1:$I$89,5,0)</f>
        <v>107.27808000000003</v>
      </c>
      <c r="P22" s="14">
        <f t="shared" si="33"/>
        <v>28.688746800886673</v>
      </c>
      <c r="Q22" s="22">
        <f t="shared" si="2"/>
        <v>236.80889001154432</v>
      </c>
      <c r="R22" s="62">
        <f t="shared" si="0"/>
        <v>530.14222334487761</v>
      </c>
      <c r="S22" s="62">
        <f ca="1">AVERAGE(OFFSET($R$3,0,0,'Données projet'!$E$9+1,1))-AVERAGE(OFFSET($H$3,0,0,'Données projet'!$E$9+1,1))</f>
        <v>253.73326067725128</v>
      </c>
      <c r="T22" s="62">
        <f t="shared" si="34"/>
        <v>317.76427047458026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4.3273918411461549</v>
      </c>
      <c r="AC22" s="24">
        <f t="shared" si="3"/>
        <v>4.3273918411461549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61.568151993851174</v>
      </c>
      <c r="AK22" s="14">
        <f t="shared" si="35"/>
        <v>17.564149737439095</v>
      </c>
      <c r="AL22" s="22">
        <f t="shared" si="4"/>
        <v>137.82209218199722</v>
      </c>
      <c r="AM22" s="62">
        <f t="shared" si="5"/>
        <v>431.15542551533053</v>
      </c>
      <c r="AN22" s="62">
        <f ca="1">AVERAGE(OFFSET($AM$3,0,0,'Données projet'!$E$10+1,1))-AVERAGE(OFFSET($H$3,0,0,'Données projet'!$E$10+1,1))</f>
        <v>406.17572122067492</v>
      </c>
      <c r="AO22" s="62">
        <f t="shared" si="36"/>
        <v>244.4332618279085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413.0904086280766</v>
      </c>
      <c r="BI22" s="62">
        <f ca="1">AVERAGE(OFFSET($BH$3,0,0,'Données projet'!$E$11+1,1))-AVERAGE(OFFSET($H$3,0,0,'Données projet'!$E$11+1,1))</f>
        <v>344.49457749226184</v>
      </c>
      <c r="BJ22" s="62">
        <f t="shared" si="38"/>
        <v>207.92972431357452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5.5909090909090908</v>
      </c>
      <c r="BY22" s="13">
        <f>IF('Données projet'!$A$114&gt;35,BY21+BX22-CG21,IF(A22&lt;'Données projet'!$A$114,$BV$205^A22,IF(A22='Données projet'!$A$114,'Données projet'!$B$114,BY21+BX22-CG21)))</f>
        <v>63.814306040343304</v>
      </c>
      <c r="BZ22" s="14">
        <f>BY22*VLOOKUP('Données projet'!$B$12,Paramètres!$A$1:$I$89,3,0)*VLOOKUP('Données projet'!$B$12,Paramètres!$A$1:$I$89,5,0)</f>
        <v>38.160955012125299</v>
      </c>
      <c r="CA22" s="14">
        <f t="shared" si="39"/>
        <v>11.509880661066306</v>
      </c>
      <c r="CB22" s="22">
        <f t="shared" si="10"/>
        <v>86.510038797475374</v>
      </c>
      <c r="CC22" s="62">
        <f t="shared" si="11"/>
        <v>379.84337213080869</v>
      </c>
      <c r="CD22" s="62">
        <f ca="1">AVERAGE(OFFSET($CC$3,0,0,'Données projet'!$E$12+1,1))-AVERAGE(OFFSET($H$3,0,0,'Données projet'!$E$12+1,1))</f>
        <v>287.69656598881124</v>
      </c>
      <c r="CE22" s="62">
        <f t="shared" si="40"/>
        <v>221.9773436301067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7.9</v>
      </c>
      <c r="CT22" s="13">
        <f>IF('Données projet'!$A$140&gt;35,CT21+CS22-DB21,IF(A22&lt;'Données projet'!$A$140,$CQ$205^A22,IF(A22='Données projet'!$A$140,'Données projet'!$B$140,CT21+CS22-DB21)))</f>
        <v>122.66600817840934</v>
      </c>
      <c r="CU22" s="18">
        <f>CT22*VLOOKUP('Données projet'!$B$13,Paramètres!$A$1:$I$89,3,0)*VLOOKUP('Données projet'!$B$13,Paramètres!$A$1:$I$89,5,0)</f>
        <v>57.407691827495569</v>
      </c>
      <c r="CV22" s="14">
        <f t="shared" si="41"/>
        <v>16.511176981334152</v>
      </c>
      <c r="CW22" s="22">
        <f t="shared" si="13"/>
        <v>128.7420298420451</v>
      </c>
      <c r="CX22" s="62">
        <f t="shared" si="14"/>
        <v>422.07536317537841</v>
      </c>
      <c r="CY22" s="62">
        <f ca="1">AVERAGE(OFFSET($CX$3,0,0,'Données projet'!$E$13+1,1))-AVERAGE(OFFSET($H$3,0,0,'Données projet'!$E$13+1,1))</f>
        <v>310.95287409903602</v>
      </c>
      <c r="CZ22" s="62">
        <f t="shared" si="42"/>
        <v>224.10083380795163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137</v>
      </c>
      <c r="L23" s="13">
        <f>VLOOKUP(A23,'Données projet'!$A$35:$I$55,9,0)</f>
        <v>14.2</v>
      </c>
      <c r="M23" s="13">
        <f t="array" ref="M23">INDEX(L:L,MIN(IF(ISNUMBER(L23:L219),ROW(L23:L219),"")))</f>
        <v>14.2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119.68320000000003</v>
      </c>
      <c r="P23" s="14">
        <f t="shared" si="33"/>
        <v>31.601099532596194</v>
      </c>
      <c r="Q23" s="22">
        <f t="shared" si="2"/>
        <v>263.48682168593842</v>
      </c>
      <c r="R23" s="62">
        <f t="shared" si="0"/>
        <v>556.82015501927174</v>
      </c>
      <c r="S23" s="62">
        <f ca="1">AVERAGE(OFFSET($R$3,0,0,'Données projet'!$E$9+1,1))-AVERAGE(OFFSET($H$3,0,0,'Données projet'!$E$9+1,1))</f>
        <v>253.73326067725128</v>
      </c>
      <c r="T23" s="62">
        <f t="shared" si="34"/>
        <v>317.76427047458026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38.503327957494278</v>
      </c>
      <c r="AC23" s="24">
        <f t="shared" si="3"/>
        <v>38.503327957494278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76.299600000000012</v>
      </c>
      <c r="AK23" s="14">
        <f t="shared" si="35"/>
        <v>21.229938439563291</v>
      </c>
      <c r="AL23" s="22">
        <f t="shared" si="4"/>
        <v>169.86394611557276</v>
      </c>
      <c r="AM23" s="62">
        <f t="shared" si="5"/>
        <v>463.1972794489061</v>
      </c>
      <c r="AN23" s="62">
        <f ca="1">AVERAGE(OFFSET($AM$3,0,0,'Données projet'!$E$10+1,1))-AVERAGE(OFFSET($H$3,0,0,'Données projet'!$E$10+1,1))</f>
        <v>406.17572122067492</v>
      </c>
      <c r="AO23" s="62">
        <f t="shared" si="36"/>
        <v>244.4332618279085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440.92171753768048</v>
      </c>
      <c r="BI23" s="62">
        <f ca="1">AVERAGE(OFFSET($BH$3,0,0,'Données projet'!$E$11+1,1))-AVERAGE(OFFSET($H$3,0,0,'Données projet'!$E$11+1,1))</f>
        <v>344.49457749226184</v>
      </c>
      <c r="BJ23" s="62">
        <f t="shared" si="38"/>
        <v>207.92972431357452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5.5909090909090908</v>
      </c>
      <c r="BY23" s="13">
        <f>IF('Données projet'!$A$114&gt;35,BY22+BX23-CG22,IF(A23&lt;'Données projet'!$A$114,$BV$205^A23,IF(A23='Données projet'!$A$114,'Données projet'!$B$114,BY22+BX23-CG22)))</f>
        <v>79.417047587426694</v>
      </c>
      <c r="BZ23" s="14">
        <f>BY23*VLOOKUP('Données projet'!$B$12,Paramètres!$A$1:$I$89,3,0)*VLOOKUP('Données projet'!$B$12,Paramètres!$A$1:$I$89,5,0)</f>
        <v>47.49139445728116</v>
      </c>
      <c r="CA23" s="14">
        <f t="shared" si="39"/>
        <v>13.96397329692701</v>
      </c>
      <c r="CB23" s="22">
        <f t="shared" si="10"/>
        <v>107.03476550524589</v>
      </c>
      <c r="CC23" s="62">
        <f t="shared" si="11"/>
        <v>400.36809883857921</v>
      </c>
      <c r="CD23" s="62">
        <f ca="1">AVERAGE(OFFSET($CC$3,0,0,'Données projet'!$E$12+1,1))-AVERAGE(OFFSET($H$3,0,0,'Données projet'!$E$12+1,1))</f>
        <v>287.69656598881124</v>
      </c>
      <c r="CE23" s="62">
        <f t="shared" si="40"/>
        <v>221.9773436301067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158</v>
      </c>
      <c r="CR23" s="13">
        <f>VLOOKUP(A23,'Données projet'!$A$139:$I$159,9,0)</f>
        <v>7.9</v>
      </c>
      <c r="CS23" s="13">
        <f t="array" ref="CS23">INDEX(CR:CR,MIN(IF(ISNUMBER(CR23:CR219),ROW(CR23:CR219),"")))</f>
        <v>7.9</v>
      </c>
      <c r="CT23" s="13">
        <f>IF('Données projet'!$A$140&gt;35,CT22+CS23-DB22,IF(A23&lt;'Données projet'!$A$140,$CQ$205^A23,IF(A23='Données projet'!$A$140,'Données projet'!$B$140,CT22+CS23-DB22)))</f>
        <v>158</v>
      </c>
      <c r="CU23" s="18">
        <f>CT23*VLOOKUP('Données projet'!$B$13,Paramètres!$A$1:$I$89,3,0)*VLOOKUP('Données projet'!$B$13,Paramètres!$A$1:$I$89,5,0)</f>
        <v>73.944000000000003</v>
      </c>
      <c r="CV23" s="14">
        <f t="shared" si="41"/>
        <v>20.649745460165708</v>
      </c>
      <c r="CW23" s="22">
        <f t="shared" si="13"/>
        <v>164.75077334312192</v>
      </c>
      <c r="CX23" s="62">
        <f t="shared" si="14"/>
        <v>458.08410667645524</v>
      </c>
      <c r="CY23" s="62">
        <f ca="1">AVERAGE(OFFSET($CX$3,0,0,'Données projet'!$E$13+1,1))-AVERAGE(OFFSET($H$3,0,0,'Données projet'!$E$13+1,1))</f>
        <v>310.95287409903602</v>
      </c>
      <c r="CZ23" s="62">
        <f t="shared" si="42"/>
        <v>224.10083380795163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13.8</v>
      </c>
      <c r="N24" s="14">
        <f>IF('Données projet'!$A$36&gt;35,N23+M24-V23,IF(A24&lt;'Données projet'!$A$36,$K$205^A24,IF(A24='Données projet'!$A$36,'Données projet'!$B$36,N23+M24-V23)))</f>
        <v>107.80000000000001</v>
      </c>
      <c r="O24" s="14">
        <f>N24*VLOOKUP('Données projet'!$B$9,Paramètres!$A$1:$I$89,3,0)*VLOOKUP('Données projet'!$B$9,Paramètres!$A$1:$I$89,5,0)</f>
        <v>94.174080000000018</v>
      </c>
      <c r="P24" s="14">
        <f t="shared" si="33"/>
        <v>25.569241067746205</v>
      </c>
      <c r="Q24" s="22">
        <f t="shared" si="2"/>
        <v>208.55295085965801</v>
      </c>
      <c r="R24" s="62">
        <f t="shared" si="0"/>
        <v>501.8862841929913</v>
      </c>
      <c r="S24" s="62">
        <f ca="1">AVERAGE(OFFSET($R$3,0,0,'Données projet'!$E$9+1,1))-AVERAGE(OFFSET($H$3,0,0,'Données projet'!$E$9+1,1))</f>
        <v>253.73326067725128</v>
      </c>
      <c r="T24" s="62">
        <f t="shared" si="34"/>
        <v>317.76427047458026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27.225964296993787</v>
      </c>
      <c r="AC24" s="24">
        <f t="shared" si="3"/>
        <v>27.225964296993787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77.553840000000008</v>
      </c>
      <c r="AK24" s="14">
        <f t="shared" si="35"/>
        <v>21.53800861537108</v>
      </c>
      <c r="AL24" s="22">
        <f t="shared" si="4"/>
        <v>172.58496967177132</v>
      </c>
      <c r="AM24" s="62">
        <f t="shared" si="5"/>
        <v>465.91830300510463</v>
      </c>
      <c r="AN24" s="62">
        <f ca="1">AVERAGE(OFFSET($AM$3,0,0,'Données projet'!$E$10+1,1))-AVERAGE(OFFSET($H$3,0,0,'Données projet'!$E$10+1,1))</f>
        <v>406.17572122067492</v>
      </c>
      <c r="AO24" s="62">
        <f t="shared" si="36"/>
        <v>244.4332618279085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443.2850952483584</v>
      </c>
      <c r="BI24" s="62">
        <f ca="1">AVERAGE(OFFSET($BH$3,0,0,'Données projet'!$E$11+1,1))-AVERAGE(OFFSET($H$3,0,0,'Données projet'!$E$11+1,1))</f>
        <v>344.49457749226184</v>
      </c>
      <c r="BJ24" s="62">
        <f t="shared" si="38"/>
        <v>207.92972431357452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5.5909090909090908</v>
      </c>
      <c r="BY24" s="13">
        <f>IF('Données projet'!$A$114&gt;35,BY23+BX24-CG23,IF(A24&lt;'Données projet'!$A$114,$BV$205^A24,IF(A24='Données projet'!$A$114,'Données projet'!$B$114,BY23+BX24-CG23)))</f>
        <v>98.834694582689295</v>
      </c>
      <c r="BZ24" s="14">
        <f>BY24*VLOOKUP('Données projet'!$B$12,Paramètres!$A$1:$I$89,3,0)*VLOOKUP('Données projet'!$B$12,Paramètres!$A$1:$I$89,5,0)</f>
        <v>59.103147360448204</v>
      </c>
      <c r="CA24" s="14">
        <f t="shared" si="39"/>
        <v>16.94131815778756</v>
      </c>
      <c r="CB24" s="22">
        <f t="shared" si="10"/>
        <v>132.44411077759398</v>
      </c>
      <c r="CC24" s="62">
        <f t="shared" si="11"/>
        <v>425.77744411092726</v>
      </c>
      <c r="CD24" s="62">
        <f ca="1">AVERAGE(OFFSET($CC$3,0,0,'Données projet'!$E$12+1,1))-AVERAGE(OFFSET($H$3,0,0,'Données projet'!$E$12+1,1))</f>
        <v>287.69656598881124</v>
      </c>
      <c r="CE24" s="62">
        <f t="shared" si="40"/>
        <v>221.9773436301067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9.1999999999999993</v>
      </c>
      <c r="CT24" s="13">
        <f>IF('Données projet'!$A$140&gt;35,CT23+CS24-DB23,IF(A24&lt;'Données projet'!$A$140,$CQ$205^A24,IF(A24='Données projet'!$A$140,'Données projet'!$B$140,CT23+CS24-DB23)))</f>
        <v>167.2</v>
      </c>
      <c r="CU24" s="18">
        <f>CT24*VLOOKUP('Données projet'!$B$13,Paramètres!$A$1:$I$89,3,0)*VLOOKUP('Données projet'!$B$13,Paramètres!$A$1:$I$89,5,0)</f>
        <v>78.249599999999987</v>
      </c>
      <c r="CV24" s="14">
        <f t="shared" si="41"/>
        <v>21.708652740239781</v>
      </c>
      <c r="CW24" s="22">
        <f t="shared" si="13"/>
        <v>174.09395685591758</v>
      </c>
      <c r="CX24" s="62">
        <f t="shared" si="14"/>
        <v>467.42729018925093</v>
      </c>
      <c r="CY24" s="62">
        <f ca="1">AVERAGE(OFFSET($CX$3,0,0,'Données projet'!$E$13+1,1))-AVERAGE(OFFSET($H$3,0,0,'Données projet'!$E$13+1,1))</f>
        <v>310.95287409903602</v>
      </c>
      <c r="CZ24" s="62">
        <f t="shared" si="42"/>
        <v>224.10083380795163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13.8</v>
      </c>
      <c r="N25" s="14">
        <f>IF('Données projet'!$A$36&gt;35,N24+M25-V24,IF(A25&lt;'Données projet'!$A$36,$K$205^A25,IF(A25='Données projet'!$A$36,'Données projet'!$B$36,N24+M25-V24)))</f>
        <v>121.60000000000001</v>
      </c>
      <c r="O25" s="14">
        <f>N25*VLOOKUP('Données projet'!$B$9,Paramètres!$A$1:$I$89,3,0)*VLOOKUP('Données projet'!$B$9,Paramètres!$A$1:$I$89,5,0)</f>
        <v>106.22976000000003</v>
      </c>
      <c r="P25" s="14">
        <f t="shared" si="33"/>
        <v>28.440891625171492</v>
      </c>
      <c r="Q25" s="22">
        <f t="shared" si="2"/>
        <v>234.55138491384039</v>
      </c>
      <c r="R25" s="62">
        <f t="shared" si="0"/>
        <v>527.88471824717374</v>
      </c>
      <c r="S25" s="62">
        <f ca="1">AVERAGE(OFFSET($R$3,0,0,'Données projet'!$E$9+1,1))-AVERAGE(OFFSET($H$3,0,0,'Données projet'!$E$9+1,1))</f>
        <v>253.73326067725128</v>
      </c>
      <c r="T25" s="62">
        <f t="shared" si="34"/>
        <v>317.76427047458026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19.251663978747143</v>
      </c>
      <c r="AC25" s="24">
        <f t="shared" si="3"/>
        <v>19.251663978747143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85.079280000000011</v>
      </c>
      <c r="AK25" s="14">
        <f t="shared" si="35"/>
        <v>23.374610339121531</v>
      </c>
      <c r="AL25" s="22">
        <f t="shared" si="4"/>
        <v>188.89052567397002</v>
      </c>
      <c r="AM25" s="62">
        <f t="shared" si="5"/>
        <v>482.2238590073033</v>
      </c>
      <c r="AN25" s="62">
        <f ca="1">AVERAGE(OFFSET($AM$3,0,0,'Données projet'!$E$10+1,1))-AVERAGE(OFFSET($H$3,0,0,'Données projet'!$E$10+1,1))</f>
        <v>406.17572122067492</v>
      </c>
      <c r="AO25" s="62">
        <f t="shared" si="36"/>
        <v>244.4332618279085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457.4472396337602</v>
      </c>
      <c r="BI25" s="62">
        <f ca="1">AVERAGE(OFFSET($BH$3,0,0,'Données projet'!$E$11+1,1))-AVERAGE(OFFSET($H$3,0,0,'Données projet'!$E$11+1,1))</f>
        <v>344.49457749226184</v>
      </c>
      <c r="BJ25" s="62">
        <f t="shared" si="38"/>
        <v>207.92972431357452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>
        <f>VLOOKUP(A25,'Données projet'!$A$113:$I$133,2,0)</f>
        <v>123</v>
      </c>
      <c r="BW25" s="13">
        <f>VLOOKUP(A25,'Données projet'!$A$113:$I$133,9,0)</f>
        <v>5.5909090909090908</v>
      </c>
      <c r="BX25" s="13">
        <f t="array" ref="BX25">INDEX(BW:BW,MIN(IF(ISNUMBER(BW25:BW221),ROW(BW25:BW221),"")))</f>
        <v>5.5909090909090908</v>
      </c>
      <c r="BY25" s="13">
        <f>IF('Données projet'!$A$114&gt;35,BY24+BX25-CG24,IF(A25&lt;'Données projet'!$A$114,$BV$205^A25,IF(A25='Données projet'!$A$114,'Données projet'!$B$114,BY24+BX25-CG24)))</f>
        <v>123</v>
      </c>
      <c r="BZ25" s="14">
        <f>BY25*VLOOKUP('Données projet'!$B$12,Paramètres!$A$1:$I$89,3,0)*VLOOKUP('Données projet'!$B$12,Paramètres!$A$1:$I$89,5,0)</f>
        <v>73.554000000000016</v>
      </c>
      <c r="CA25" s="14">
        <f t="shared" si="39"/>
        <v>20.553481077376691</v>
      </c>
      <c r="CB25" s="22">
        <f t="shared" si="10"/>
        <v>163.90386287643108</v>
      </c>
      <c r="CC25" s="62">
        <f t="shared" si="11"/>
        <v>457.23719620976442</v>
      </c>
      <c r="CD25" s="62">
        <f ca="1">AVERAGE(OFFSET($CC$3,0,0,'Données projet'!$E$12+1,1))-AVERAGE(OFFSET($H$3,0,0,'Données projet'!$E$12+1,1))</f>
        <v>287.69656598881124</v>
      </c>
      <c r="CE25" s="62">
        <f t="shared" si="40"/>
        <v>221.9773436301067</v>
      </c>
      <c r="CF25" s="16">
        <f>IF(ISNA(VLOOKUP(A25,'Données projet'!$A$113:$I$133,3,0)),0,VLOOKUP(A25,'Données projet'!$A$113:$I$133,3,0))</f>
        <v>1</v>
      </c>
      <c r="CG25" s="16">
        <f>IF(ISNA(VLOOKUP(A25,'Données projet'!$A$113:$I$133,4,0)),0,VLOOKUP(A25,'Données projet'!$A$113:$I$133,4,0))</f>
        <v>16</v>
      </c>
      <c r="CH25" s="17">
        <f>IF(ISNA(VLOOKUP(A25,'Données projet'!$A$113:$I$133,5,0)),0%,VLOOKUP(A25,'Données projet'!$A$113:$I$133,5,0)*VLOOKUP('Données projet'!$B$12,Paramètres!$A$1:$I$89,7,0))</f>
        <v>9.0000000000000011E-2</v>
      </c>
      <c r="CI25" s="17">
        <f>IF(ISNA(VLOOKUP(A25,'Données projet'!$A$113:$I$133,6,0)),0%,VLOOKUP(A25,'Données projet'!$A$113:$I$133,6,0)*VLOOKUP('Données projet'!$B$12,Paramètres!$A$1:$I$89,7,0))</f>
        <v>0.13500000000000001</v>
      </c>
      <c r="CJ25" s="17">
        <f>IF(ISNA(VLOOKUP(A25,'Données projet'!$A$113:$I$133,7,0)),0%,VLOOKUP(A25,'Données projet'!$A$113:$I$133,7,0))</f>
        <v>0.5</v>
      </c>
      <c r="CK25" s="23">
        <f>EXP(-LN(2)/35)*CK24+(1-EXP(-LN(2)/35))/(LN(2)/35)*CG25*CH25*VLOOKUP('Données projet'!$B$12,Paramètres!$A$1:$I$89,3,0)*0.475*44/12</f>
        <v>1.142331183868097</v>
      </c>
      <c r="CL25" s="23">
        <f>EXP(-LN(2)/25)*CL24+(1-EXP(-LN(2)/25))/(LN(2)/25)*Calculateur!CG25*Calculateur!CI25*VLOOKUP('Données projet'!$B$12,Paramètres!$A$1:$I$89,3,0)*0.475*44/12</f>
        <v>1.706750086102355</v>
      </c>
      <c r="CM25" s="23">
        <f>EXP(-LN(2)/2)*CM24+(1-EXP(-LN(2)/2))/(LN(2)/2)*CG25*CJ25*VLOOKUP('Données projet'!$B$12,Paramètres!$A$1:$I$89,3,0)*0.475*44/12</f>
        <v>5.4165993113666131</v>
      </c>
      <c r="CN25" s="24">
        <f t="shared" si="12"/>
        <v>8.2656805813370653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9.1999999999999993</v>
      </c>
      <c r="CT25" s="13">
        <f>IF('Données projet'!$A$140&gt;35,CT24+CS25-DB24,IF(A25&lt;'Données projet'!$A$140,$CQ$205^A25,IF(A25='Données projet'!$A$140,'Données projet'!$B$140,CT24+CS25-DB24)))</f>
        <v>176.39999999999998</v>
      </c>
      <c r="CU25" s="18">
        <f>CT25*VLOOKUP('Données projet'!$B$13,Paramètres!$A$1:$I$89,3,0)*VLOOKUP('Données projet'!$B$13,Paramètres!$A$1:$I$89,5,0)</f>
        <v>82.555199999999985</v>
      </c>
      <c r="CV25" s="14">
        <f t="shared" si="41"/>
        <v>22.760796016854769</v>
      </c>
      <c r="CW25" s="22">
        <f t="shared" si="13"/>
        <v>183.42535972935536</v>
      </c>
      <c r="CX25" s="62">
        <f t="shared" si="14"/>
        <v>476.75869306268868</v>
      </c>
      <c r="CY25" s="62">
        <f ca="1">AVERAGE(OFFSET($CX$3,0,0,'Données projet'!$E$13+1,1))-AVERAGE(OFFSET($H$3,0,0,'Données projet'!$E$13+1,1))</f>
        <v>310.95287409903602</v>
      </c>
      <c r="CZ25" s="62">
        <f t="shared" si="42"/>
        <v>224.10083380795163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13.8</v>
      </c>
      <c r="N26" s="14">
        <f>IF('Données projet'!$A$36&gt;35,N25+M26-V25,IF(A26&lt;'Données projet'!$A$36,$K$205^A26,IF(A26='Données projet'!$A$36,'Données projet'!$B$36,N25+M26-V25)))</f>
        <v>135.4</v>
      </c>
      <c r="O26" s="14">
        <f>N26*VLOOKUP('Données projet'!$B$9,Paramètres!$A$1:$I$89,3,0)*VLOOKUP('Données projet'!$B$9,Paramètres!$A$1:$I$89,5,0)</f>
        <v>118.28544000000002</v>
      </c>
      <c r="P26" s="14">
        <f t="shared" si="33"/>
        <v>31.274772013169596</v>
      </c>
      <c r="Q26" s="22">
        <f t="shared" si="2"/>
        <v>260.48403592293715</v>
      </c>
      <c r="R26" s="62">
        <f t="shared" si="0"/>
        <v>553.81736925627047</v>
      </c>
      <c r="S26" s="62">
        <f ca="1">AVERAGE(OFFSET($R$3,0,0,'Données projet'!$E$9+1,1))-AVERAGE(OFFSET($H$3,0,0,'Données projet'!$E$9+1,1))</f>
        <v>253.73326067725128</v>
      </c>
      <c r="T26" s="62">
        <f t="shared" si="34"/>
        <v>317.76427047458026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13.612982148496895</v>
      </c>
      <c r="AC26" s="24">
        <f t="shared" si="3"/>
        <v>13.612982148496895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92.604720000000015</v>
      </c>
      <c r="AK26" s="14">
        <f t="shared" si="35"/>
        <v>25.192373837134568</v>
      </c>
      <c r="AL26" s="22">
        <f t="shared" si="4"/>
        <v>205.16327176634272</v>
      </c>
      <c r="AM26" s="62">
        <f t="shared" si="5"/>
        <v>498.496605099676</v>
      </c>
      <c r="AN26" s="62">
        <f ca="1">AVERAGE(OFFSET($AM$3,0,0,'Données projet'!$E$10+1,1))-AVERAGE(OFFSET($H$3,0,0,'Données projet'!$E$10+1,1))</f>
        <v>406.17572122067492</v>
      </c>
      <c r="AO26" s="62">
        <f t="shared" si="36"/>
        <v>244.4332618279085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471.5805004860498</v>
      </c>
      <c r="BI26" s="62">
        <f ca="1">AVERAGE(OFFSET($BH$3,0,0,'Données projet'!$E$11+1,1))-AVERAGE(OFFSET($H$3,0,0,'Données projet'!$E$11+1,1))</f>
        <v>344.49457749226184</v>
      </c>
      <c r="BJ26" s="62">
        <f t="shared" si="38"/>
        <v>207.92972431357452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12.333333333333334</v>
      </c>
      <c r="BY26" s="13">
        <f>IF('Données projet'!$A$114&gt;35,BY25+BX26-CG25,IF(A26&lt;'Données projet'!$A$114,$BV$205^A26,IF(A26='Données projet'!$A$114,'Données projet'!$B$114,BY25+BX26-CG25)))</f>
        <v>119.33333333333334</v>
      </c>
      <c r="BZ26" s="14">
        <f>BY26*VLOOKUP('Données projet'!$B$12,Paramètres!$A$1:$I$89,3,0)*VLOOKUP('Données projet'!$B$12,Paramètres!$A$1:$I$89,5,0)</f>
        <v>71.361333333333349</v>
      </c>
      <c r="CA26" s="14">
        <f t="shared" si="39"/>
        <v>20.011144716858571</v>
      </c>
      <c r="CB26" s="22">
        <f t="shared" si="10"/>
        <v>159.14039927075092</v>
      </c>
      <c r="CC26" s="62">
        <f t="shared" si="11"/>
        <v>452.47373260408426</v>
      </c>
      <c r="CD26" s="62">
        <f ca="1">AVERAGE(OFFSET($CC$3,0,0,'Données projet'!$E$12+1,1))-AVERAGE(OFFSET($H$3,0,0,'Données projet'!$E$12+1,1))</f>
        <v>287.69656598881124</v>
      </c>
      <c r="CE26" s="62">
        <f t="shared" si="40"/>
        <v>221.9773436301067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1.119930766105667</v>
      </c>
      <c r="CL26" s="23">
        <f>EXP(-LN(2)/25)*CL25+(1-EXP(-LN(2)/25))/(LN(2)/25)*Calculateur!CG26*Calculateur!CI26*VLOOKUP('Données projet'!$B$12,Paramètres!$A$1:$I$89,3,0)*0.475*44/12</f>
        <v>1.6600789152438</v>
      </c>
      <c r="CM26" s="23">
        <f>EXP(-LN(2)/2)*CM25+(1-EXP(-LN(2)/2))/(LN(2)/2)*CG26*CJ26*VLOOKUP('Données projet'!$B$12,Paramètres!$A$1:$I$89,3,0)*0.475*44/12</f>
        <v>3.8301141040377158</v>
      </c>
      <c r="CN26" s="24">
        <f t="shared" si="12"/>
        <v>6.6101237853871826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9.1999999999999993</v>
      </c>
      <c r="CT26" s="13">
        <f>IF('Données projet'!$A$140&gt;35,CT25+CS26-DB25,IF(A26&lt;'Données projet'!$A$140,$CQ$205^A26,IF(A26='Données projet'!$A$140,'Données projet'!$B$140,CT25+CS26-DB25)))</f>
        <v>185.59999999999997</v>
      </c>
      <c r="CU26" s="18">
        <f>CT26*VLOOKUP('Données projet'!$B$13,Paramètres!$A$1:$I$89,3,0)*VLOOKUP('Données projet'!$B$13,Paramètres!$A$1:$I$89,5,0)</f>
        <v>86.860799999999983</v>
      </c>
      <c r="CV26" s="14">
        <f t="shared" si="41"/>
        <v>23.806568296036275</v>
      </c>
      <c r="CW26" s="22">
        <f t="shared" si="13"/>
        <v>192.7456664489298</v>
      </c>
      <c r="CX26" s="62">
        <f t="shared" si="14"/>
        <v>486.07899978226311</v>
      </c>
      <c r="CY26" s="62">
        <f ca="1">AVERAGE(OFFSET($CX$3,0,0,'Données projet'!$E$13+1,1))-AVERAGE(OFFSET($H$3,0,0,'Données projet'!$E$13+1,1))</f>
        <v>310.95287409903602</v>
      </c>
      <c r="CZ26" s="62">
        <f t="shared" si="42"/>
        <v>224.10083380795163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13.8</v>
      </c>
      <c r="N27" s="14">
        <f>IF('Données projet'!$A$36&gt;35,N26+M27-V26,IF(A27&lt;'Données projet'!$A$36,$K$205^A27,IF(A27='Données projet'!$A$36,'Données projet'!$B$36,N26+M27-V26)))</f>
        <v>149.20000000000002</v>
      </c>
      <c r="O27" s="14">
        <f>N27*VLOOKUP('Données projet'!$B$9,Paramètres!$A$1:$I$89,3,0)*VLOOKUP('Données projet'!$B$9,Paramètres!$A$1:$I$89,5,0)</f>
        <v>130.34112000000005</v>
      </c>
      <c r="P27" s="14">
        <f t="shared" si="33"/>
        <v>34.075170122989917</v>
      </c>
      <c r="Q27" s="22">
        <f t="shared" si="2"/>
        <v>286.35837196420749</v>
      </c>
      <c r="R27" s="62">
        <f t="shared" si="0"/>
        <v>579.69170529754081</v>
      </c>
      <c r="S27" s="62">
        <f ca="1">AVERAGE(OFFSET($R$3,0,0,'Données projet'!$E$9+1,1))-AVERAGE(OFFSET($H$3,0,0,'Données projet'!$E$9+1,1))</f>
        <v>253.73326067725128</v>
      </c>
      <c r="T27" s="62">
        <f t="shared" si="34"/>
        <v>317.76427047458026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9.6258319893735731</v>
      </c>
      <c r="AC27" s="24">
        <f t="shared" si="3"/>
        <v>9.6258319893735731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100.13016000000002</v>
      </c>
      <c r="AK27" s="14">
        <f t="shared" si="35"/>
        <v>26.99300402561024</v>
      </c>
      <c r="AL27" s="22">
        <f t="shared" si="4"/>
        <v>221.40617734460454</v>
      </c>
      <c r="AM27" s="62">
        <f t="shared" si="5"/>
        <v>514.73951067793791</v>
      </c>
      <c r="AN27" s="62">
        <f ca="1">AVERAGE(OFFSET($AM$3,0,0,'Données projet'!$E$10+1,1))-AVERAGE(OFFSET($H$3,0,0,'Données projet'!$E$10+1,1))</f>
        <v>406.17572122067492</v>
      </c>
      <c r="AO27" s="62">
        <f t="shared" si="36"/>
        <v>244.4332618279085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485.6874918520171</v>
      </c>
      <c r="BI27" s="62">
        <f ca="1">AVERAGE(OFFSET($BH$3,0,0,'Données projet'!$E$11+1,1))-AVERAGE(OFFSET($H$3,0,0,'Données projet'!$E$11+1,1))</f>
        <v>344.49457749226184</v>
      </c>
      <c r="BJ27" s="62">
        <f t="shared" si="38"/>
        <v>207.92972431357452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12.333333333333334</v>
      </c>
      <c r="BY27" s="13">
        <f>IF('Données projet'!$A$114&gt;35,BY26+BX27-CG26,IF(A27&lt;'Données projet'!$A$114,$BV$205^A27,IF(A27='Données projet'!$A$114,'Données projet'!$B$114,BY26+BX27-CG26)))</f>
        <v>131.66666666666669</v>
      </c>
      <c r="BZ27" s="14">
        <f>BY27*VLOOKUP('Données projet'!$B$12,Paramètres!$A$1:$I$89,3,0)*VLOOKUP('Données projet'!$B$12,Paramètres!$A$1:$I$89,5,0)</f>
        <v>78.736666666666679</v>
      </c>
      <c r="CA27" s="14">
        <f t="shared" si="39"/>
        <v>21.828006984037064</v>
      </c>
      <c r="CB27" s="22">
        <f t="shared" si="10"/>
        <v>175.15013994164235</v>
      </c>
      <c r="CC27" s="62">
        <f t="shared" si="11"/>
        <v>468.48347327497567</v>
      </c>
      <c r="CD27" s="62">
        <f ca="1">AVERAGE(OFFSET($CC$3,0,0,'Données projet'!$E$12+1,1))-AVERAGE(OFFSET($H$3,0,0,'Données projet'!$E$12+1,1))</f>
        <v>287.69656598881124</v>
      </c>
      <c r="CE27" s="62">
        <f t="shared" si="40"/>
        <v>221.9773436301067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1.0979696068726525</v>
      </c>
      <c r="CL27" s="23">
        <f>EXP(-LN(2)/25)*CL26+(1-EXP(-LN(2)/25))/(LN(2)/25)*Calculateur!CG27*Calculateur!CI27*VLOOKUP('Données projet'!$B$12,Paramètres!$A$1:$I$89,3,0)*0.475*44/12</f>
        <v>1.6146839700067024</v>
      </c>
      <c r="CM27" s="23">
        <f>EXP(-LN(2)/2)*CM26+(1-EXP(-LN(2)/2))/(LN(2)/2)*CG27*CJ27*VLOOKUP('Données projet'!$B$12,Paramètres!$A$1:$I$89,3,0)*0.475*44/12</f>
        <v>2.708299655683307</v>
      </c>
      <c r="CN27" s="24">
        <f t="shared" si="12"/>
        <v>5.4209532325626615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9.1999999999999993</v>
      </c>
      <c r="CT27" s="13">
        <f>IF('Données projet'!$A$140&gt;35,CT26+CS27-DB26,IF(A27&lt;'Données projet'!$A$140,$CQ$205^A27,IF(A27='Données projet'!$A$140,'Données projet'!$B$140,CT26+CS27-DB26)))</f>
        <v>194.79999999999995</v>
      </c>
      <c r="CU27" s="18">
        <f>CT27*VLOOKUP('Données projet'!$B$13,Paramètres!$A$1:$I$89,3,0)*VLOOKUP('Données projet'!$B$13,Paramètres!$A$1:$I$89,5,0)</f>
        <v>91.166399999999982</v>
      </c>
      <c r="CV27" s="14">
        <f t="shared" si="41"/>
        <v>24.846321420979159</v>
      </c>
      <c r="CW27" s="22">
        <f t="shared" si="13"/>
        <v>202.05548980820535</v>
      </c>
      <c r="CX27" s="62">
        <f t="shared" si="14"/>
        <v>495.38882314153864</v>
      </c>
      <c r="CY27" s="62">
        <f ca="1">AVERAGE(OFFSET($CX$3,0,0,'Données projet'!$E$13+1,1))-AVERAGE(OFFSET($H$3,0,0,'Données projet'!$E$13+1,1))</f>
        <v>310.95287409903602</v>
      </c>
      <c r="CZ27" s="62">
        <f t="shared" si="42"/>
        <v>224.10083380795163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163</v>
      </c>
      <c r="L28" s="13">
        <f>VLOOKUP(A28,'Données projet'!$A$35:$I$55,9,0)</f>
        <v>13.8</v>
      </c>
      <c r="M28" s="13">
        <f t="array" ref="M28">INDEX(L:L,MIN(IF(ISNUMBER(L28:L224),ROW(L28:L224),"")))</f>
        <v>13.8</v>
      </c>
      <c r="N28" s="14">
        <f>IF('Données projet'!$A$36&gt;35,N27+M28-V27,IF(A28&lt;'Données projet'!$A$36,$K$205^A28,IF(A28='Données projet'!$A$36,'Données projet'!$B$36,N27+M28-V27)))</f>
        <v>163.00000000000003</v>
      </c>
      <c r="O28" s="14">
        <f>N28*VLOOKUP('Données projet'!$B$9,Paramètres!$A$1:$I$89,3,0)*VLOOKUP('Données projet'!$B$9,Paramètres!$A$1:$I$89,5,0)</f>
        <v>142.39680000000004</v>
      </c>
      <c r="P28" s="14">
        <f t="shared" si="33"/>
        <v>36.845535084476985</v>
      </c>
      <c r="Q28" s="22">
        <f t="shared" si="2"/>
        <v>312.18040027213078</v>
      </c>
      <c r="R28" s="62">
        <f t="shared" si="0"/>
        <v>605.51373360546404</v>
      </c>
      <c r="S28" s="62">
        <f ca="1">AVERAGE(OFFSET($R$3,0,0,'Données projet'!$E$9+1,1))-AVERAGE(OFFSET($H$3,0,0,'Données projet'!$E$9+1,1))</f>
        <v>253.73326067725128</v>
      </c>
      <c r="T28" s="62">
        <f t="shared" si="34"/>
        <v>317.76427047458026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44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43.074156028616208</v>
      </c>
      <c r="AC28" s="24">
        <f t="shared" si="3"/>
        <v>43.074156028616208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107.65560000000004</v>
      </c>
      <c r="AK28" s="14">
        <f t="shared" si="35"/>
        <v>28.777935004381227</v>
      </c>
      <c r="AL28" s="22">
        <f t="shared" si="4"/>
        <v>237.62174013263072</v>
      </c>
      <c r="AM28" s="62">
        <f t="shared" si="5"/>
        <v>530.95507346596401</v>
      </c>
      <c r="AN28" s="62">
        <f ca="1">AVERAGE(OFFSET($AM$3,0,0,'Données projet'!$E$10+1,1))-AVERAGE(OFFSET($H$3,0,0,'Données projet'!$E$10+1,1))</f>
        <v>406.17572122067492</v>
      </c>
      <c r="AO28" s="62">
        <f t="shared" si="36"/>
        <v>244.4332618279085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499.7704125517941</v>
      </c>
      <c r="BI28" s="62">
        <f ca="1">AVERAGE(OFFSET($BH$3,0,0,'Données projet'!$E$11+1,1))-AVERAGE(OFFSET($H$3,0,0,'Données projet'!$E$11+1,1))</f>
        <v>344.49457749226184</v>
      </c>
      <c r="BJ28" s="62">
        <f t="shared" si="38"/>
        <v>207.92972431357452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144</v>
      </c>
      <c r="BW28" s="13">
        <f>VLOOKUP(A28,'Données projet'!$A$113:$I$133,9,0)</f>
        <v>12.333333333333334</v>
      </c>
      <c r="BX28" s="13">
        <f t="array" ref="BX28">INDEX(BW:BW,MIN(IF(ISNUMBER(BW28:BW224),ROW(BW28:BW224),"")))</f>
        <v>12.333333333333334</v>
      </c>
      <c r="BY28" s="13">
        <f>IF('Données projet'!$A$114&gt;35,BY27+BX28-CG27,IF(A28&lt;'Données projet'!$A$114,$BV$205^A28,IF(A28='Données projet'!$A$114,'Données projet'!$B$114,BY27+BX28-CG27)))</f>
        <v>144.00000000000003</v>
      </c>
      <c r="BZ28" s="14">
        <f>BY28*VLOOKUP('Données projet'!$B$12,Paramètres!$A$1:$I$89,3,0)*VLOOKUP('Données projet'!$B$12,Paramètres!$A$1:$I$89,5,0)</f>
        <v>86.112000000000009</v>
      </c>
      <c r="CA28" s="14">
        <f t="shared" si="39"/>
        <v>23.625136642852297</v>
      </c>
      <c r="CB28" s="22">
        <f t="shared" si="10"/>
        <v>191.12551298630106</v>
      </c>
      <c r="CC28" s="62">
        <f t="shared" si="11"/>
        <v>484.4588463196344</v>
      </c>
      <c r="CD28" s="62">
        <f ca="1">AVERAGE(OFFSET($CC$3,0,0,'Données projet'!$E$12+1,1))-AVERAGE(OFFSET($H$3,0,0,'Données projet'!$E$12+1,1))</f>
        <v>287.69656598881124</v>
      </c>
      <c r="CE28" s="62">
        <f t="shared" si="40"/>
        <v>221.9773436301067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17</v>
      </c>
      <c r="CH28" s="17">
        <f>IF(ISNA(VLOOKUP(A28,'Données projet'!$A$113:$I$133,5,0)),0%,VLOOKUP(A28,'Données projet'!$A$113:$I$133,5,0)*VLOOKUP('Données projet'!$B$12,Paramètres!$A$1:$I$89,7,0))</f>
        <v>0.18000000000000002</v>
      </c>
      <c r="CI28" s="17">
        <f>IF(ISNA(VLOOKUP(A28,'Données projet'!$A$113:$I$133,6,0)),0%,VLOOKUP(A28,'Données projet'!$A$113:$I$133,6,0)*VLOOKUP('Données projet'!$B$12,Paramètres!$A$1:$I$89,7,0))</f>
        <v>0.1125</v>
      </c>
      <c r="CJ28" s="17">
        <f>IF(ISNA(VLOOKUP(A28,'Données projet'!$A$113:$I$133,7,0)),0%,VLOOKUP(A28,'Données projet'!$A$113:$I$133,7,0))</f>
        <v>0.35</v>
      </c>
      <c r="CK28" s="23">
        <f>EXP(-LN(2)/35)*CK27+(1-EXP(-LN(2)/35))/(LN(2)/35)*CG28*CH28*VLOOKUP('Données projet'!$B$12,Paramètres!$A$1:$I$89,3,0)*0.475*44/12</f>
        <v>3.5038928582969193</v>
      </c>
      <c r="CL28" s="23">
        <f>EXP(-LN(2)/25)*CL27+(1-EXP(-LN(2)/25))/(LN(2)/25)*Calculateur!CG28*Calculateur!CI28*VLOOKUP('Données projet'!$B$12,Paramètres!$A$1:$I$89,3,0)*0.475*44/12</f>
        <v>3.0817153240041231</v>
      </c>
      <c r="CM28" s="23">
        <f>EXP(-LN(2)/2)*CM27+(1-EXP(-LN(2)/2))/(LN(2)/2)*CG28*CJ28*VLOOKUP('Données projet'!$B$12,Paramètres!$A$1:$I$89,3,0)*0.475*44/12</f>
        <v>5.9436527898477767</v>
      </c>
      <c r="CN28" s="24">
        <f t="shared" si="12"/>
        <v>12.529260972148819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9.1999999999999993</v>
      </c>
      <c r="CT28" s="13">
        <f>IF('Données projet'!$A$140&gt;35,CT27+CS28-DB27,IF(A28&lt;'Données projet'!$A$140,$CQ$205^A28,IF(A28='Données projet'!$A$140,'Données projet'!$B$140,CT27+CS28-DB27)))</f>
        <v>203.99999999999994</v>
      </c>
      <c r="CU28" s="18">
        <f>CT28*VLOOKUP('Données projet'!$B$13,Paramètres!$A$1:$I$89,3,0)*VLOOKUP('Données projet'!$B$13,Paramètres!$A$1:$I$89,5,0)</f>
        <v>95.47199999999998</v>
      </c>
      <c r="CV28" s="14">
        <f t="shared" si="41"/>
        <v>25.880372123231144</v>
      </c>
      <c r="CW28" s="22">
        <f t="shared" si="13"/>
        <v>211.35538144796087</v>
      </c>
      <c r="CX28" s="62">
        <f t="shared" si="14"/>
        <v>504.68871478129415</v>
      </c>
      <c r="CY28" s="62">
        <f ca="1">AVERAGE(OFFSET($CX$3,0,0,'Données projet'!$E$13+1,1))-AVERAGE(OFFSET($H$3,0,0,'Données projet'!$E$13+1,1))</f>
        <v>310.95287409903602</v>
      </c>
      <c r="CZ28" s="62">
        <f t="shared" si="42"/>
        <v>224.10083380795163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</v>
      </c>
      <c r="N29" s="14">
        <f>IF('Données projet'!$A$36&gt;35,N28+M29-V28,IF(A29&lt;'Données projet'!$A$36,$K$205^A29,IF(A29='Données projet'!$A$36,'Données projet'!$B$36,N28+M29-V28)))</f>
        <v>132.00000000000003</v>
      </c>
      <c r="O29" s="14">
        <f>N29*VLOOKUP('Données projet'!$B$9,Paramètres!$A$1:$I$89,3,0)*VLOOKUP('Données projet'!$B$9,Paramètres!$A$1:$I$89,5,0)</f>
        <v>115.31520000000003</v>
      </c>
      <c r="P29" s="14">
        <f t="shared" si="33"/>
        <v>30.579827148797317</v>
      </c>
      <c r="Q29" s="22">
        <f t="shared" si="2"/>
        <v>254.10050561748869</v>
      </c>
      <c r="R29" s="62">
        <f t="shared" si="0"/>
        <v>547.43383895082206</v>
      </c>
      <c r="S29" s="62">
        <f ca="1">AVERAGE(OFFSET($R$3,0,0,'Données projet'!$E$9+1,1))-AVERAGE(OFFSET($H$3,0,0,'Données projet'!$E$9+1,1))</f>
        <v>253.73326067725128</v>
      </c>
      <c r="T29" s="62">
        <f t="shared" si="34"/>
        <v>317.76427047458026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30.458027821721931</v>
      </c>
      <c r="AC29" s="24">
        <f t="shared" si="3"/>
        <v>30.458027821721931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88.00584000000002</v>
      </c>
      <c r="AK29" s="14">
        <f t="shared" si="35"/>
        <v>24.083656242710727</v>
      </c>
      <c r="AL29" s="22">
        <f t="shared" si="4"/>
        <v>195.22253928938787</v>
      </c>
      <c r="AM29" s="62">
        <f t="shared" si="5"/>
        <v>488.55587262272115</v>
      </c>
      <c r="AN29" s="62">
        <f ca="1">AVERAGE(OFFSET($AM$3,0,0,'Données projet'!$E$10+1,1))-AVERAGE(OFFSET($H$3,0,0,'Données projet'!$E$10+1,1))</f>
        <v>406.17572122067492</v>
      </c>
      <c r="AO29" s="62">
        <f t="shared" si="36"/>
        <v>244.4332618279085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462.94678562222634</v>
      </c>
      <c r="BI29" s="62">
        <f ca="1">AVERAGE(OFFSET($BH$3,0,0,'Données projet'!$E$11+1,1))-AVERAGE(OFFSET($H$3,0,0,'Données projet'!$E$11+1,1))</f>
        <v>344.49457749226184</v>
      </c>
      <c r="BJ29" s="62">
        <f t="shared" si="38"/>
        <v>207.92972431357452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13.4</v>
      </c>
      <c r="BY29" s="13">
        <f>IF('Données projet'!$A$114&gt;35,BY28+BX29-CG28,IF(A29&lt;'Données projet'!$A$114,$BV$205^A29,IF(A29='Données projet'!$A$114,'Données projet'!$B$114,BY28+BX29-CG28)))</f>
        <v>140.40000000000003</v>
      </c>
      <c r="BZ29" s="14">
        <f>BY29*VLOOKUP('Données projet'!$B$12,Paramètres!$A$1:$I$89,3,0)*VLOOKUP('Données projet'!$B$12,Paramètres!$A$1:$I$89,5,0)</f>
        <v>83.959200000000024</v>
      </c>
      <c r="CA29" s="14">
        <f t="shared" si="39"/>
        <v>23.102490880810642</v>
      </c>
      <c r="CB29" s="22">
        <f t="shared" si="10"/>
        <v>186.46577828407854</v>
      </c>
      <c r="CC29" s="62">
        <f t="shared" si="11"/>
        <v>479.79911161741188</v>
      </c>
      <c r="CD29" s="62">
        <f ca="1">AVERAGE(OFFSET($CC$3,0,0,'Données projet'!$E$12+1,1))-AVERAGE(OFFSET($H$3,0,0,'Données projet'!$E$12+1,1))</f>
        <v>287.69656598881124</v>
      </c>
      <c r="CE29" s="62">
        <f t="shared" si="40"/>
        <v>221.9773436301067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3.435183656509333</v>
      </c>
      <c r="CL29" s="23">
        <f>EXP(-LN(2)/25)*CL28+(1-EXP(-LN(2)/25))/(LN(2)/25)*Calculateur!CG29*Calculateur!CI29*VLOOKUP('Données projet'!$B$12,Paramètres!$A$1:$I$89,3,0)*0.475*44/12</f>
        <v>2.997445656408865</v>
      </c>
      <c r="CM29" s="23">
        <f>EXP(-LN(2)/2)*CM28+(1-EXP(-LN(2)/2))/(LN(2)/2)*CG29*CJ29*VLOOKUP('Données projet'!$B$12,Paramètres!$A$1:$I$89,3,0)*0.475*44/12</f>
        <v>4.2027971927197045</v>
      </c>
      <c r="CN29" s="24">
        <f t="shared" si="12"/>
        <v>10.635426505637902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213.19999999999993</v>
      </c>
      <c r="CU29" s="18">
        <f>CT29*VLOOKUP('Données projet'!$B$13,Paramètres!$A$1:$I$89,3,0)*VLOOKUP('Données projet'!$B$13,Paramètres!$A$1:$I$89,5,0)</f>
        <v>99.777599999999964</v>
      </c>
      <c r="CV29" s="14">
        <f t="shared" si="41"/>
        <v>26.909006951444532</v>
      </c>
      <c r="CW29" s="22">
        <f t="shared" si="13"/>
        <v>220.64584044043249</v>
      </c>
      <c r="CX29" s="62">
        <f t="shared" si="14"/>
        <v>513.97917377376575</v>
      </c>
      <c r="CY29" s="62">
        <f ca="1">AVERAGE(OFFSET($CX$3,0,0,'Données projet'!$E$13+1,1))-AVERAGE(OFFSET($H$3,0,0,'Données projet'!$E$13+1,1))</f>
        <v>310.95287409903602</v>
      </c>
      <c r="CZ29" s="62">
        <f t="shared" si="42"/>
        <v>224.10083380795163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</v>
      </c>
      <c r="N30" s="14">
        <f>IF('Données projet'!$A$36&gt;35,N29+M30-V29,IF(A30&lt;'Données projet'!$A$36,$K$205^A30,IF(A30='Données projet'!$A$36,'Données projet'!$B$36,N29+M30-V29)))</f>
        <v>145.00000000000003</v>
      </c>
      <c r="O30" s="14">
        <f>N30*VLOOKUP('Données projet'!$B$9,Paramètres!$A$1:$I$89,3,0)*VLOOKUP('Données projet'!$B$9,Paramètres!$A$1:$I$89,5,0)</f>
        <v>126.67200000000003</v>
      </c>
      <c r="P30" s="14">
        <f t="shared" si="33"/>
        <v>33.226199426361347</v>
      </c>
      <c r="Q30" s="22">
        <f t="shared" si="2"/>
        <v>278.48936400091276</v>
      </c>
      <c r="R30" s="62">
        <f t="shared" si="0"/>
        <v>571.82269733424607</v>
      </c>
      <c r="S30" s="62">
        <f ca="1">AVERAGE(OFFSET($R$3,0,0,'Données projet'!$E$9+1,1))-AVERAGE(OFFSET($H$3,0,0,'Données projet'!$E$9+1,1))</f>
        <v>253.73326067725128</v>
      </c>
      <c r="T30" s="62">
        <f t="shared" si="34"/>
        <v>317.76427047458026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21.537078014308108</v>
      </c>
      <c r="AC30" s="24">
        <f t="shared" si="3"/>
        <v>21.537078014308108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97.621680000000026</v>
      </c>
      <c r="AK30" s="14">
        <f t="shared" si="35"/>
        <v>26.394604294280626</v>
      </c>
      <c r="AL30" s="22">
        <f t="shared" si="4"/>
        <v>215.99502847920544</v>
      </c>
      <c r="AM30" s="62">
        <f t="shared" si="5"/>
        <v>509.32836181253879</v>
      </c>
      <c r="AN30" s="62">
        <f ca="1">AVERAGE(OFFSET($AM$3,0,0,'Données projet'!$E$10+1,1))-AVERAGE(OFFSET($H$3,0,0,'Données projet'!$E$10+1,1))</f>
        <v>406.17572122067492</v>
      </c>
      <c r="AO30" s="62">
        <f t="shared" si="36"/>
        <v>244.4332618279085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480.9879370704989</v>
      </c>
      <c r="BI30" s="62">
        <f ca="1">AVERAGE(OFFSET($BH$3,0,0,'Données projet'!$E$11+1,1))-AVERAGE(OFFSET($H$3,0,0,'Données projet'!$E$11+1,1))</f>
        <v>344.49457749226184</v>
      </c>
      <c r="BJ30" s="62">
        <f t="shared" si="38"/>
        <v>207.92972431357452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13.4</v>
      </c>
      <c r="BY30" s="13">
        <f>IF('Données projet'!$A$114&gt;35,BY29+BX30-CG29,IF(A30&lt;'Données projet'!$A$114,$BV$205^A30,IF(A30='Données projet'!$A$114,'Données projet'!$B$114,BY29+BX30-CG29)))</f>
        <v>153.80000000000004</v>
      </c>
      <c r="BZ30" s="14">
        <f>BY30*VLOOKUP('Données projet'!$B$12,Paramètres!$A$1:$I$89,3,0)*VLOOKUP('Données projet'!$B$12,Paramètres!$A$1:$I$89,5,0)</f>
        <v>91.972400000000022</v>
      </c>
      <c r="CA30" s="14">
        <f t="shared" si="39"/>
        <v>25.040318527820091</v>
      </c>
      <c r="CB30" s="22">
        <f t="shared" si="10"/>
        <v>203.79715143595334</v>
      </c>
      <c r="CC30" s="62">
        <f t="shared" si="11"/>
        <v>497.13048476928668</v>
      </c>
      <c r="CD30" s="62">
        <f ca="1">AVERAGE(OFFSET($CC$3,0,0,'Données projet'!$E$12+1,1))-AVERAGE(OFFSET($H$3,0,0,'Données projet'!$E$12+1,1))</f>
        <v>287.69656598881124</v>
      </c>
      <c r="CE30" s="62">
        <f t="shared" si="40"/>
        <v>221.9773436301067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3.3678218002603262</v>
      </c>
      <c r="CL30" s="23">
        <f>EXP(-LN(2)/25)*CL29+(1-EXP(-LN(2)/25))/(LN(2)/25)*Calculateur!CG30*Calculateur!CI30*VLOOKUP('Données projet'!$B$12,Paramètres!$A$1:$I$89,3,0)*0.475*44/12</f>
        <v>2.9154803473055484</v>
      </c>
      <c r="CM30" s="23">
        <f>EXP(-LN(2)/2)*CM29+(1-EXP(-LN(2)/2))/(LN(2)/2)*CG30*CJ30*VLOOKUP('Données projet'!$B$12,Paramètres!$A$1:$I$89,3,0)*0.475*44/12</f>
        <v>2.9718263949238883</v>
      </c>
      <c r="CN30" s="24">
        <f t="shared" si="12"/>
        <v>9.2551285424897642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222.39999999999992</v>
      </c>
      <c r="CU30" s="18">
        <f>CT30*VLOOKUP('Données projet'!$B$13,Paramètres!$A$1:$I$89,3,0)*VLOOKUP('Données projet'!$B$13,Paramètres!$A$1:$I$89,5,0)</f>
        <v>104.08319999999996</v>
      </c>
      <c r="CV30" s="14">
        <f t="shared" si="41"/>
        <v>27.932486325387405</v>
      </c>
      <c r="CW30" s="22">
        <f t="shared" si="13"/>
        <v>229.92732035004965</v>
      </c>
      <c r="CX30" s="62">
        <f t="shared" si="14"/>
        <v>523.260653683383</v>
      </c>
      <c r="CY30" s="62">
        <f ca="1">AVERAGE(OFFSET($CX$3,0,0,'Données projet'!$E$13+1,1))-AVERAGE(OFFSET($H$3,0,0,'Données projet'!$E$13+1,1))</f>
        <v>310.95287409903602</v>
      </c>
      <c r="CZ30" s="62">
        <f t="shared" si="42"/>
        <v>224.10083380795163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</v>
      </c>
      <c r="N31" s="14">
        <f>IF('Données projet'!$A$36&gt;35,N30+M31-V30,IF(A31&lt;'Données projet'!$A$36,$K$205^A31,IF(A31='Données projet'!$A$36,'Données projet'!$B$36,N30+M31-V30)))</f>
        <v>158.00000000000003</v>
      </c>
      <c r="O31" s="14">
        <f>N31*VLOOKUP('Données projet'!$B$9,Paramètres!$A$1:$I$89,3,0)*VLOOKUP('Données projet'!$B$9,Paramètres!$A$1:$I$89,5,0)</f>
        <v>138.02880000000005</v>
      </c>
      <c r="P31" s="14">
        <f t="shared" si="33"/>
        <v>35.845059256813073</v>
      </c>
      <c r="Q31" s="22">
        <f t="shared" si="2"/>
        <v>302.83030487228285</v>
      </c>
      <c r="R31" s="62">
        <f t="shared" si="0"/>
        <v>596.16363820561617</v>
      </c>
      <c r="S31" s="62">
        <f ca="1">AVERAGE(OFFSET($R$3,0,0,'Données projet'!$E$9+1,1))-AVERAGE(OFFSET($H$3,0,0,'Données projet'!$E$9+1,1))</f>
        <v>253.73326067725128</v>
      </c>
      <c r="T31" s="62">
        <f t="shared" si="34"/>
        <v>317.76427047458026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15.229013910860967</v>
      </c>
      <c r="AC31" s="24">
        <f t="shared" si="3"/>
        <v>15.229013910860967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107.23752000000003</v>
      </c>
      <c r="AK31" s="14">
        <f t="shared" si="35"/>
        <v>28.679162425911361</v>
      </c>
      <c r="AL31" s="22">
        <f t="shared" si="4"/>
        <v>236.72155522512904</v>
      </c>
      <c r="AM31" s="62">
        <f t="shared" si="5"/>
        <v>530.05488855846238</v>
      </c>
      <c r="AN31" s="62">
        <f ca="1">AVERAGE(OFFSET($AM$3,0,0,'Données projet'!$E$10+1,1))-AVERAGE(OFFSET($H$3,0,0,'Données projet'!$E$10+1,1))</f>
        <v>406.17572122067492</v>
      </c>
      <c r="AO31" s="62">
        <f t="shared" si="36"/>
        <v>244.4332618279085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498.9886264212779</v>
      </c>
      <c r="BI31" s="62">
        <f ca="1">AVERAGE(OFFSET($BH$3,0,0,'Données projet'!$E$11+1,1))-AVERAGE(OFFSET($H$3,0,0,'Données projet'!$E$11+1,1))</f>
        <v>344.49457749226184</v>
      </c>
      <c r="BJ31" s="62">
        <f t="shared" si="38"/>
        <v>207.92972431357452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13.4</v>
      </c>
      <c r="BY31" s="13">
        <f>IF('Données projet'!$A$114&gt;35,BY30+BX31-CG30,IF(A31&lt;'Données projet'!$A$114,$BV$205^A31,IF(A31='Données projet'!$A$114,'Données projet'!$B$114,BY30+BX31-CG30)))</f>
        <v>167.20000000000005</v>
      </c>
      <c r="BZ31" s="14">
        <f>BY31*VLOOKUP('Données projet'!$B$12,Paramètres!$A$1:$I$89,3,0)*VLOOKUP('Données projet'!$B$12,Paramètres!$A$1:$I$89,5,0)</f>
        <v>99.985600000000034</v>
      </c>
      <c r="CA31" s="14">
        <f t="shared" si="39"/>
        <v>26.958566918169435</v>
      </c>
      <c r="CB31" s="22">
        <f t="shared" si="10"/>
        <v>221.09442404914515</v>
      </c>
      <c r="CC31" s="62">
        <f t="shared" si="11"/>
        <v>514.42775738247849</v>
      </c>
      <c r="CD31" s="62">
        <f ca="1">AVERAGE(OFFSET($CC$3,0,0,'Données projet'!$E$12+1,1))-AVERAGE(OFFSET($H$3,0,0,'Données projet'!$E$12+1,1))</f>
        <v>287.69656598881124</v>
      </c>
      <c r="CE31" s="62">
        <f t="shared" si="40"/>
        <v>221.9773436301067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3.3017808689256869</v>
      </c>
      <c r="CL31" s="23">
        <f>EXP(-LN(2)/25)*CL30+(1-EXP(-LN(2)/25))/(LN(2)/25)*Calculateur!CG31*Calculateur!CI31*VLOOKUP('Données projet'!$B$12,Paramètres!$A$1:$I$89,3,0)*0.475*44/12</f>
        <v>2.8357563838900299</v>
      </c>
      <c r="CM31" s="23">
        <f>EXP(-LN(2)/2)*CM30+(1-EXP(-LN(2)/2))/(LN(2)/2)*CG31*CJ31*VLOOKUP('Données projet'!$B$12,Paramètres!$A$1:$I$89,3,0)*0.475*44/12</f>
        <v>2.1013985963598523</v>
      </c>
      <c r="CN31" s="24">
        <f t="shared" si="12"/>
        <v>8.2389358491755686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231.59999999999991</v>
      </c>
      <c r="CU31" s="18">
        <f>CT31*VLOOKUP('Données projet'!$B$13,Paramètres!$A$1:$I$89,3,0)*VLOOKUP('Données projet'!$B$13,Paramètres!$A$1:$I$89,5,0)</f>
        <v>108.38879999999996</v>
      </c>
      <c r="CV31" s="14">
        <f t="shared" si="41"/>
        <v>28.95104790024919</v>
      </c>
      <c r="CW31" s="22">
        <f t="shared" si="13"/>
        <v>239.20023509293392</v>
      </c>
      <c r="CX31" s="62">
        <f t="shared" si="14"/>
        <v>532.53356842626727</v>
      </c>
      <c r="CY31" s="62">
        <f ca="1">AVERAGE(OFFSET($CX$3,0,0,'Données projet'!$E$13+1,1))-AVERAGE(OFFSET($H$3,0,0,'Données projet'!$E$13+1,1))</f>
        <v>310.95287409903602</v>
      </c>
      <c r="CZ31" s="62">
        <f t="shared" si="42"/>
        <v>224.10083380795163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</v>
      </c>
      <c r="N32" s="14">
        <f>IF('Données projet'!$A$36&gt;35,N31+M32-V31,IF(A32&lt;'Données projet'!$A$36,$K$205^A32,IF(A32='Données projet'!$A$36,'Données projet'!$B$36,N31+M32-V31)))</f>
        <v>171.00000000000003</v>
      </c>
      <c r="O32" s="14">
        <f>N32*VLOOKUP('Données projet'!$B$9,Paramètres!$A$1:$I$89,3,0)*VLOOKUP('Données projet'!$B$9,Paramètres!$A$1:$I$89,5,0)</f>
        <v>149.38560000000004</v>
      </c>
      <c r="P32" s="14">
        <f t="shared" si="33"/>
        <v>38.438927680599591</v>
      </c>
      <c r="Q32" s="22">
        <f t="shared" si="2"/>
        <v>327.12771904371101</v>
      </c>
      <c r="R32" s="62">
        <f t="shared" si="0"/>
        <v>620.46105237704433</v>
      </c>
      <c r="S32" s="62">
        <f ca="1">AVERAGE(OFFSET($R$3,0,0,'Données projet'!$E$9+1,1))-AVERAGE(OFFSET($H$3,0,0,'Données projet'!$E$9+1,1))</f>
        <v>253.73326067725128</v>
      </c>
      <c r="T32" s="62">
        <f t="shared" si="34"/>
        <v>317.76427047458026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10.768539007154056</v>
      </c>
      <c r="AC32" s="24">
        <f t="shared" si="3"/>
        <v>10.768539007154056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116.85336000000004</v>
      </c>
      <c r="AK32" s="14">
        <f t="shared" si="35"/>
        <v>30.939966081410812</v>
      </c>
      <c r="AL32" s="22">
        <f t="shared" si="4"/>
        <v>257.40670959179056</v>
      </c>
      <c r="AM32" s="62">
        <f t="shared" si="5"/>
        <v>550.74004292512382</v>
      </c>
      <c r="AN32" s="62">
        <f ca="1">AVERAGE(OFFSET($AM$3,0,0,'Données projet'!$E$10+1,1))-AVERAGE(OFFSET($H$3,0,0,'Données projet'!$E$10+1,1))</f>
        <v>406.17572122067492</v>
      </c>
      <c r="AO32" s="62">
        <f t="shared" si="36"/>
        <v>244.4332618279085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516.95289444408968</v>
      </c>
      <c r="BI32" s="62">
        <f ca="1">AVERAGE(OFFSET($BH$3,0,0,'Données projet'!$E$11+1,1))-AVERAGE(OFFSET($H$3,0,0,'Données projet'!$E$11+1,1))</f>
        <v>344.49457749226184</v>
      </c>
      <c r="BJ32" s="62">
        <f t="shared" si="38"/>
        <v>207.92972431357452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13.4</v>
      </c>
      <c r="BY32" s="13">
        <f>IF('Données projet'!$A$114&gt;35,BY31+BX32-CG31,IF(A32&lt;'Données projet'!$A$114,$BV$205^A32,IF(A32='Données projet'!$A$114,'Données projet'!$B$114,BY31+BX32-CG31)))</f>
        <v>180.60000000000005</v>
      </c>
      <c r="BZ32" s="14">
        <f>BY32*VLOOKUP('Données projet'!$B$12,Paramètres!$A$1:$I$89,3,0)*VLOOKUP('Données projet'!$B$12,Paramètres!$A$1:$I$89,5,0)</f>
        <v>107.99880000000003</v>
      </c>
      <c r="CA32" s="14">
        <f t="shared" si="39"/>
        <v>28.85898360070161</v>
      </c>
      <c r="CB32" s="22">
        <f t="shared" si="10"/>
        <v>238.36063977122203</v>
      </c>
      <c r="CC32" s="62">
        <f t="shared" si="11"/>
        <v>531.69397310455531</v>
      </c>
      <c r="CD32" s="62">
        <f ca="1">AVERAGE(OFFSET($CC$3,0,0,'Données projet'!$E$12+1,1))-AVERAGE(OFFSET($H$3,0,0,'Données projet'!$E$12+1,1))</f>
        <v>287.69656598881124</v>
      </c>
      <c r="CE32" s="62">
        <f t="shared" si="40"/>
        <v>221.9773436301067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3.2370349599735295</v>
      </c>
      <c r="CL32" s="23">
        <f>EXP(-LN(2)/25)*CL31+(1-EXP(-LN(2)/25))/(LN(2)/25)*Calculateur!CG32*Calculateur!CI32*VLOOKUP('Données projet'!$B$12,Paramètres!$A$1:$I$89,3,0)*0.475*44/12</f>
        <v>2.7582124764466101</v>
      </c>
      <c r="CM32" s="23">
        <f>EXP(-LN(2)/2)*CM31+(1-EXP(-LN(2)/2))/(LN(2)/2)*CG32*CJ32*VLOOKUP('Données projet'!$B$12,Paramètres!$A$1:$I$89,3,0)*0.475*44/12</f>
        <v>1.4859131974619442</v>
      </c>
      <c r="CN32" s="24">
        <f t="shared" si="12"/>
        <v>7.4811606338820837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240.7999999999999</v>
      </c>
      <c r="CU32" s="18">
        <f>CT32*VLOOKUP('Données projet'!$B$13,Paramètres!$A$1:$I$89,3,0)*VLOOKUP('Données projet'!$B$13,Paramètres!$A$1:$I$89,5,0)</f>
        <v>112.69439999999994</v>
      </c>
      <c r="CV32" s="14">
        <f t="shared" si="41"/>
        <v>29.964909381330607</v>
      </c>
      <c r="CW32" s="22">
        <f t="shared" si="13"/>
        <v>248.46496383915073</v>
      </c>
      <c r="CX32" s="62">
        <f t="shared" si="14"/>
        <v>541.79829717248401</v>
      </c>
      <c r="CY32" s="62">
        <f ca="1">AVERAGE(OFFSET($CX$3,0,0,'Données projet'!$E$13+1,1))-AVERAGE(OFFSET($H$3,0,0,'Données projet'!$E$13+1,1))</f>
        <v>310.95287409903602</v>
      </c>
      <c r="CZ32" s="62">
        <f t="shared" si="42"/>
        <v>224.10083380795163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184</v>
      </c>
      <c r="L33" s="13">
        <f>VLOOKUP(A33,'Données projet'!$A$35:$I$55,9,0)</f>
        <v>13</v>
      </c>
      <c r="M33" s="13">
        <f t="array" ref="M33">INDEX(L:L,MIN(IF(ISNUMBER(L33:L229),ROW(L33:L229),"")))</f>
        <v>13</v>
      </c>
      <c r="N33" s="14">
        <f>IF('Données projet'!$A$36&gt;35,N32+M33-V32,IF(A33&lt;'Données projet'!$A$36,$K$205^A33,IF(A33='Données projet'!$A$36,'Données projet'!$B$36,N32+M33-V32)))</f>
        <v>184.00000000000003</v>
      </c>
      <c r="O33" s="14">
        <f>N33*VLOOKUP('Données projet'!$B$9,Paramètres!$A$1:$I$89,3,0)*VLOOKUP('Données projet'!$B$9,Paramètres!$A$1:$I$89,5,0)</f>
        <v>160.74240000000003</v>
      </c>
      <c r="P33" s="14">
        <f t="shared" si="33"/>
        <v>41.009920657227809</v>
      </c>
      <c r="Q33" s="22">
        <f t="shared" si="2"/>
        <v>351.38529181133845</v>
      </c>
      <c r="R33" s="62">
        <f t="shared" si="0"/>
        <v>644.71862514467171</v>
      </c>
      <c r="S33" s="62">
        <f ca="1">AVERAGE(OFFSET($R$3,0,0,'Données projet'!$E$9+1,1))-AVERAGE(OFFSET($H$3,0,0,'Données projet'!$E$9+1,1))</f>
        <v>253.73326067725128</v>
      </c>
      <c r="T33" s="62">
        <f t="shared" si="34"/>
        <v>317.76427047458026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44</v>
      </c>
      <c r="W33" s="17">
        <f>IF(ISNA(VLOOKUP(A33,'Données projet'!$A$35:$I$55,5,0)),0%,VLOOKUP(A33,'Données projet'!$A$35:$I$55,5,0)*VLOOKUP('Données projet'!$B$9,Paramètres!$A$1:$I$89,7,0))</f>
        <v>0.1075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0.75</v>
      </c>
      <c r="Z33" s="23">
        <f>EXP(-LN(2)/35)*Z32+(1-EXP(-LN(2)/35))/(LN(2)/35)*V33*W33*VLOOKUP('Données projet'!$B$9,Paramètres!$A$1:$I$89,3,0)*0.475*44/12</f>
        <v>4.5679451084387317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34.815255671206302</v>
      </c>
      <c r="AC33" s="24">
        <f t="shared" si="3"/>
        <v>39.383200779645037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126.46920000000004</v>
      </c>
      <c r="AK33" s="14">
        <f t="shared" si="35"/>
        <v>33.17919224765545</v>
      </c>
      <c r="AL33" s="22">
        <f t="shared" si="4"/>
        <v>278.05428316466663</v>
      </c>
      <c r="AM33" s="62">
        <f t="shared" si="5"/>
        <v>571.38761649799994</v>
      </c>
      <c r="AN33" s="62">
        <f ca="1">AVERAGE(OFFSET($AM$3,0,0,'Données projet'!$E$10+1,1))-AVERAGE(OFFSET($H$3,0,0,'Données projet'!$E$10+1,1))</f>
        <v>406.17572122067492</v>
      </c>
      <c r="AO33" s="62">
        <f t="shared" si="36"/>
        <v>244.4332618279085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534.88407898366597</v>
      </c>
      <c r="BI33" s="62">
        <f ca="1">AVERAGE(OFFSET($BH$3,0,0,'Données projet'!$E$11+1,1))-AVERAGE(OFFSET($H$3,0,0,'Données projet'!$E$11+1,1))</f>
        <v>344.49457749226184</v>
      </c>
      <c r="BJ33" s="62">
        <f t="shared" si="38"/>
        <v>207.92972431357452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194</v>
      </c>
      <c r="BW33" s="13">
        <f>VLOOKUP(A33,'Données projet'!$A$113:$I$133,9,0)</f>
        <v>13.4</v>
      </c>
      <c r="BX33" s="13">
        <f t="array" ref="BX33">INDEX(BW:BW,MIN(IF(ISNUMBER(BW33:BW229),ROW(BW33:BW229),"")))</f>
        <v>13.4</v>
      </c>
      <c r="BY33" s="13">
        <f>IF('Données projet'!$A$114&gt;35,BY32+BX33-CG32,IF(A33&lt;'Données projet'!$A$114,$BV$205^A33,IF(A33='Données projet'!$A$114,'Données projet'!$B$114,BY32+BX33-CG32)))</f>
        <v>194.00000000000006</v>
      </c>
      <c r="BZ33" s="14">
        <f>BY33*VLOOKUP('Données projet'!$B$12,Paramètres!$A$1:$I$89,3,0)*VLOOKUP('Données projet'!$B$12,Paramètres!$A$1:$I$89,5,0)</f>
        <v>116.01200000000003</v>
      </c>
      <c r="CA33" s="14">
        <f t="shared" si="39"/>
        <v>30.743042086238173</v>
      </c>
      <c r="CB33" s="22">
        <f t="shared" si="10"/>
        <v>255.59836496686489</v>
      </c>
      <c r="CC33" s="62">
        <f t="shared" si="11"/>
        <v>548.93169830019815</v>
      </c>
      <c r="CD33" s="62">
        <f ca="1">AVERAGE(OFFSET($CC$3,0,0,'Données projet'!$E$12+1,1))-AVERAGE(OFFSET($H$3,0,0,'Données projet'!$E$12+1,1))</f>
        <v>287.69656598881124</v>
      </c>
      <c r="CE33" s="62">
        <f t="shared" si="40"/>
        <v>221.9773436301067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34</v>
      </c>
      <c r="CH33" s="17">
        <f>IF(ISNA(VLOOKUP(A33,'Données projet'!$A$113:$I$133,5,0)),0%,VLOOKUP(A33,'Données projet'!$A$113:$I$133,5,0)*VLOOKUP('Données projet'!$B$12,Paramètres!$A$1:$I$89,7,0))</f>
        <v>0.18000000000000002</v>
      </c>
      <c r="CI33" s="17">
        <f>IF(ISNA(VLOOKUP(A33,'Données projet'!$A$113:$I$133,6,0)),0%,VLOOKUP(A33,'Données projet'!$A$113:$I$133,6,0)*VLOOKUP('Données projet'!$B$12,Paramètres!$A$1:$I$89,7,0))</f>
        <v>0.1575</v>
      </c>
      <c r="CJ33" s="17">
        <f>IF(ISNA(VLOOKUP(A33,'Données projet'!$A$113:$I$133,7,0)),0%,VLOOKUP(A33,'Données projet'!$A$113:$I$133,7,0))</f>
        <v>0.25</v>
      </c>
      <c r="CK33" s="23">
        <f>EXP(-LN(2)/35)*CK32+(1-EXP(-LN(2)/35))/(LN(2)/35)*CG33*CH33*VLOOKUP('Données projet'!$B$12,Paramètres!$A$1:$I$89,3,0)*0.475*44/12</f>
        <v>8.0284662102442308</v>
      </c>
      <c r="CL33" s="23">
        <f>EXP(-LN(2)/25)*CL32+(1-EXP(-LN(2)/25))/(LN(2)/25)*Calculateur!CG33*Calculateur!CI33*VLOOKUP('Données projet'!$B$12,Paramètres!$A$1:$I$89,3,0)*0.475*44/12</f>
        <v>6.9141069330255096</v>
      </c>
      <c r="CM33" s="23">
        <f>EXP(-LN(2)/2)*CM32+(1-EXP(-LN(2)/2))/(LN(2)/2)*CG33*CJ33*VLOOKUP('Données projet'!$B$12,Paramètres!$A$1:$I$89,3,0)*0.475*44/12</f>
        <v>6.8058360665069522</v>
      </c>
      <c r="CN33" s="24">
        <f t="shared" si="12"/>
        <v>21.748409209776693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250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249.99999999999989</v>
      </c>
      <c r="CU33" s="18">
        <f>CT33*VLOOKUP('Données projet'!$B$13,Paramètres!$A$1:$I$89,3,0)*VLOOKUP('Données projet'!$B$13,Paramètres!$A$1:$I$89,5,0)</f>
        <v>116.99999999999994</v>
      </c>
      <c r="CV33" s="14">
        <f t="shared" si="41"/>
        <v>30.974270896484118</v>
      </c>
      <c r="CW33" s="22">
        <f t="shared" si="13"/>
        <v>257.72185514470976</v>
      </c>
      <c r="CX33" s="62">
        <f t="shared" si="14"/>
        <v>551.05518847804308</v>
      </c>
      <c r="CY33" s="62">
        <f ca="1">AVERAGE(OFFSET($CX$3,0,0,'Données projet'!$E$13+1,1))-AVERAGE(OFFSET($H$3,0,0,'Données projet'!$E$13+1,1))</f>
        <v>310.95287409903602</v>
      </c>
      <c r="CZ33" s="62">
        <f t="shared" si="42"/>
        <v>224.10083380795163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12.2</v>
      </c>
      <c r="N34" s="14">
        <f>IF('Données projet'!$A$36&gt;35,N33+M34-V33,IF(A34&lt;'Données projet'!$A$36,$K$205^A34,IF(A34='Données projet'!$A$36,'Données projet'!$B$36,N33+M34-V33)))</f>
        <v>152.20000000000002</v>
      </c>
      <c r="O34" s="14">
        <f>N34*VLOOKUP('Données projet'!$B$9,Paramètres!$A$1:$I$89,3,0)*VLOOKUP('Données projet'!$B$9,Paramètres!$A$1:$I$89,5,0)</f>
        <v>132.96192000000002</v>
      </c>
      <c r="P34" s="14">
        <f t="shared" si="33"/>
        <v>34.679872132599144</v>
      </c>
      <c r="Q34" s="22">
        <f t="shared" si="2"/>
        <v>291.97612129761018</v>
      </c>
      <c r="R34" s="62">
        <f t="shared" si="0"/>
        <v>585.30945463094349</v>
      </c>
      <c r="S34" s="62">
        <f ca="1">AVERAGE(OFFSET($R$3,0,0,'Données projet'!$E$9+1,1))-AVERAGE(OFFSET($H$3,0,0,'Données projet'!$E$9+1,1))</f>
        <v>253.73326067725128</v>
      </c>
      <c r="T34" s="62">
        <f t="shared" si="34"/>
        <v>317.76427047458026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4.4783704910336528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24.618103373853383</v>
      </c>
      <c r="AC34" s="24">
        <f t="shared" si="3"/>
        <v>29.096473864887038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108.49176000000006</v>
      </c>
      <c r="AK34" s="14">
        <f t="shared" si="35"/>
        <v>28.9753464368541</v>
      </c>
      <c r="AL34" s="22">
        <f t="shared" si="4"/>
        <v>239.4218770441876</v>
      </c>
      <c r="AM34" s="62">
        <f t="shared" si="5"/>
        <v>532.75521037752094</v>
      </c>
      <c r="AN34" s="62">
        <f ca="1">AVERAGE(OFFSET($AM$3,0,0,'Données projet'!$E$10+1,1))-AVERAGE(OFFSET($H$3,0,0,'Données projet'!$E$10+1,1))</f>
        <v>406.17572122067492</v>
      </c>
      <c r="AO34" s="62">
        <f t="shared" si="36"/>
        <v>244.4332618279085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501.33377978104068</v>
      </c>
      <c r="BI34" s="62">
        <f ca="1">AVERAGE(OFFSET($BH$3,0,0,'Données projet'!$E$11+1,1))-AVERAGE(OFFSET($H$3,0,0,'Données projet'!$E$11+1,1))</f>
        <v>344.49457749226184</v>
      </c>
      <c r="BJ34" s="62">
        <f t="shared" si="38"/>
        <v>207.92972431357452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14.6</v>
      </c>
      <c r="BY34" s="13">
        <f>IF('Données projet'!$A$114&gt;35,BY33+BX34-CG33,IF(A34&lt;'Données projet'!$A$114,$BV$205^A34,IF(A34='Données projet'!$A$114,'Données projet'!$B$114,BY33+BX34-CG33)))</f>
        <v>174.60000000000005</v>
      </c>
      <c r="BZ34" s="14">
        <f>BY34*VLOOKUP('Données projet'!$B$12,Paramètres!$A$1:$I$89,3,0)*VLOOKUP('Données projet'!$B$12,Paramètres!$A$1:$I$89,5,0)</f>
        <v>104.41080000000004</v>
      </c>
      <c r="CA34" s="14">
        <f t="shared" si="39"/>
        <v>28.010155571424168</v>
      </c>
      <c r="CB34" s="22">
        <f t="shared" si="10"/>
        <v>230.63316428689714</v>
      </c>
      <c r="CC34" s="62">
        <f t="shared" si="11"/>
        <v>523.96649762023048</v>
      </c>
      <c r="CD34" s="62">
        <f ca="1">AVERAGE(OFFSET($CC$3,0,0,'Données projet'!$E$12+1,1))-AVERAGE(OFFSET($H$3,0,0,'Données projet'!$E$12+1,1))</f>
        <v>287.69656598881124</v>
      </c>
      <c r="CE34" s="62">
        <f t="shared" si="40"/>
        <v>221.9773436301067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7.8710328847422026</v>
      </c>
      <c r="CL34" s="23">
        <f>EXP(-LN(2)/25)*CL33+(1-EXP(-LN(2)/25))/(LN(2)/25)*Calculateur!CG34*Calculateur!CI34*VLOOKUP('Données projet'!$B$12,Paramètres!$A$1:$I$89,3,0)*0.475*44/12</f>
        <v>6.7250403153448461</v>
      </c>
      <c r="CM34" s="23">
        <f>EXP(-LN(2)/2)*CM33+(1-EXP(-LN(2)/2))/(LN(2)/2)*CG34*CJ34*VLOOKUP('Données projet'!$B$12,Paramètres!$A$1:$I$89,3,0)*0.475*44/12</f>
        <v>4.8124528342710446</v>
      </c>
      <c r="CN34" s="24">
        <f t="shared" si="12"/>
        <v>19.408526034358093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</v>
      </c>
      <c r="CT34" s="13">
        <f>IF('Données projet'!$A$140&gt;35,CT33+CS34-DB33,IF(A34&lt;'Données projet'!$A$140,$CQ$205^A34,IF(A34='Données projet'!$A$140,'Données projet'!$B$140,CT33+CS34-DB33)))</f>
        <v>259.99999999999989</v>
      </c>
      <c r="CU34" s="18">
        <f>CT34*VLOOKUP('Données projet'!$B$13,Paramètres!$A$1:$I$89,3,0)*VLOOKUP('Données projet'!$B$13,Paramètres!$A$1:$I$89,5,0)</f>
        <v>121.67999999999994</v>
      </c>
      <c r="CV34" s="14">
        <f t="shared" si="41"/>
        <v>32.066514091456256</v>
      </c>
      <c r="CW34" s="22">
        <f t="shared" si="13"/>
        <v>267.77517870928619</v>
      </c>
      <c r="CX34" s="62">
        <f t="shared" si="14"/>
        <v>561.10851204261951</v>
      </c>
      <c r="CY34" s="62">
        <f ca="1">AVERAGE(OFFSET($CX$3,0,0,'Données projet'!$E$13+1,1))-AVERAGE(OFFSET($H$3,0,0,'Données projet'!$E$13+1,1))</f>
        <v>310.95287409903602</v>
      </c>
      <c r="CZ34" s="62">
        <f t="shared" si="42"/>
        <v>224.10083380795163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12.2</v>
      </c>
      <c r="N35" s="14">
        <f>IF('Données projet'!$A$36&gt;35,N34+M35-V34,IF(A35&lt;'Données projet'!$A$36,$K$205^A35,IF(A35='Données projet'!$A$36,'Données projet'!$B$36,N34+M35-V34)))</f>
        <v>164.4</v>
      </c>
      <c r="O35" s="14">
        <f>N35*VLOOKUP('Données projet'!$B$9,Paramètres!$A$1:$I$89,3,0)*VLOOKUP('Données projet'!$B$9,Paramètres!$A$1:$I$89,5,0)</f>
        <v>143.61984000000001</v>
      </c>
      <c r="P35" s="14">
        <f t="shared" si="33"/>
        <v>37.125023974706046</v>
      </c>
      <c r="Q35" s="22">
        <f t="shared" ref="Q35:Q66" si="53">(O35+P35)*0.475*44/12</f>
        <v>314.79730475594641</v>
      </c>
      <c r="R35" s="62">
        <f t="shared" si="0"/>
        <v>608.13063808927973</v>
      </c>
      <c r="S35" s="62">
        <f ca="1">AVERAGE(OFFSET($R$3,0,0,'Données projet'!$E$9+1,1))-AVERAGE(OFFSET($H$3,0,0,'Données projet'!$E$9+1,1))</f>
        <v>253.73326067725128</v>
      </c>
      <c r="T35" s="62">
        <f t="shared" si="34"/>
        <v>317.76427047458026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4.3905523772407653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17.407627835603154</v>
      </c>
      <c r="AC35" s="24">
        <f t="shared" si="3"/>
        <v>21.798180212843921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119.77992000000005</v>
      </c>
      <c r="AK35" s="14">
        <f t="shared" si="35"/>
        <v>31.623663765596515</v>
      </c>
      <c r="AL35" s="22">
        <f t="shared" si="4"/>
        <v>263.69457505841399</v>
      </c>
      <c r="AM35" s="62">
        <f t="shared" si="5"/>
        <v>557.02790839174736</v>
      </c>
      <c r="AN35" s="62">
        <f ca="1">AVERAGE(OFFSET($AM$3,0,0,'Données projet'!$E$10+1,1))-AVERAGE(OFFSET($H$3,0,0,'Données projet'!$E$10+1,1))</f>
        <v>406.17572122067492</v>
      </c>
      <c r="AO35" s="62">
        <f t="shared" si="36"/>
        <v>244.4332618279085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522.41357551264855</v>
      </c>
      <c r="BI35" s="62">
        <f ca="1">AVERAGE(OFFSET($BH$3,0,0,'Données projet'!$E$11+1,1))-AVERAGE(OFFSET($H$3,0,0,'Données projet'!$E$11+1,1))</f>
        <v>344.49457749226184</v>
      </c>
      <c r="BJ35" s="62">
        <f t="shared" si="38"/>
        <v>207.92972431357452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14.6</v>
      </c>
      <c r="BY35" s="13">
        <f>IF('Données projet'!$A$114&gt;35,BY34+BX35-CG34,IF(A35&lt;'Données projet'!$A$114,$BV$205^A35,IF(A35='Données projet'!$A$114,'Données projet'!$B$114,BY34+BX35-CG34)))</f>
        <v>189.20000000000005</v>
      </c>
      <c r="BZ35" s="14">
        <f>BY35*VLOOKUP('Données projet'!$B$12,Paramètres!$A$1:$I$89,3,0)*VLOOKUP('Données projet'!$B$12,Paramètres!$A$1:$I$89,5,0)</f>
        <v>113.14160000000004</v>
      </c>
      <c r="CA35" s="14">
        <f t="shared" si="39"/>
        <v>30.069952587742019</v>
      </c>
      <c r="CB35" s="22">
        <f t="shared" si="10"/>
        <v>249.42678742365072</v>
      </c>
      <c r="CC35" s="62">
        <f t="shared" si="11"/>
        <v>542.76012075698407</v>
      </c>
      <c r="CD35" s="62">
        <f ca="1">AVERAGE(OFFSET($CC$3,0,0,'Données projet'!$E$12+1,1))-AVERAGE(OFFSET($H$3,0,0,'Données projet'!$E$12+1,1))</f>
        <v>287.69656598881124</v>
      </c>
      <c r="CE35" s="62">
        <f t="shared" si="40"/>
        <v>221.9773436301067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7.7166867307284228</v>
      </c>
      <c r="CL35" s="23">
        <f>EXP(-LN(2)/25)*CL34+(1-EXP(-LN(2)/25))/(LN(2)/25)*Calculateur!CG35*Calculateur!CI35*VLOOKUP('Données projet'!$B$12,Paramètres!$A$1:$I$89,3,0)*0.475*44/12</f>
        <v>6.5411437342672416</v>
      </c>
      <c r="CM35" s="23">
        <f>EXP(-LN(2)/2)*CM34+(1-EXP(-LN(2)/2))/(LN(2)/2)*CG35*CJ35*VLOOKUP('Données projet'!$B$12,Paramètres!$A$1:$I$89,3,0)*0.475*44/12</f>
        <v>3.4029180332534761</v>
      </c>
      <c r="CN35" s="24">
        <f t="shared" si="12"/>
        <v>17.660748498249141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</v>
      </c>
      <c r="CT35" s="13">
        <f>IF('Données projet'!$A$140&gt;35,CT34+CS35-DB34,IF(A35&lt;'Données projet'!$A$140,$CQ$205^A35,IF(A35='Données projet'!$A$140,'Données projet'!$B$140,CT34+CS35-DB34)))</f>
        <v>269.99999999999989</v>
      </c>
      <c r="CU35" s="18">
        <f>CT35*VLOOKUP('Données projet'!$B$13,Paramètres!$A$1:$I$89,3,0)*VLOOKUP('Données projet'!$B$13,Paramètres!$A$1:$I$89,5,0)</f>
        <v>126.35999999999996</v>
      </c>
      <c r="CV35" s="14">
        <f t="shared" si="41"/>
        <v>33.153877056327453</v>
      </c>
      <c r="CW35" s="22">
        <f t="shared" si="13"/>
        <v>277.82000253977026</v>
      </c>
      <c r="CX35" s="62">
        <f t="shared" si="14"/>
        <v>571.15333587310352</v>
      </c>
      <c r="CY35" s="62">
        <f ca="1">AVERAGE(OFFSET($CX$3,0,0,'Données projet'!$E$13+1,1))-AVERAGE(OFFSET($H$3,0,0,'Données projet'!$E$13+1,1))</f>
        <v>310.95287409903602</v>
      </c>
      <c r="CZ35" s="62">
        <f t="shared" si="42"/>
        <v>224.10083380795163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12.2</v>
      </c>
      <c r="N36" s="14">
        <f>IF('Données projet'!$A$36&gt;35,N35+M36-V35,IF(A36&lt;'Données projet'!$A$36,$K$205^A36,IF(A36='Données projet'!$A$36,'Données projet'!$B$36,N35+M36-V35)))</f>
        <v>176.6</v>
      </c>
      <c r="O36" s="14">
        <f>N36*VLOOKUP('Données projet'!$B$9,Paramètres!$A$1:$I$89,3,0)*VLOOKUP('Données projet'!$B$9,Paramètres!$A$1:$I$89,5,0)</f>
        <v>154.27776</v>
      </c>
      <c r="P36" s="14">
        <f t="shared" si="33"/>
        <v>39.549125277353333</v>
      </c>
      <c r="Q36" s="22">
        <f t="shared" si="53"/>
        <v>337.58182519139035</v>
      </c>
      <c r="R36" s="62">
        <f t="shared" si="0"/>
        <v>630.91515852472367</v>
      </c>
      <c r="S36" s="62">
        <f ca="1">AVERAGE(OFFSET($R$3,0,0,'Données projet'!$E$9+1,1))-AVERAGE(OFFSET($H$3,0,0,'Données projet'!$E$9+1,1))</f>
        <v>253.73326067725128</v>
      </c>
      <c r="T36" s="62">
        <f t="shared" si="34"/>
        <v>317.76427047458026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4.3044563230955966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12.309051686926695</v>
      </c>
      <c r="AC36" s="24">
        <f t="shared" si="3"/>
        <v>16.613508010022294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131.06808000000004</v>
      </c>
      <c r="AK36" s="14">
        <f t="shared" si="35"/>
        <v>34.243043606434696</v>
      </c>
      <c r="AL36" s="22">
        <f t="shared" si="4"/>
        <v>287.91687361454052</v>
      </c>
      <c r="AM36" s="62">
        <f t="shared" si="5"/>
        <v>581.25020694787383</v>
      </c>
      <c r="AN36" s="62">
        <f ca="1">AVERAGE(OFFSET($AM$3,0,0,'Données projet'!$E$10+1,1))-AVERAGE(OFFSET($H$3,0,0,'Données projet'!$E$10+1,1))</f>
        <v>406.17572122067492</v>
      </c>
      <c r="AO36" s="62">
        <f t="shared" si="36"/>
        <v>244.4332618279085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543.44900311204924</v>
      </c>
      <c r="BI36" s="62">
        <f ca="1">AVERAGE(OFFSET($BH$3,0,0,'Données projet'!$E$11+1,1))-AVERAGE(OFFSET($H$3,0,0,'Données projet'!$E$11+1,1))</f>
        <v>344.49457749226184</v>
      </c>
      <c r="BJ36" s="62">
        <f t="shared" si="38"/>
        <v>207.92972431357452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14.6</v>
      </c>
      <c r="BY36" s="13">
        <f>IF('Données projet'!$A$114&gt;35,BY35+BX36-CG35,IF(A36&lt;'Données projet'!$A$114,$BV$205^A36,IF(A36='Données projet'!$A$114,'Données projet'!$B$114,BY35+BX36-CG35)))</f>
        <v>203.80000000000004</v>
      </c>
      <c r="BZ36" s="14">
        <f>BY36*VLOOKUP('Données projet'!$B$12,Paramètres!$A$1:$I$89,3,0)*VLOOKUP('Données projet'!$B$12,Paramètres!$A$1:$I$89,5,0)</f>
        <v>121.87240000000003</v>
      </c>
      <c r="CA36" s="14">
        <f t="shared" si="39"/>
        <v>32.111311550408985</v>
      </c>
      <c r="CB36" s="22">
        <f t="shared" si="10"/>
        <v>268.1882976169623</v>
      </c>
      <c r="CC36" s="62">
        <f t="shared" si="11"/>
        <v>561.52163095029562</v>
      </c>
      <c r="CD36" s="62">
        <f ca="1">AVERAGE(OFFSET($CC$3,0,0,'Données projet'!$E$12+1,1))-AVERAGE(OFFSET($H$3,0,0,'Données projet'!$E$12+1,1))</f>
        <v>287.69656598881124</v>
      </c>
      <c r="CE36" s="62">
        <f t="shared" si="40"/>
        <v>221.9773436301067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7.5653672106529948</v>
      </c>
      <c r="CL36" s="23">
        <f>EXP(-LN(2)/25)*CL35+(1-EXP(-LN(2)/25))/(LN(2)/25)*Calculateur!CG36*Calculateur!CI36*VLOOKUP('Données projet'!$B$12,Paramètres!$A$1:$I$89,3,0)*0.475*44/12</f>
        <v>6.3622758148699052</v>
      </c>
      <c r="CM36" s="23">
        <f>EXP(-LN(2)/2)*CM35+(1-EXP(-LN(2)/2))/(LN(2)/2)*CG36*CJ36*VLOOKUP('Données projet'!$B$12,Paramètres!$A$1:$I$89,3,0)*0.475*44/12</f>
        <v>2.4062264171355223</v>
      </c>
      <c r="CN36" s="24">
        <f t="shared" si="12"/>
        <v>16.333869442658422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</v>
      </c>
      <c r="CT36" s="13">
        <f>IF('Données projet'!$A$140&gt;35,CT35+CS36-DB35,IF(A36&lt;'Données projet'!$A$140,$CQ$205^A36,IF(A36='Données projet'!$A$140,'Données projet'!$B$140,CT35+CS36-DB35)))</f>
        <v>279.99999999999989</v>
      </c>
      <c r="CU36" s="18">
        <f>CT36*VLOOKUP('Données projet'!$B$13,Paramètres!$A$1:$I$89,3,0)*VLOOKUP('Données projet'!$B$13,Paramètres!$A$1:$I$89,5,0)</f>
        <v>131.03999999999994</v>
      </c>
      <c r="CV36" s="14">
        <f t="shared" si="41"/>
        <v>34.236561238949889</v>
      </c>
      <c r="CW36" s="22">
        <f t="shared" si="13"/>
        <v>287.85667749117096</v>
      </c>
      <c r="CX36" s="62">
        <f t="shared" si="14"/>
        <v>581.19001082450427</v>
      </c>
      <c r="CY36" s="62">
        <f ca="1">AVERAGE(OFFSET($CX$3,0,0,'Données projet'!$E$13+1,1))-AVERAGE(OFFSET($H$3,0,0,'Données projet'!$E$13+1,1))</f>
        <v>310.95287409903602</v>
      </c>
      <c r="CZ36" s="62">
        <f t="shared" si="42"/>
        <v>224.10083380795163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12.2</v>
      </c>
      <c r="N37" s="14">
        <f>IF('Données projet'!$A$36&gt;35,N36+M37-V36,IF(A37&lt;'Données projet'!$A$36,$K$205^A37,IF(A37='Données projet'!$A$36,'Données projet'!$B$36,N36+M37-V36)))</f>
        <v>188.79999999999998</v>
      </c>
      <c r="O37" s="14">
        <f>N37*VLOOKUP('Données projet'!$B$9,Paramètres!$A$1:$I$89,3,0)*VLOOKUP('Données projet'!$B$9,Paramètres!$A$1:$I$89,5,0)</f>
        <v>164.93567999999999</v>
      </c>
      <c r="P37" s="14">
        <f t="shared" si="33"/>
        <v>41.953795695589498</v>
      </c>
      <c r="Q37" s="22">
        <f t="shared" si="53"/>
        <v>360.33250350315166</v>
      </c>
      <c r="R37" s="62">
        <f t="shared" si="0"/>
        <v>653.66583683648491</v>
      </c>
      <c r="S37" s="62">
        <f ca="1">AVERAGE(OFFSET($R$3,0,0,'Données projet'!$E$9+1,1))-AVERAGE(OFFSET($H$3,0,0,'Données projet'!$E$9+1,1))</f>
        <v>253.73326067725128</v>
      </c>
      <c r="T37" s="62">
        <f t="shared" si="34"/>
        <v>317.76427047458026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4.2200485600588067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8.703813917801579</v>
      </c>
      <c r="AC37" s="24">
        <f t="shared" si="3"/>
        <v>12.923862477860386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142.35624000000007</v>
      </c>
      <c r="AK37" s="14">
        <f t="shared" si="35"/>
        <v>36.836261545708453</v>
      </c>
      <c r="AL37" s="22">
        <f t="shared" si="4"/>
        <v>312.09360685877567</v>
      </c>
      <c r="AM37" s="62">
        <f t="shared" si="5"/>
        <v>605.42694019210899</v>
      </c>
      <c r="AN37" s="62">
        <f ca="1">AVERAGE(OFFSET($AM$3,0,0,'Données projet'!$E$10+1,1))-AVERAGE(OFFSET($H$3,0,0,'Données projet'!$E$10+1,1))</f>
        <v>406.17572122067492</v>
      </c>
      <c r="AO37" s="62">
        <f t="shared" si="36"/>
        <v>244.4332618279085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564.4443182209933</v>
      </c>
      <c r="BI37" s="62">
        <f ca="1">AVERAGE(OFFSET($BH$3,0,0,'Données projet'!$E$11+1,1))-AVERAGE(OFFSET($H$3,0,0,'Données projet'!$E$11+1,1))</f>
        <v>344.49457749226184</v>
      </c>
      <c r="BJ37" s="62">
        <f t="shared" si="38"/>
        <v>207.92972431357452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14.6</v>
      </c>
      <c r="BY37" s="13">
        <f>IF('Données projet'!$A$114&gt;35,BY36+BX37-CG36,IF(A37&lt;'Données projet'!$A$114,$BV$205^A37,IF(A37='Données projet'!$A$114,'Données projet'!$B$114,BY36+BX37-CG36)))</f>
        <v>218.40000000000003</v>
      </c>
      <c r="BZ37" s="14">
        <f>BY37*VLOOKUP('Données projet'!$B$12,Paramètres!$A$1:$I$89,3,0)*VLOOKUP('Données projet'!$B$12,Paramètres!$A$1:$I$89,5,0)</f>
        <v>130.60320000000004</v>
      </c>
      <c r="CA37" s="14">
        <f t="shared" si="39"/>
        <v>34.135703567016428</v>
      </c>
      <c r="CB37" s="22">
        <f t="shared" si="10"/>
        <v>286.92025704588701</v>
      </c>
      <c r="CC37" s="62">
        <f t="shared" si="11"/>
        <v>580.25359037922033</v>
      </c>
      <c r="CD37" s="62">
        <f ca="1">AVERAGE(OFFSET($CC$3,0,0,'Données projet'!$E$12+1,1))-AVERAGE(OFFSET($H$3,0,0,'Données projet'!$E$12+1,1))</f>
        <v>287.69656598881124</v>
      </c>
      <c r="CE37" s="62">
        <f t="shared" si="40"/>
        <v>221.9773436301067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7.4170149740704518</v>
      </c>
      <c r="CL37" s="23">
        <f>EXP(-LN(2)/25)*CL36+(1-EXP(-LN(2)/25))/(LN(2)/25)*Calculateur!CG37*Calculateur!CI37*VLOOKUP('Données projet'!$B$12,Paramètres!$A$1:$I$89,3,0)*0.475*44/12</f>
        <v>6.188299048134744</v>
      </c>
      <c r="CM37" s="23">
        <f>EXP(-LN(2)/2)*CM36+(1-EXP(-LN(2)/2))/(LN(2)/2)*CG37*CJ37*VLOOKUP('Données projet'!$B$12,Paramètres!$A$1:$I$89,3,0)*0.475*44/12</f>
        <v>1.701459016626738</v>
      </c>
      <c r="CN37" s="24">
        <f t="shared" si="12"/>
        <v>15.306773038831935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</v>
      </c>
      <c r="CT37" s="13">
        <f>IF('Données projet'!$A$140&gt;35,CT36+CS37-DB36,IF(A37&lt;'Données projet'!$A$140,$CQ$205^A37,IF(A37='Données projet'!$A$140,'Données projet'!$B$140,CT36+CS37-DB36)))</f>
        <v>289.99999999999989</v>
      </c>
      <c r="CU37" s="18">
        <f>CT37*VLOOKUP('Données projet'!$B$13,Paramètres!$A$1:$I$89,3,0)*VLOOKUP('Données projet'!$B$13,Paramètres!$A$1:$I$89,5,0)</f>
        <v>135.71999999999994</v>
      </c>
      <c r="CV37" s="14">
        <f t="shared" si="41"/>
        <v>35.314752882348131</v>
      </c>
      <c r="CW37" s="22">
        <f t="shared" si="13"/>
        <v>297.8855279367562</v>
      </c>
      <c r="CX37" s="62">
        <f t="shared" si="14"/>
        <v>591.21886127008952</v>
      </c>
      <c r="CY37" s="62">
        <f ca="1">AVERAGE(OFFSET($CX$3,0,0,'Données projet'!$E$13+1,1))-AVERAGE(OFFSET($H$3,0,0,'Données projet'!$E$13+1,1))</f>
        <v>310.95287409903602</v>
      </c>
      <c r="CZ37" s="62">
        <f t="shared" si="42"/>
        <v>224.10083380795163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201</v>
      </c>
      <c r="L38" s="13">
        <f>VLOOKUP(A38,'Données projet'!$A$35:$I$55,9,0)</f>
        <v>12.2</v>
      </c>
      <c r="M38" s="13">
        <f t="array" ref="M38">INDEX(L:L,MIN(IF(ISNUMBER(L38:L234),ROW(L38:L234),"")))</f>
        <v>12.2</v>
      </c>
      <c r="N38" s="14">
        <f>IF('Données projet'!$A$36&gt;35,N37+M38-V37,IF(A38&lt;'Données projet'!$A$36,$K$205^A38,IF(A38='Données projet'!$A$36,'Données projet'!$B$36,N37+M38-V37)))</f>
        <v>200.99999999999997</v>
      </c>
      <c r="O38" s="14">
        <f>N38*VLOOKUP('Données projet'!$B$9,Paramètres!$A$1:$I$89,3,0)*VLOOKUP('Données projet'!$B$9,Paramètres!$A$1:$I$89,5,0)</f>
        <v>175.59359999999998</v>
      </c>
      <c r="P38" s="14">
        <f t="shared" si="33"/>
        <v>44.340433728638573</v>
      </c>
      <c r="Q38" s="22">
        <f t="shared" si="53"/>
        <v>383.05177541071208</v>
      </c>
      <c r="R38" s="62">
        <f t="shared" si="0"/>
        <v>676.3851087440454</v>
      </c>
      <c r="S38" s="62">
        <f ca="1">AVERAGE(OFFSET($R$3,0,0,'Données projet'!$E$9+1,1))-AVERAGE(OFFSET($H$3,0,0,'Données projet'!$E$9+1,1))</f>
        <v>253.73326067725128</v>
      </c>
      <c r="T38" s="62">
        <f t="shared" si="34"/>
        <v>317.76427047458026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4.1372959817715165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6.1545258434633485</v>
      </c>
      <c r="AC38" s="24">
        <f t="shared" si="3"/>
        <v>10.291821825234866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153.64440000000008</v>
      </c>
      <c r="AK38" s="14">
        <f t="shared" si="35"/>
        <v>39.405627951004689</v>
      </c>
      <c r="AL38" s="22">
        <f t="shared" si="4"/>
        <v>336.22879868133333</v>
      </c>
      <c r="AM38" s="62">
        <f t="shared" si="5"/>
        <v>629.56213201466664</v>
      </c>
      <c r="AN38" s="62">
        <f ca="1">AVERAGE(OFFSET($AM$3,0,0,'Données projet'!$E$10+1,1))-AVERAGE(OFFSET($H$3,0,0,'Données projet'!$E$10+1,1))</f>
        <v>406.17572122067492</v>
      </c>
      <c r="AO38" s="62">
        <f t="shared" si="36"/>
        <v>244.4332618279085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585.40306318893647</v>
      </c>
      <c r="BI38" s="62">
        <f ca="1">AVERAGE(OFFSET($BH$3,0,0,'Données projet'!$E$11+1,1))-AVERAGE(OFFSET($H$3,0,0,'Données projet'!$E$11+1,1))</f>
        <v>344.49457749226184</v>
      </c>
      <c r="BJ38" s="62">
        <f t="shared" si="38"/>
        <v>207.92972431357452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233</v>
      </c>
      <c r="BW38" s="13">
        <f>VLOOKUP(A38,'Données projet'!$A$113:$I$133,9,0)</f>
        <v>14.6</v>
      </c>
      <c r="BX38" s="13">
        <f t="array" ref="BX38">INDEX(BW:BW,MIN(IF(ISNUMBER(BW38:BW234),ROW(BW38:BW234),"")))</f>
        <v>14.6</v>
      </c>
      <c r="BY38" s="13">
        <f>IF('Données projet'!$A$114&gt;35,BY37+BX38-CG37,IF(A38&lt;'Données projet'!$A$114,$BV$205^A38,IF(A38='Données projet'!$A$114,'Données projet'!$B$114,BY37+BX38-CG37)))</f>
        <v>233.00000000000003</v>
      </c>
      <c r="BZ38" s="14">
        <f>BY38*VLOOKUP('Données projet'!$B$12,Paramètres!$A$1:$I$89,3,0)*VLOOKUP('Données projet'!$B$12,Paramètres!$A$1:$I$89,5,0)</f>
        <v>139.33400000000003</v>
      </c>
      <c r="CA38" s="14">
        <f t="shared" si="39"/>
        <v>36.144391930570897</v>
      </c>
      <c r="CB38" s="22">
        <f t="shared" si="10"/>
        <v>305.62486594574438</v>
      </c>
      <c r="CC38" s="62">
        <f t="shared" si="11"/>
        <v>598.95819927907769</v>
      </c>
      <c r="CD38" s="62">
        <f ca="1">AVERAGE(OFFSET($CC$3,0,0,'Données projet'!$E$12+1,1))-AVERAGE(OFFSET($H$3,0,0,'Données projet'!$E$12+1,1))</f>
        <v>287.69656598881124</v>
      </c>
      <c r="CE38" s="62">
        <f t="shared" si="40"/>
        <v>221.9773436301067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41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7.2715718343613629</v>
      </c>
      <c r="CL38" s="23">
        <f>EXP(-LN(2)/25)*CL37+(1-EXP(-LN(2)/25))/(LN(2)/25)*Calculateur!CG38*Calculateur!CI38*VLOOKUP('Données projet'!$B$12,Paramètres!$A$1:$I$89,3,0)*0.475*44/12</f>
        <v>6.0190796852349964</v>
      </c>
      <c r="CM38" s="23">
        <f>EXP(-LN(2)/2)*CM37+(1-EXP(-LN(2)/2))/(LN(2)/2)*CG38*CJ38*VLOOKUP('Données projet'!$B$12,Paramètres!$A$1:$I$89,3,0)*0.475*44/12</f>
        <v>1.2031132085677612</v>
      </c>
      <c r="CN38" s="24">
        <f t="shared" si="12"/>
        <v>14.49376472816412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</v>
      </c>
      <c r="CT38" s="13">
        <f>IF('Données projet'!$A$140&gt;35,CT37+CS38-DB37,IF(A38&lt;'Données projet'!$A$140,$CQ$205^A38,IF(A38='Données projet'!$A$140,'Données projet'!$B$140,CT37+CS38-DB37)))</f>
        <v>299.99999999999989</v>
      </c>
      <c r="CU38" s="18">
        <f>CT38*VLOOKUP('Données projet'!$B$13,Paramètres!$A$1:$I$89,3,0)*VLOOKUP('Données projet'!$B$13,Paramètres!$A$1:$I$89,5,0)</f>
        <v>140.39999999999995</v>
      </c>
      <c r="CV38" s="14">
        <f t="shared" si="41"/>
        <v>36.388624656711166</v>
      </c>
      <c r="CW38" s="22">
        <f t="shared" si="13"/>
        <v>307.90685461043853</v>
      </c>
      <c r="CX38" s="62">
        <f t="shared" si="14"/>
        <v>601.24018794377184</v>
      </c>
      <c r="CY38" s="62">
        <f ca="1">AVERAGE(OFFSET($CX$3,0,0,'Données projet'!$E$13+1,1))-AVERAGE(OFFSET($H$3,0,0,'Données projet'!$E$13+1,1))</f>
        <v>310.95287409903602</v>
      </c>
      <c r="CZ38" s="62">
        <f t="shared" si="42"/>
        <v>224.10083380795163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10.8</v>
      </c>
      <c r="N39" s="14">
        <f>IF('Données projet'!$A$36&gt;35,N38+M39-V38,IF(A39&lt;'Données projet'!$A$36,$K$205^A39,IF(A39='Données projet'!$A$36,'Données projet'!$B$36,N38+M39-V38)))</f>
        <v>169.79999999999998</v>
      </c>
      <c r="O39" s="14">
        <f>N39*VLOOKUP('Données projet'!$B$9,Paramètres!$A$1:$I$89,3,0)*VLOOKUP('Données projet'!$B$9,Paramètres!$A$1:$I$89,5,0)</f>
        <v>148.33727999999999</v>
      </c>
      <c r="P39" s="14">
        <f t="shared" si="33"/>
        <v>38.200481752654802</v>
      </c>
      <c r="Q39" s="22">
        <f t="shared" si="53"/>
        <v>324.88660171920714</v>
      </c>
      <c r="R39" s="62">
        <f t="shared" si="0"/>
        <v>618.21993505254045</v>
      </c>
      <c r="S39" s="62">
        <f ca="1">AVERAGE(OFFSET($R$3,0,0,'Données projet'!$E$9+1,1))-AVERAGE(OFFSET($H$3,0,0,'Données projet'!$E$9+1,1))</f>
        <v>253.73326067725128</v>
      </c>
      <c r="T39" s="62">
        <f t="shared" si="34"/>
        <v>317.76427047458026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4.0561661310703512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4.3519069589007904</v>
      </c>
      <c r="AC39" s="24">
        <f t="shared" si="3"/>
        <v>8.4080730899711416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136.08504000000005</v>
      </c>
      <c r="AK39" s="14">
        <f t="shared" si="35"/>
        <v>35.398668068565364</v>
      </c>
      <c r="AL39" s="22">
        <f t="shared" si="4"/>
        <v>298.66745821941805</v>
      </c>
      <c r="AM39" s="62">
        <f t="shared" si="5"/>
        <v>592.00079155275137</v>
      </c>
      <c r="AN39" s="62">
        <f ca="1">AVERAGE(OFFSET($AM$3,0,0,'Données projet'!$E$10+1,1))-AVERAGE(OFFSET($H$3,0,0,'Données projet'!$E$10+1,1))</f>
        <v>406.17572122067492</v>
      </c>
      <c r="AO39" s="62">
        <f t="shared" si="36"/>
        <v>244.4332618279085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552.78498149130326</v>
      </c>
      <c r="BI39" s="62">
        <f ca="1">AVERAGE(OFFSET($BH$3,0,0,'Données projet'!$E$11+1,1))-AVERAGE(OFFSET($H$3,0,0,'Données projet'!$E$11+1,1))</f>
        <v>344.49457749226184</v>
      </c>
      <c r="BJ39" s="62">
        <f t="shared" si="38"/>
        <v>207.92972431357452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14.4</v>
      </c>
      <c r="BY39" s="13">
        <f>IF('Données projet'!$A$114&gt;35,BY38+BX39-CG38,IF(A39&lt;'Données projet'!$A$114,$BV$205^A39,IF(A39='Données projet'!$A$114,'Données projet'!$B$114,BY38+BX39-CG38)))</f>
        <v>206.40000000000003</v>
      </c>
      <c r="BZ39" s="14">
        <f>BY39*VLOOKUP('Données projet'!$B$12,Paramètres!$A$1:$I$89,3,0)*VLOOKUP('Données projet'!$B$12,Paramètres!$A$1:$I$89,5,0)</f>
        <v>123.42720000000003</v>
      </c>
      <c r="CA39" s="14">
        <f t="shared" si="39"/>
        <v>32.473022671122074</v>
      </c>
      <c r="CB39" s="22">
        <f t="shared" si="10"/>
        <v>271.5262211522043</v>
      </c>
      <c r="CC39" s="62">
        <f t="shared" si="11"/>
        <v>564.85955448553761</v>
      </c>
      <c r="CD39" s="62">
        <f ca="1">AVERAGE(OFFSET($CC$3,0,0,'Données projet'!$E$12+1,1))-AVERAGE(OFFSET($H$3,0,0,'Données projet'!$E$12+1,1))</f>
        <v>287.69656598881124</v>
      </c>
      <c r="CE39" s="62">
        <f t="shared" si="40"/>
        <v>221.9773436301067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7.1289807459104138</v>
      </c>
      <c r="CL39" s="23">
        <f>EXP(-LN(2)/25)*CL38+(1-EXP(-LN(2)/25))/(LN(2)/25)*Calculateur!CG39*Calculateur!CI39*VLOOKUP('Données projet'!$B$12,Paramètres!$A$1:$I$89,3,0)*0.475*44/12</f>
        <v>5.8544876347126014</v>
      </c>
      <c r="CM39" s="23">
        <f>EXP(-LN(2)/2)*CM38+(1-EXP(-LN(2)/2))/(LN(2)/2)*CG39*CJ39*VLOOKUP('Données projet'!$B$12,Paramètres!$A$1:$I$89,3,0)*0.475*44/12</f>
        <v>0.85072950831336902</v>
      </c>
      <c r="CN39" s="24">
        <f t="shared" si="12"/>
        <v>13.834197888936385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</v>
      </c>
      <c r="CT39" s="13">
        <f>IF('Données projet'!$A$140&gt;35,CT38+CS39-DB38,IF(A39&lt;'Données projet'!$A$140,$CQ$205^A39,IF(A39='Données projet'!$A$140,'Données projet'!$B$140,CT38+CS39-DB38)))</f>
        <v>309.99999999999989</v>
      </c>
      <c r="CU39" s="18">
        <f>CT39*VLOOKUP('Données projet'!$B$13,Paramètres!$A$1:$I$89,3,0)*VLOOKUP('Données projet'!$B$13,Paramètres!$A$1:$I$89,5,0)</f>
        <v>145.07999999999996</v>
      </c>
      <c r="CV39" s="14">
        <f t="shared" si="41"/>
        <v>37.458337067672986</v>
      </c>
      <c r="CW39" s="22">
        <f t="shared" si="13"/>
        <v>317.92093705953039</v>
      </c>
      <c r="CX39" s="62">
        <f t="shared" si="14"/>
        <v>611.25427039286365</v>
      </c>
      <c r="CY39" s="62">
        <f ca="1">AVERAGE(OFFSET($CX$3,0,0,'Données projet'!$E$13+1,1))-AVERAGE(OFFSET($H$3,0,0,'Données projet'!$E$13+1,1))</f>
        <v>310.95287409903602</v>
      </c>
      <c r="CZ39" s="62">
        <f t="shared" si="42"/>
        <v>224.10083380795163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10.8</v>
      </c>
      <c r="N40" s="14">
        <f>IF('Données projet'!$A$36&gt;35,N39+M40-V39,IF(A40&lt;'Données projet'!$A$36,$K$205^A40,IF(A40='Données projet'!$A$36,'Données projet'!$B$36,N39+M40-V39)))</f>
        <v>180.6</v>
      </c>
      <c r="O40" s="14">
        <f>N40*VLOOKUP('Données projet'!$B$9,Paramètres!$A$1:$I$89,3,0)*VLOOKUP('Données projet'!$B$9,Paramètres!$A$1:$I$89,5,0)</f>
        <v>157.77216000000001</v>
      </c>
      <c r="P40" s="14">
        <f t="shared" si="33"/>
        <v>40.339610539653599</v>
      </c>
      <c r="Q40" s="22">
        <f t="shared" si="53"/>
        <v>345.04466702323003</v>
      </c>
      <c r="R40" s="62">
        <f t="shared" si="0"/>
        <v>638.37800035656335</v>
      </c>
      <c r="S40" s="62">
        <f ca="1">AVERAGE(OFFSET($R$3,0,0,'Données projet'!$E$9+1,1))-AVERAGE(OFFSET($H$3,0,0,'Données projet'!$E$9+1,1))</f>
        <v>253.73326067725128</v>
      </c>
      <c r="T40" s="62">
        <f t="shared" si="34"/>
        <v>317.76427047458026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3.9766271872571126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3.0772629217316747</v>
      </c>
      <c r="AC40" s="24">
        <f t="shared" si="3"/>
        <v>7.0538901089887869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147.79128000000006</v>
      </c>
      <c r="AK40" s="14">
        <f t="shared" si="35"/>
        <v>38.076213545724045</v>
      </c>
      <c r="AL40" s="22">
        <f t="shared" si="4"/>
        <v>323.71921792546948</v>
      </c>
      <c r="AM40" s="62">
        <f t="shared" si="5"/>
        <v>617.05255125880285</v>
      </c>
      <c r="AN40" s="62">
        <f ca="1">AVERAGE(OFFSET($AM$3,0,0,'Données projet'!$E$10+1,1))-AVERAGE(OFFSET($H$3,0,0,'Données projet'!$E$10+1,1))</f>
        <v>406.17572122067492</v>
      </c>
      <c r="AO40" s="62">
        <f t="shared" si="36"/>
        <v>244.4332618279085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574.53993500762533</v>
      </c>
      <c r="BI40" s="62">
        <f ca="1">AVERAGE(OFFSET($BH$3,0,0,'Données projet'!$E$11+1,1))-AVERAGE(OFFSET($H$3,0,0,'Données projet'!$E$11+1,1))</f>
        <v>344.49457749226184</v>
      </c>
      <c r="BJ40" s="62">
        <f t="shared" si="38"/>
        <v>207.92972431357452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14.4</v>
      </c>
      <c r="BY40" s="13">
        <f>IF('Données projet'!$A$114&gt;35,BY39+BX40-CG39,IF(A40&lt;'Données projet'!$A$114,$BV$205^A40,IF(A40='Données projet'!$A$114,'Données projet'!$B$114,BY39+BX40-CG39)))</f>
        <v>220.80000000000004</v>
      </c>
      <c r="BZ40" s="14">
        <f>BY40*VLOOKUP('Données projet'!$B$12,Paramètres!$A$1:$I$89,3,0)*VLOOKUP('Données projet'!$B$12,Paramètres!$A$1:$I$89,5,0)</f>
        <v>132.03840000000005</v>
      </c>
      <c r="CA40" s="14">
        <f t="shared" si="39"/>
        <v>34.466946374534373</v>
      </c>
      <c r="CB40" s="22">
        <f t="shared" si="10"/>
        <v>289.99681160231415</v>
      </c>
      <c r="CC40" s="62">
        <f t="shared" si="11"/>
        <v>583.33014493564747</v>
      </c>
      <c r="CD40" s="62">
        <f ca="1">AVERAGE(OFFSET($CC$3,0,0,'Données projet'!$E$12+1,1))-AVERAGE(OFFSET($H$3,0,0,'Données projet'!$E$12+1,1))</f>
        <v>287.69656598881124</v>
      </c>
      <c r="CE40" s="62">
        <f t="shared" si="40"/>
        <v>221.9773436301067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6.9891857817320115</v>
      </c>
      <c r="CL40" s="23">
        <f>EXP(-LN(2)/25)*CL39+(1-EXP(-LN(2)/25))/(LN(2)/25)*Calculateur!CG40*Calculateur!CI40*VLOOKUP('Données projet'!$B$12,Paramètres!$A$1:$I$89,3,0)*0.475*44/12</f>
        <v>5.6943963624672609</v>
      </c>
      <c r="CM40" s="23">
        <f>EXP(-LN(2)/2)*CM39+(1-EXP(-LN(2)/2))/(LN(2)/2)*CG40*CJ40*VLOOKUP('Données projet'!$B$12,Paramètres!$A$1:$I$89,3,0)*0.475*44/12</f>
        <v>0.60155660428388058</v>
      </c>
      <c r="CN40" s="24">
        <f t="shared" si="12"/>
        <v>13.285138748483153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</v>
      </c>
      <c r="CT40" s="13">
        <f>IF('Données projet'!$A$140&gt;35,CT39+CS40-DB39,IF(A40&lt;'Données projet'!$A$140,$CQ$205^A40,IF(A40='Données projet'!$A$140,'Données projet'!$B$140,CT39+CS40-DB39)))</f>
        <v>319.99999999999989</v>
      </c>
      <c r="CU40" s="18">
        <f>CT40*VLOOKUP('Données projet'!$B$13,Paramètres!$A$1:$I$89,3,0)*VLOOKUP('Données projet'!$B$13,Paramètres!$A$1:$I$89,5,0)</f>
        <v>149.75999999999996</v>
      </c>
      <c r="CV40" s="14">
        <f t="shared" si="41"/>
        <v>38.524039677774766</v>
      </c>
      <c r="CW40" s="22">
        <f t="shared" si="13"/>
        <v>327.9280357721243</v>
      </c>
      <c r="CX40" s="62">
        <f t="shared" si="14"/>
        <v>621.26136910545756</v>
      </c>
      <c r="CY40" s="62">
        <f ca="1">AVERAGE(OFFSET($CX$3,0,0,'Données projet'!$E$13+1,1))-AVERAGE(OFFSET($H$3,0,0,'Données projet'!$E$13+1,1))</f>
        <v>310.95287409903602</v>
      </c>
      <c r="CZ40" s="62">
        <f t="shared" si="42"/>
        <v>224.10083380795163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10.8</v>
      </c>
      <c r="N41" s="14">
        <f>IF('Données projet'!$A$36&gt;35,N40+M41-V40,IF(A41&lt;'Données projet'!$A$36,$K$205^A41,IF(A41='Données projet'!$A$36,'Données projet'!$B$36,N40+M41-V40)))</f>
        <v>191.4</v>
      </c>
      <c r="O41" s="14">
        <f>N41*VLOOKUP('Données projet'!$B$9,Paramètres!$A$1:$I$89,3,0)*VLOOKUP('Données projet'!$B$9,Paramètres!$A$1:$I$89,5,0)</f>
        <v>167.20704000000003</v>
      </c>
      <c r="P41" s="14">
        <f t="shared" si="33"/>
        <v>42.463891647822834</v>
      </c>
      <c r="Q41" s="22">
        <f t="shared" si="53"/>
        <v>365.17687261995815</v>
      </c>
      <c r="R41" s="62">
        <f t="shared" si="0"/>
        <v>658.51020595329146</v>
      </c>
      <c r="S41" s="62">
        <f ca="1">AVERAGE(OFFSET($R$3,0,0,'Données projet'!$E$9+1,1))-AVERAGE(OFFSET($H$3,0,0,'Données projet'!$E$9+1,1))</f>
        <v>253.73326067725128</v>
      </c>
      <c r="T41" s="62">
        <f t="shared" si="34"/>
        <v>317.76427047458026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3.8986479536180862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2.1759534794503952</v>
      </c>
      <c r="AC41" s="24">
        <f t="shared" si="3"/>
        <v>6.0746014330684819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159.49752000000004</v>
      </c>
      <c r="AK41" s="14">
        <f t="shared" si="35"/>
        <v>40.729158900674037</v>
      </c>
      <c r="AL41" s="22">
        <f t="shared" si="4"/>
        <v>348.72813241867397</v>
      </c>
      <c r="AM41" s="62">
        <f t="shared" si="5"/>
        <v>642.06146575200728</v>
      </c>
      <c r="AN41" s="62">
        <f ca="1">AVERAGE(OFFSET($AM$3,0,0,'Données projet'!$E$10+1,1))-AVERAGE(OFFSET($H$3,0,0,'Données projet'!$E$10+1,1))</f>
        <v>406.17572122067492</v>
      </c>
      <c r="AO41" s="62">
        <f t="shared" si="36"/>
        <v>244.4332618279085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596.25717061705495</v>
      </c>
      <c r="BI41" s="62">
        <f ca="1">AVERAGE(OFFSET($BH$3,0,0,'Données projet'!$E$11+1,1))-AVERAGE(OFFSET($H$3,0,0,'Données projet'!$E$11+1,1))</f>
        <v>344.49457749226184</v>
      </c>
      <c r="BJ41" s="62">
        <f t="shared" si="38"/>
        <v>207.92972431357452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14.4</v>
      </c>
      <c r="BY41" s="13">
        <f>IF('Données projet'!$A$114&gt;35,BY40+BX41-CG40,IF(A41&lt;'Données projet'!$A$114,$BV$205^A41,IF(A41='Données projet'!$A$114,'Données projet'!$B$114,BY40+BX41-CG40)))</f>
        <v>235.20000000000005</v>
      </c>
      <c r="BZ41" s="14">
        <f>BY41*VLOOKUP('Données projet'!$B$12,Paramètres!$A$1:$I$89,3,0)*VLOOKUP('Données projet'!$B$12,Paramètres!$A$1:$I$89,5,0)</f>
        <v>140.64960000000002</v>
      </c>
      <c r="CA41" s="14">
        <f t="shared" si="39"/>
        <v>36.445779615258601</v>
      </c>
      <c r="CB41" s="22">
        <f t="shared" si="10"/>
        <v>308.44111949657542</v>
      </c>
      <c r="CC41" s="62">
        <f t="shared" si="11"/>
        <v>601.7744528299088</v>
      </c>
      <c r="CD41" s="62">
        <f ca="1">AVERAGE(OFFSET($CC$3,0,0,'Données projet'!$E$12+1,1))-AVERAGE(OFFSET($H$3,0,0,'Données projet'!$E$12+1,1))</f>
        <v>287.69656598881124</v>
      </c>
      <c r="CE41" s="62">
        <f t="shared" si="40"/>
        <v>221.9773436301067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6.8521321115346394</v>
      </c>
      <c r="CL41" s="23">
        <f>EXP(-LN(2)/25)*CL40+(1-EXP(-LN(2)/25))/(LN(2)/25)*Calculateur!CG41*Calculateur!CI41*VLOOKUP('Données projet'!$B$12,Paramètres!$A$1:$I$89,3,0)*0.475*44/12</f>
        <v>5.5386827944803034</v>
      </c>
      <c r="CM41" s="23">
        <f>EXP(-LN(2)/2)*CM40+(1-EXP(-LN(2)/2))/(LN(2)/2)*CG41*CJ41*VLOOKUP('Données projet'!$B$12,Paramètres!$A$1:$I$89,3,0)*0.475*44/12</f>
        <v>0.42536475415668451</v>
      </c>
      <c r="CN41" s="24">
        <f t="shared" si="12"/>
        <v>12.816179660171626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</v>
      </c>
      <c r="CT41" s="13">
        <f>IF('Données projet'!$A$140&gt;35,CT40+CS41-DB40,IF(A41&lt;'Données projet'!$A$140,$CQ$205^A41,IF(A41='Données projet'!$A$140,'Données projet'!$B$140,CT40+CS41-DB40)))</f>
        <v>329.99999999999989</v>
      </c>
      <c r="CU41" s="18">
        <f>CT41*VLOOKUP('Données projet'!$B$13,Paramètres!$A$1:$I$89,3,0)*VLOOKUP('Données projet'!$B$13,Paramètres!$A$1:$I$89,5,0)</f>
        <v>154.43999999999994</v>
      </c>
      <c r="CV41" s="14">
        <f t="shared" si="41"/>
        <v>39.585872170955454</v>
      </c>
      <c r="CW41" s="22">
        <f t="shared" si="13"/>
        <v>337.92839403108059</v>
      </c>
      <c r="CX41" s="62">
        <f t="shared" si="14"/>
        <v>631.2617273644139</v>
      </c>
      <c r="CY41" s="62">
        <f ca="1">AVERAGE(OFFSET($CX$3,0,0,'Données projet'!$E$13+1,1))-AVERAGE(OFFSET($H$3,0,0,'Données projet'!$E$13+1,1))</f>
        <v>310.95287409903602</v>
      </c>
      <c r="CZ41" s="62">
        <f t="shared" si="42"/>
        <v>224.10083380795163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10.8</v>
      </c>
      <c r="N42" s="14">
        <f>IF('Données projet'!$A$36&gt;35,N41+M42-V41,IF(A42&lt;'Données projet'!$A$36,$K$205^A42,IF(A42='Données projet'!$A$36,'Données projet'!$B$36,N41+M42-V41)))</f>
        <v>202.20000000000002</v>
      </c>
      <c r="O42" s="14">
        <f>N42*VLOOKUP('Données projet'!$B$9,Paramètres!$A$1:$I$89,3,0)*VLOOKUP('Données projet'!$B$9,Paramètres!$A$1:$I$89,5,0)</f>
        <v>176.64192000000003</v>
      </c>
      <c r="P42" s="14">
        <f t="shared" si="33"/>
        <v>44.574258350008236</v>
      </c>
      <c r="Q42" s="22">
        <f t="shared" si="53"/>
        <v>385.28484395959771</v>
      </c>
      <c r="R42" s="62">
        <f t="shared" si="0"/>
        <v>678.61817729293102</v>
      </c>
      <c r="S42" s="62">
        <f ca="1">AVERAGE(OFFSET($R$3,0,0,'Données projet'!$E$9+1,1))-AVERAGE(OFFSET($H$3,0,0,'Données projet'!$E$9+1,1))</f>
        <v>253.73326067725128</v>
      </c>
      <c r="T42" s="62">
        <f t="shared" si="34"/>
        <v>317.76427047458026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3.8221978451880854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1.5386314608658374</v>
      </c>
      <c r="AC42" s="24">
        <f t="shared" si="3"/>
        <v>5.3608293060539225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171.20376000000002</v>
      </c>
      <c r="AK42" s="14">
        <f t="shared" si="35"/>
        <v>43.359514967164522</v>
      </c>
      <c r="AL42" s="22">
        <f t="shared" si="4"/>
        <v>373.69770390114491</v>
      </c>
      <c r="AM42" s="62">
        <f t="shared" si="5"/>
        <v>667.03103723447816</v>
      </c>
      <c r="AN42" s="62">
        <f ca="1">AVERAGE(OFFSET($AM$3,0,0,'Données projet'!$E$10+1,1))-AVERAGE(OFFSET($H$3,0,0,'Données projet'!$E$10+1,1))</f>
        <v>406.17572122067492</v>
      </c>
      <c r="AO42" s="62">
        <f t="shared" si="36"/>
        <v>244.4332618279085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617.93977141159837</v>
      </c>
      <c r="BI42" s="62">
        <f ca="1">AVERAGE(OFFSET($BH$3,0,0,'Données projet'!$E$11+1,1))-AVERAGE(OFFSET($H$3,0,0,'Données projet'!$E$11+1,1))</f>
        <v>344.49457749226184</v>
      </c>
      <c r="BJ42" s="62">
        <f t="shared" si="38"/>
        <v>207.92972431357452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14.4</v>
      </c>
      <c r="BY42" s="13">
        <f>IF('Données projet'!$A$114&gt;35,BY41+BX42-CG41,IF(A42&lt;'Données projet'!$A$114,$BV$205^A42,IF(A42='Données projet'!$A$114,'Données projet'!$B$114,BY41+BX42-CG41)))</f>
        <v>249.60000000000005</v>
      </c>
      <c r="BZ42" s="14">
        <f>BY42*VLOOKUP('Données projet'!$B$12,Paramètres!$A$1:$I$89,3,0)*VLOOKUP('Données projet'!$B$12,Paramètres!$A$1:$I$89,5,0)</f>
        <v>149.26080000000005</v>
      </c>
      <c r="CA42" s="14">
        <f t="shared" si="39"/>
        <v>38.410551499792909</v>
      </c>
      <c r="CB42" s="22">
        <f t="shared" si="10"/>
        <v>326.86093719547273</v>
      </c>
      <c r="CC42" s="62">
        <f t="shared" si="11"/>
        <v>620.1942705288061</v>
      </c>
      <c r="CD42" s="62">
        <f ca="1">AVERAGE(OFFSET($CC$3,0,0,'Données projet'!$E$12+1,1))-AVERAGE(OFFSET($H$3,0,0,'Données projet'!$E$12+1,1))</f>
        <v>287.69656598881124</v>
      </c>
      <c r="CE42" s="62">
        <f t="shared" si="40"/>
        <v>221.9773436301067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6.7177659802153533</v>
      </c>
      <c r="CL42" s="23">
        <f>EXP(-LN(2)/25)*CL41+(1-EXP(-LN(2)/25))/(LN(2)/25)*Calculateur!CG42*Calculateur!CI42*VLOOKUP('Données projet'!$B$12,Paramètres!$A$1:$I$89,3,0)*0.475*44/12</f>
        <v>5.38722722219857</v>
      </c>
      <c r="CM42" s="23">
        <f>EXP(-LN(2)/2)*CM41+(1-EXP(-LN(2)/2))/(LN(2)/2)*CG42*CJ42*VLOOKUP('Données projet'!$B$12,Paramètres!$A$1:$I$89,3,0)*0.475*44/12</f>
        <v>0.30077830214194029</v>
      </c>
      <c r="CN42" s="24">
        <f t="shared" si="12"/>
        <v>12.405771504555863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</v>
      </c>
      <c r="CT42" s="13">
        <f>IF('Données projet'!$A$140&gt;35,CT41+CS42-DB41,IF(A42&lt;'Données projet'!$A$140,$CQ$205^A42,IF(A42='Données projet'!$A$140,'Données projet'!$B$140,CT41+CS42-DB41)))</f>
        <v>339.99999999999989</v>
      </c>
      <c r="CU42" s="18">
        <f>CT42*VLOOKUP('Données projet'!$B$13,Paramètres!$A$1:$I$89,3,0)*VLOOKUP('Données projet'!$B$13,Paramètres!$A$1:$I$89,5,0)</f>
        <v>159.11999999999995</v>
      </c>
      <c r="CV42" s="14">
        <f t="shared" si="41"/>
        <v>40.643965284387697</v>
      </c>
      <c r="CW42" s="22">
        <f t="shared" si="13"/>
        <v>347.92223953697516</v>
      </c>
      <c r="CX42" s="62">
        <f t="shared" si="14"/>
        <v>641.25557287030847</v>
      </c>
      <c r="CY42" s="62">
        <f ca="1">AVERAGE(OFFSET($CX$3,0,0,'Données projet'!$E$13+1,1))-AVERAGE(OFFSET($H$3,0,0,'Données projet'!$E$13+1,1))</f>
        <v>310.95287409903602</v>
      </c>
      <c r="CZ42" s="62">
        <f t="shared" si="42"/>
        <v>224.10083380795163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213</v>
      </c>
      <c r="L43" s="13">
        <f>VLOOKUP(A43,'Données projet'!$A$35:$I$55,9,0)</f>
        <v>10.8</v>
      </c>
      <c r="M43" s="13">
        <f t="array" ref="M43">INDEX(L:L,MIN(IF(ISNUMBER(L43:L239),ROW(L43:L239),"")))</f>
        <v>10.8</v>
      </c>
      <c r="N43" s="14">
        <f>IF('Données projet'!$A$36&gt;35,N42+M43-V42,IF(A43&lt;'Données projet'!$A$36,$K$205^A43,IF(A43='Données projet'!$A$36,'Données projet'!$B$36,N42+M43-V42)))</f>
        <v>213.00000000000003</v>
      </c>
      <c r="O43" s="14">
        <f>N43*VLOOKUP('Données projet'!$B$9,Paramètres!$A$1:$I$89,3,0)*VLOOKUP('Données projet'!$B$9,Paramètres!$A$1:$I$89,5,0)</f>
        <v>186.07680000000005</v>
      </c>
      <c r="P43" s="14">
        <f t="shared" si="33"/>
        <v>46.671538591528673</v>
      </c>
      <c r="Q43" s="22">
        <f t="shared" si="53"/>
        <v>405.37002304691242</v>
      </c>
      <c r="R43" s="62">
        <f t="shared" si="0"/>
        <v>698.70335638024574</v>
      </c>
      <c r="S43" s="62">
        <f ca="1">AVERAGE(OFFSET($R$3,0,0,'Données projet'!$E$9+1,1))-AVERAGE(OFFSET($H$3,0,0,'Données projet'!$E$9+1,1))</f>
        <v>253.73326067725128</v>
      </c>
      <c r="T43" s="62">
        <f t="shared" si="34"/>
        <v>317.76427047458026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39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3.7472468767544349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1.0879767397251976</v>
      </c>
      <c r="AC43" s="24">
        <f t="shared" si="3"/>
        <v>4.8352236164796327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182.91</v>
      </c>
      <c r="AK43" s="14">
        <f t="shared" si="35"/>
        <v>45.969002027971285</v>
      </c>
      <c r="AL43" s="22">
        <f t="shared" si="4"/>
        <v>398.63092853204995</v>
      </c>
      <c r="AM43" s="62">
        <f t="shared" si="5"/>
        <v>691.96426186538326</v>
      </c>
      <c r="AN43" s="62">
        <f ca="1">AVERAGE(OFFSET($AM$3,0,0,'Données projet'!$E$10+1,1))-AVERAGE(OFFSET($H$3,0,0,'Données projet'!$E$10+1,1))</f>
        <v>406.17572122067492</v>
      </c>
      <c r="AO43" s="62">
        <f t="shared" si="36"/>
        <v>244.4332618279085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639.59037499870362</v>
      </c>
      <c r="BI43" s="62">
        <f ca="1">AVERAGE(OFFSET($BH$3,0,0,'Données projet'!$E$11+1,1))-AVERAGE(OFFSET($H$3,0,0,'Données projet'!$E$11+1,1))</f>
        <v>344.49457749226184</v>
      </c>
      <c r="BJ43" s="62">
        <f t="shared" si="38"/>
        <v>207.92972431357452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264</v>
      </c>
      <c r="BW43" s="13">
        <f>VLOOKUP(A43,'Données projet'!$A$113:$I$133,9,0)</f>
        <v>14.4</v>
      </c>
      <c r="BX43" s="13">
        <f t="array" ref="BX43">INDEX(BW:BW,MIN(IF(ISNUMBER(BW43:BW239),ROW(BW43:BW239),"")))</f>
        <v>14.4</v>
      </c>
      <c r="BY43" s="13">
        <f>IF('Données projet'!$A$114&gt;35,BY42+BX43-CG42,IF(A43&lt;'Données projet'!$A$114,$BV$205^A43,IF(A43='Données projet'!$A$114,'Données projet'!$B$114,BY42+BX43-CG42)))</f>
        <v>264.00000000000006</v>
      </c>
      <c r="BZ43" s="14">
        <f>BY43*VLOOKUP('Données projet'!$B$12,Paramètres!$A$1:$I$89,3,0)*VLOOKUP('Données projet'!$B$12,Paramètres!$A$1:$I$89,5,0)</f>
        <v>157.87200000000004</v>
      </c>
      <c r="CA43" s="14">
        <f t="shared" si="39"/>
        <v>40.362165684361159</v>
      </c>
      <c r="CB43" s="22">
        <f t="shared" si="10"/>
        <v>345.25783856692902</v>
      </c>
      <c r="CC43" s="62">
        <f t="shared" si="11"/>
        <v>638.59117190026234</v>
      </c>
      <c r="CD43" s="62">
        <f ca="1">AVERAGE(OFFSET($CC$3,0,0,'Données projet'!$E$12+1,1))-AVERAGE(OFFSET($H$3,0,0,'Données projet'!$E$12+1,1))</f>
        <v>287.69656598881124</v>
      </c>
      <c r="CE43" s="62">
        <f t="shared" si="40"/>
        <v>221.9773436301067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41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6.5860346867759905</v>
      </c>
      <c r="CL43" s="23">
        <f>EXP(-LN(2)/25)*CL42+(1-EXP(-LN(2)/25))/(LN(2)/25)*Calculateur!CG43*Calculateur!CI43*VLOOKUP('Données projet'!$B$12,Paramètres!$A$1:$I$89,3,0)*0.475*44/12</f>
        <v>5.2399132105055832</v>
      </c>
      <c r="CM43" s="23">
        <f>EXP(-LN(2)/2)*CM42+(1-EXP(-LN(2)/2))/(LN(2)/2)*CG43*CJ43*VLOOKUP('Données projet'!$B$12,Paramètres!$A$1:$I$89,3,0)*0.475*44/12</f>
        <v>0.21268237707834226</v>
      </c>
      <c r="CN43" s="24">
        <f t="shared" si="12"/>
        <v>12.038630274359916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350</v>
      </c>
      <c r="CR43" s="13">
        <f>VLOOKUP(A43,'Données projet'!$A$139:$I$159,9,0)</f>
        <v>10</v>
      </c>
      <c r="CS43" s="13">
        <f t="array" ref="CS43">INDEX(CR:CR,MIN(IF(ISNUMBER(CR43:CR239),ROW(CR43:CR239),"")))</f>
        <v>10</v>
      </c>
      <c r="CT43" s="13">
        <f>IF('Données projet'!$A$140&gt;35,CT42+CS43-DB42,IF(A43&lt;'Données projet'!$A$140,$CQ$205^A43,IF(A43='Données projet'!$A$140,'Données projet'!$B$140,CT42+CS43-DB42)))</f>
        <v>349.99999999999989</v>
      </c>
      <c r="CU43" s="18">
        <f>CT43*VLOOKUP('Données projet'!$B$13,Paramètres!$A$1:$I$89,3,0)*VLOOKUP('Données projet'!$B$13,Paramètres!$A$1:$I$89,5,0)</f>
        <v>163.79999999999995</v>
      </c>
      <c r="CV43" s="14">
        <f t="shared" si="41"/>
        <v>41.698441627605291</v>
      </c>
      <c r="CW43" s="22">
        <f t="shared" si="13"/>
        <v>357.90978583474572</v>
      </c>
      <c r="CX43" s="62">
        <f t="shared" si="14"/>
        <v>651.24311916807903</v>
      </c>
      <c r="CY43" s="62">
        <f ca="1">AVERAGE(OFFSET($CX$3,0,0,'Données projet'!$E$13+1,1))-AVERAGE(OFFSET($H$3,0,0,'Données projet'!$E$13+1,1))</f>
        <v>310.95287409903602</v>
      </c>
      <c r="CZ43" s="62">
        <f t="shared" si="42"/>
        <v>224.10083380795163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88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183.80000000000004</v>
      </c>
      <c r="O44" s="14">
        <f>N44*VLOOKUP('Données projet'!$B$9,Paramètres!$A$1:$I$89,3,0)*VLOOKUP('Données projet'!$B$9,Paramètres!$A$1:$I$89,5,0)</f>
        <v>160.56768000000005</v>
      </c>
      <c r="P44" s="14">
        <f t="shared" si="33"/>
        <v>40.970530810309882</v>
      </c>
      <c r="Q44" s="22">
        <f t="shared" si="53"/>
        <v>351.0123838279564</v>
      </c>
      <c r="R44" s="62">
        <f t="shared" si="0"/>
        <v>644.34571716128971</v>
      </c>
      <c r="S44" s="62">
        <f ca="1">AVERAGE(OFFSET($R$3,0,0,'Données projet'!$E$9+1,1))-AVERAGE(OFFSET($H$3,0,0,'Données projet'!$E$9+1,1))</f>
        <v>253.73326067725128</v>
      </c>
      <c r="T44" s="62">
        <f t="shared" si="34"/>
        <v>317.76427047458026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3.6737656510961916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0.76931573043291868</v>
      </c>
      <c r="AC44" s="24">
        <f t="shared" si="3"/>
        <v>4.4430813815291099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165.55968000000001</v>
      </c>
      <c r="AK44" s="14">
        <f t="shared" si="35"/>
        <v>42.094012943270059</v>
      </c>
      <c r="AL44" s="22">
        <f t="shared" si="4"/>
        <v>361.66351520952873</v>
      </c>
      <c r="AM44" s="62">
        <f t="shared" si="5"/>
        <v>654.99684854286204</v>
      </c>
      <c r="AN44" s="62">
        <f ca="1">AVERAGE(OFFSET($AM$3,0,0,'Données projet'!$E$10+1,1))-AVERAGE(OFFSET($H$3,0,0,'Données projet'!$E$10+1,1))</f>
        <v>406.17572122067492</v>
      </c>
      <c r="AO44" s="62">
        <f t="shared" si="36"/>
        <v>244.4332618279085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607.48980829023799</v>
      </c>
      <c r="BI44" s="62">
        <f ca="1">AVERAGE(OFFSET($BH$3,0,0,'Données projet'!$E$11+1,1))-AVERAGE(OFFSET($H$3,0,0,'Données projet'!$E$11+1,1))</f>
        <v>344.49457749226184</v>
      </c>
      <c r="BJ44" s="62">
        <f t="shared" si="38"/>
        <v>207.92972431357452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16.600000000000001</v>
      </c>
      <c r="BY44" s="13">
        <f>IF('Données projet'!$A$114&gt;35,BY43+BX44-CG43,IF(A44&lt;'Données projet'!$A$114,$BV$205^A44,IF(A44='Données projet'!$A$114,'Données projet'!$B$114,BY43+BX44-CG43)))</f>
        <v>239.60000000000008</v>
      </c>
      <c r="BZ44" s="14">
        <f>BY44*VLOOKUP('Données projet'!$B$12,Paramètres!$A$1:$I$89,3,0)*VLOOKUP('Données projet'!$B$12,Paramètres!$A$1:$I$89,5,0)</f>
        <v>143.28080000000006</v>
      </c>
      <c r="CA44" s="14">
        <f t="shared" si="39"/>
        <v>37.047574465948976</v>
      </c>
      <c r="CB44" s="22">
        <f t="shared" si="10"/>
        <v>314.07191886152788</v>
      </c>
      <c r="CC44" s="62">
        <f t="shared" si="11"/>
        <v>607.40525219486119</v>
      </c>
      <c r="CD44" s="62">
        <f ca="1">AVERAGE(OFFSET($CC$3,0,0,'Données projet'!$E$12+1,1))-AVERAGE(OFFSET($H$3,0,0,'Données projet'!$E$12+1,1))</f>
        <v>287.69656598881124</v>
      </c>
      <c r="CE44" s="62">
        <f t="shared" si="40"/>
        <v>221.9773436301067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6.4568865636528177</v>
      </c>
      <c r="CL44" s="23">
        <f>EXP(-LN(2)/25)*CL43+(1-EXP(-LN(2)/25))/(LN(2)/25)*Calculateur!CG44*Calculateur!CI44*VLOOKUP('Données projet'!$B$12,Paramètres!$A$1:$I$89,3,0)*0.475*44/12</f>
        <v>5.0966275082092487</v>
      </c>
      <c r="CM44" s="23">
        <f>EXP(-LN(2)/2)*CM43+(1-EXP(-LN(2)/2))/(LN(2)/2)*CG44*CJ44*VLOOKUP('Données projet'!$B$12,Paramètres!$A$1:$I$89,3,0)*0.475*44/12</f>
        <v>0.15038915107097015</v>
      </c>
      <c r="CN44" s="24">
        <f t="shared" si="12"/>
        <v>11.703903222933036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11.5</v>
      </c>
      <c r="CT44" s="13">
        <f>IF('Données projet'!$A$140&gt;35,CT43+CS44-DB43,IF(A44&lt;'Données projet'!$A$140,$CQ$205^A44,IF(A44='Données projet'!$A$140,'Données projet'!$B$140,CT43+CS44-DB43)))</f>
        <v>273.49999999999989</v>
      </c>
      <c r="CU44" s="18">
        <f>CT44*VLOOKUP('Données projet'!$B$13,Paramètres!$A$1:$I$89,3,0)*VLOOKUP('Données projet'!$B$13,Paramètres!$A$1:$I$89,5,0)</f>
        <v>127.99799999999995</v>
      </c>
      <c r="CV44" s="14">
        <f t="shared" si="41"/>
        <v>33.533338894635314</v>
      </c>
      <c r="CW44" s="22">
        <f t="shared" si="13"/>
        <v>281.33374857482306</v>
      </c>
      <c r="CX44" s="62">
        <f t="shared" si="14"/>
        <v>574.66708190815643</v>
      </c>
      <c r="CY44" s="62">
        <f ca="1">AVERAGE(OFFSET($CX$3,0,0,'Données projet'!$E$13+1,1))-AVERAGE(OFFSET($H$3,0,0,'Données projet'!$E$13+1,1))</f>
        <v>310.95287409903602</v>
      </c>
      <c r="CZ44" s="62">
        <f t="shared" si="42"/>
        <v>224.10083380795163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193.60000000000005</v>
      </c>
      <c r="O45" s="14">
        <f>N45*VLOOKUP('Données projet'!$B$9,Paramètres!$A$1:$I$89,3,0)*VLOOKUP('Données projet'!$B$9,Paramètres!$A$1:$I$89,5,0)</f>
        <v>169.12896000000006</v>
      </c>
      <c r="P45" s="14">
        <f t="shared" si="33"/>
        <v>42.894881315146776</v>
      </c>
      <c r="Q45" s="22">
        <f t="shared" si="53"/>
        <v>369.27485695721407</v>
      </c>
      <c r="R45" s="62">
        <f t="shared" si="0"/>
        <v>662.60819029054733</v>
      </c>
      <c r="S45" s="62">
        <f ca="1">AVERAGE(OFFSET($R$3,0,0,'Données projet'!$E$9+1,1))-AVERAGE(OFFSET($H$3,0,0,'Données projet'!$E$9+1,1))</f>
        <v>253.73326067725128</v>
      </c>
      <c r="T45" s="62">
        <f t="shared" si="34"/>
        <v>317.76427047458026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3.6017253474539843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0.5439883698625988</v>
      </c>
      <c r="AC45" s="24">
        <f t="shared" si="3"/>
        <v>4.1457137173165828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177.47496000000004</v>
      </c>
      <c r="AK45" s="14">
        <f t="shared" si="35"/>
        <v>44.759950225815722</v>
      </c>
      <c r="AL45" s="22">
        <f t="shared" si="4"/>
        <v>387.05913530996241</v>
      </c>
      <c r="AM45" s="62">
        <f t="shared" si="5"/>
        <v>680.39246864329573</v>
      </c>
      <c r="AN45" s="62">
        <f ca="1">AVERAGE(OFFSET($AM$3,0,0,'Données projet'!$E$10+1,1))-AVERAGE(OFFSET($H$3,0,0,'Données projet'!$E$10+1,1))</f>
        <v>406.17572122067492</v>
      </c>
      <c r="AO45" s="62">
        <f t="shared" si="36"/>
        <v>244.4332618279085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629.54213565092948</v>
      </c>
      <c r="BI45" s="62">
        <f ca="1">AVERAGE(OFFSET($BH$3,0,0,'Données projet'!$E$11+1,1))-AVERAGE(OFFSET($H$3,0,0,'Données projet'!$E$11+1,1))</f>
        <v>344.49457749226184</v>
      </c>
      <c r="BJ45" s="62">
        <f t="shared" si="38"/>
        <v>207.92972431357452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16.600000000000001</v>
      </c>
      <c r="BY45" s="13">
        <f>IF('Données projet'!$A$114&gt;35,BY44+BX45-CG44,IF(A45&lt;'Données projet'!$A$114,$BV$205^A45,IF(A45='Données projet'!$A$114,'Données projet'!$B$114,BY44+BX45-CG44)))</f>
        <v>256.2000000000001</v>
      </c>
      <c r="BZ45" s="14">
        <f>BY45*VLOOKUP('Données projet'!$B$12,Paramètres!$A$1:$I$89,3,0)*VLOOKUP('Données projet'!$B$12,Paramètres!$A$1:$I$89,5,0)</f>
        <v>153.20760000000007</v>
      </c>
      <c r="CA45" s="14">
        <f t="shared" si="39"/>
        <v>39.306624169832133</v>
      </c>
      <c r="CB45" s="22">
        <f t="shared" si="10"/>
        <v>335.29560709579107</v>
      </c>
      <c r="CC45" s="62">
        <f t="shared" si="11"/>
        <v>628.62894042912444</v>
      </c>
      <c r="CD45" s="62">
        <f ca="1">AVERAGE(OFFSET($CC$3,0,0,'Données projet'!$E$12+1,1))-AVERAGE(OFFSET($H$3,0,0,'Données projet'!$E$12+1,1))</f>
        <v>287.69656598881124</v>
      </c>
      <c r="CE45" s="62">
        <f t="shared" si="40"/>
        <v>221.9773436301067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6.3302709564515141</v>
      </c>
      <c r="CL45" s="23">
        <f>EXP(-LN(2)/25)*CL44+(1-EXP(-LN(2)/25))/(LN(2)/25)*Calculateur!CG45*Calculateur!CI45*VLOOKUP('Données projet'!$B$12,Paramètres!$A$1:$I$89,3,0)*0.475*44/12</f>
        <v>4.9572599609772743</v>
      </c>
      <c r="CM45" s="23">
        <f>EXP(-LN(2)/2)*CM44+(1-EXP(-LN(2)/2))/(LN(2)/2)*CG45*CJ45*VLOOKUP('Données projet'!$B$12,Paramètres!$A$1:$I$89,3,0)*0.475*44/12</f>
        <v>0.10634118853917113</v>
      </c>
      <c r="CN45" s="24">
        <f t="shared" si="12"/>
        <v>11.39387210596796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11.5</v>
      </c>
      <c r="CT45" s="13">
        <f>IF('Données projet'!$A$140&gt;35,CT44+CS45-DB44,IF(A45&lt;'Données projet'!$A$140,$CQ$205^A45,IF(A45='Données projet'!$A$140,'Données projet'!$B$140,CT44+CS45-DB44)))</f>
        <v>284.99999999999989</v>
      </c>
      <c r="CU45" s="18">
        <f>CT45*VLOOKUP('Données projet'!$B$13,Paramètres!$A$1:$I$89,3,0)*VLOOKUP('Données projet'!$B$13,Paramètres!$A$1:$I$89,5,0)</f>
        <v>133.37999999999994</v>
      </c>
      <c r="CV45" s="14">
        <f t="shared" si="41"/>
        <v>34.776207535548991</v>
      </c>
      <c r="CW45" s="22">
        <f t="shared" si="13"/>
        <v>292.87206145774769</v>
      </c>
      <c r="CX45" s="62">
        <f t="shared" si="14"/>
        <v>586.20539479108106</v>
      </c>
      <c r="CY45" s="62">
        <f ca="1">AVERAGE(OFFSET($CX$3,0,0,'Données projet'!$E$13+1,1))-AVERAGE(OFFSET($H$3,0,0,'Données projet'!$E$13+1,1))</f>
        <v>310.95287409903602</v>
      </c>
      <c r="CZ45" s="62">
        <f t="shared" si="42"/>
        <v>224.10083380795163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203.40000000000006</v>
      </c>
      <c r="O46" s="14">
        <f>N46*VLOOKUP('Données projet'!$B$9,Paramètres!$A$1:$I$89,3,0)*VLOOKUP('Données projet'!$B$9,Paramètres!$A$1:$I$89,5,0)</f>
        <v>177.69024000000007</v>
      </c>
      <c r="P46" s="14">
        <f t="shared" si="33"/>
        <v>44.807921499827692</v>
      </c>
      <c r="Q46" s="22">
        <f t="shared" si="53"/>
        <v>387.5176312788667</v>
      </c>
      <c r="R46" s="62">
        <f t="shared" si="0"/>
        <v>680.85096461219996</v>
      </c>
      <c r="S46" s="62">
        <f ca="1">AVERAGE(OFFSET($R$3,0,0,'Données projet'!$E$9+1,1))-AVERAGE(OFFSET($H$3,0,0,'Données projet'!$E$9+1,1))</f>
        <v>253.73326067725128</v>
      </c>
      <c r="T46" s="62">
        <f t="shared" si="34"/>
        <v>317.76427047458026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3.531097710225954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0.38465786521645934</v>
      </c>
      <c r="AC46" s="24">
        <f t="shared" si="3"/>
        <v>3.9157555754424132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189.39024000000003</v>
      </c>
      <c r="AK46" s="14">
        <f t="shared" si="35"/>
        <v>47.405118363050697</v>
      </c>
      <c r="AL46" s="22">
        <f t="shared" si="4"/>
        <v>412.4185824823133</v>
      </c>
      <c r="AM46" s="62">
        <f t="shared" si="5"/>
        <v>705.75191581564661</v>
      </c>
      <c r="AN46" s="62">
        <f ca="1">AVERAGE(OFFSET($AM$3,0,0,'Données projet'!$E$10+1,1))-AVERAGE(OFFSET($H$3,0,0,'Données projet'!$E$10+1,1))</f>
        <v>406.17572122067492</v>
      </c>
      <c r="AO46" s="62">
        <f t="shared" si="36"/>
        <v>244.4332618279085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651.5626189141642</v>
      </c>
      <c r="BI46" s="62">
        <f ca="1">AVERAGE(OFFSET($BH$3,0,0,'Données projet'!$E$11+1,1))-AVERAGE(OFFSET($H$3,0,0,'Données projet'!$E$11+1,1))</f>
        <v>344.49457749226184</v>
      </c>
      <c r="BJ46" s="62">
        <f t="shared" si="38"/>
        <v>207.92972431357452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16.600000000000001</v>
      </c>
      <c r="BY46" s="13">
        <f>IF('Données projet'!$A$114&gt;35,BY45+BX46-CG45,IF(A46&lt;'Données projet'!$A$114,$BV$205^A46,IF(A46='Données projet'!$A$114,'Données projet'!$B$114,BY45+BX46-CG45)))</f>
        <v>272.80000000000013</v>
      </c>
      <c r="BZ46" s="14">
        <f>BY46*VLOOKUP('Données projet'!$B$12,Paramètres!$A$1:$I$89,3,0)*VLOOKUP('Données projet'!$B$12,Paramètres!$A$1:$I$89,5,0)</f>
        <v>163.13440000000008</v>
      </c>
      <c r="CA46" s="14">
        <f t="shared" si="39"/>
        <v>41.548687845426002</v>
      </c>
      <c r="CB46" s="22">
        <f t="shared" si="10"/>
        <v>356.48971133078379</v>
      </c>
      <c r="CC46" s="62">
        <f t="shared" si="11"/>
        <v>649.82304466411711</v>
      </c>
      <c r="CD46" s="62">
        <f ca="1">AVERAGE(OFFSET($CC$3,0,0,'Données projet'!$E$12+1,1))-AVERAGE(OFFSET($H$3,0,0,'Données projet'!$E$12+1,1))</f>
        <v>287.69656598881124</v>
      </c>
      <c r="CE46" s="62">
        <f t="shared" si="40"/>
        <v>221.9773436301067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6.206138204079533</v>
      </c>
      <c r="CL46" s="23">
        <f>EXP(-LN(2)/25)*CL45+(1-EXP(-LN(2)/25))/(LN(2)/25)*Calculateur!CG46*Calculateur!CI46*VLOOKUP('Données projet'!$B$12,Paramètres!$A$1:$I$89,3,0)*0.475*44/12</f>
        <v>4.8217034266533796</v>
      </c>
      <c r="CM46" s="23">
        <f>EXP(-LN(2)/2)*CM45+(1-EXP(-LN(2)/2))/(LN(2)/2)*CG46*CJ46*VLOOKUP('Données projet'!$B$12,Paramètres!$A$1:$I$89,3,0)*0.475*44/12</f>
        <v>7.5194575535485073E-2</v>
      </c>
      <c r="CN46" s="24">
        <f t="shared" si="12"/>
        <v>11.103036206268397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11.5</v>
      </c>
      <c r="CT46" s="13">
        <f>IF('Données projet'!$A$140&gt;35,CT45+CS46-DB45,IF(A46&lt;'Données projet'!$A$140,$CQ$205^A46,IF(A46='Données projet'!$A$140,'Données projet'!$B$140,CT45+CS46-DB45)))</f>
        <v>296.49999999999989</v>
      </c>
      <c r="CU46" s="18">
        <f>CT46*VLOOKUP('Données projet'!$B$13,Paramètres!$A$1:$I$89,3,0)*VLOOKUP('Données projet'!$B$13,Paramètres!$A$1:$I$89,5,0)</f>
        <v>138.76199999999994</v>
      </c>
      <c r="CV46" s="14">
        <f t="shared" si="41"/>
        <v>36.01325063671441</v>
      </c>
      <c r="CW46" s="22">
        <f t="shared" si="13"/>
        <v>304.4002281922775</v>
      </c>
      <c r="CX46" s="62">
        <f t="shared" si="14"/>
        <v>597.73356152561087</v>
      </c>
      <c r="CY46" s="62">
        <f ca="1">AVERAGE(OFFSET($CX$3,0,0,'Données projet'!$E$13+1,1))-AVERAGE(OFFSET($H$3,0,0,'Données projet'!$E$13+1,1))</f>
        <v>310.95287409903602</v>
      </c>
      <c r="CZ46" s="62">
        <f t="shared" si="42"/>
        <v>224.10083380795163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213.20000000000007</v>
      </c>
      <c r="O47" s="14">
        <f>N47*VLOOKUP('Données projet'!$B$9,Paramètres!$A$1:$I$89,3,0)*VLOOKUP('Données projet'!$B$9,Paramètres!$A$1:$I$89,5,0)</f>
        <v>186.25152000000008</v>
      </c>
      <c r="P47" s="14">
        <f t="shared" si="33"/>
        <v>46.71025851515671</v>
      </c>
      <c r="Q47" s="22">
        <f t="shared" si="53"/>
        <v>405.7417642472314</v>
      </c>
      <c r="R47" s="62">
        <f t="shared" si="0"/>
        <v>699.07509758056472</v>
      </c>
      <c r="S47" s="62">
        <f ca="1">AVERAGE(OFFSET($R$3,0,0,'Données projet'!$E$9+1,1))-AVERAGE(OFFSET($H$3,0,0,'Données projet'!$E$9+1,1))</f>
        <v>253.73326067725128</v>
      </c>
      <c r="T47" s="62">
        <f t="shared" si="34"/>
        <v>317.76427047458026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3.4618550378853605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0.2719941849312994</v>
      </c>
      <c r="AC47" s="24">
        <f t="shared" si="3"/>
        <v>3.73384922281666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201.30552000000006</v>
      </c>
      <c r="AK47" s="14">
        <f t="shared" si="35"/>
        <v>50.030972770730465</v>
      </c>
      <c r="AL47" s="22">
        <f t="shared" si="4"/>
        <v>437.74439157568901</v>
      </c>
      <c r="AM47" s="62">
        <f t="shared" si="5"/>
        <v>731.07772490902232</v>
      </c>
      <c r="AN47" s="62">
        <f ca="1">AVERAGE(OFFSET($AM$3,0,0,'Données projet'!$E$10+1,1))-AVERAGE(OFFSET($H$3,0,0,'Données projet'!$E$10+1,1))</f>
        <v>406.17572122067492</v>
      </c>
      <c r="AO47" s="62">
        <f t="shared" si="36"/>
        <v>244.4332618279085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673.55348958251295</v>
      </c>
      <c r="BI47" s="62">
        <f ca="1">AVERAGE(OFFSET($BH$3,0,0,'Données projet'!$E$11+1,1))-AVERAGE(OFFSET($H$3,0,0,'Données projet'!$E$11+1,1))</f>
        <v>344.49457749226184</v>
      </c>
      <c r="BJ47" s="62">
        <f t="shared" si="38"/>
        <v>207.92972431357452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16.600000000000001</v>
      </c>
      <c r="BY47" s="13">
        <f>IF('Données projet'!$A$114&gt;35,BY46+BX47-CG46,IF(A47&lt;'Données projet'!$A$114,$BV$205^A47,IF(A47='Données projet'!$A$114,'Données projet'!$B$114,BY46+BX47-CG46)))</f>
        <v>289.40000000000015</v>
      </c>
      <c r="BZ47" s="14">
        <f>BY47*VLOOKUP('Données projet'!$B$12,Paramètres!$A$1:$I$89,3,0)*VLOOKUP('Données projet'!$B$12,Paramètres!$A$1:$I$89,5,0)</f>
        <v>173.0612000000001</v>
      </c>
      <c r="CA47" s="14">
        <f t="shared" si="39"/>
        <v>43.774916798471111</v>
      </c>
      <c r="CB47" s="22">
        <f t="shared" si="10"/>
        <v>377.65623675733735</v>
      </c>
      <c r="CC47" s="62">
        <f t="shared" si="11"/>
        <v>670.98957009067067</v>
      </c>
      <c r="CD47" s="62">
        <f ca="1">AVERAGE(OFFSET($CC$3,0,0,'Données projet'!$E$12+1,1))-AVERAGE(OFFSET($H$3,0,0,'Données projet'!$E$12+1,1))</f>
        <v>287.69656598881124</v>
      </c>
      <c r="CE47" s="62">
        <f t="shared" si="40"/>
        <v>221.9773436301067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6.0844396192680632</v>
      </c>
      <c r="CL47" s="23">
        <f>EXP(-LN(2)/25)*CL46+(1-EXP(-LN(2)/25))/(LN(2)/25)*Calculateur!CG47*Calculateur!CI47*VLOOKUP('Données projet'!$B$12,Paramètres!$A$1:$I$89,3,0)*0.475*44/12</f>
        <v>4.6898536928891801</v>
      </c>
      <c r="CM47" s="23">
        <f>EXP(-LN(2)/2)*CM46+(1-EXP(-LN(2)/2))/(LN(2)/2)*CG47*CJ47*VLOOKUP('Données projet'!$B$12,Paramètres!$A$1:$I$89,3,0)*0.475*44/12</f>
        <v>5.3170594269585564E-2</v>
      </c>
      <c r="CN47" s="24">
        <f t="shared" si="12"/>
        <v>10.82746390642683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11.5</v>
      </c>
      <c r="CT47" s="13">
        <f>IF('Données projet'!$A$140&gt;35,CT46+CS47-DB46,IF(A47&lt;'Données projet'!$A$140,$CQ$205^A47,IF(A47='Données projet'!$A$140,'Données projet'!$B$140,CT46+CS47-DB46)))</f>
        <v>307.99999999999989</v>
      </c>
      <c r="CU47" s="18">
        <f>CT47*VLOOKUP('Données projet'!$B$13,Paramètres!$A$1:$I$89,3,0)*VLOOKUP('Données projet'!$B$13,Paramètres!$A$1:$I$89,5,0)</f>
        <v>144.14399999999995</v>
      </c>
      <c r="CV47" s="14">
        <f t="shared" si="41"/>
        <v>37.244720006976216</v>
      </c>
      <c r="CW47" s="22">
        <f t="shared" si="13"/>
        <v>315.91868734548348</v>
      </c>
      <c r="CX47" s="62">
        <f t="shared" si="14"/>
        <v>609.25202067881673</v>
      </c>
      <c r="CY47" s="62">
        <f ca="1">AVERAGE(OFFSET($CX$3,0,0,'Données projet'!$E$13+1,1))-AVERAGE(OFFSET($H$3,0,0,'Données projet'!$E$13+1,1))</f>
        <v>310.95287409903602</v>
      </c>
      <c r="CZ47" s="62">
        <f t="shared" si="42"/>
        <v>224.10083380795163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223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223.00000000000009</v>
      </c>
      <c r="O48" s="14">
        <f>N48*VLOOKUP('Données projet'!$B$9,Paramètres!$A$1:$I$89,3,0)*VLOOKUP('Données projet'!$B$9,Paramètres!$A$1:$I$89,5,0)</f>
        <v>194.81280000000012</v>
      </c>
      <c r="P48" s="14">
        <f t="shared" si="33"/>
        <v>48.602440540253902</v>
      </c>
      <c r="Q48" s="22">
        <f t="shared" si="53"/>
        <v>423.9482106076091</v>
      </c>
      <c r="R48" s="62">
        <f t="shared" si="0"/>
        <v>717.28154394094236</v>
      </c>
      <c r="S48" s="62">
        <f ca="1">AVERAGE(OFFSET($R$3,0,0,'Données projet'!$E$9+1,1))-AVERAGE(OFFSET($H$3,0,0,'Données projet'!$E$9+1,1))</f>
        <v>253.73326067725128</v>
      </c>
      <c r="T48" s="62">
        <f t="shared" si="34"/>
        <v>317.76427047458026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36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3.3939701721155062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0.19232893260822967</v>
      </c>
      <c r="AC48" s="24">
        <f t="shared" si="3"/>
        <v>3.5862991047237358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213.22080000000005</v>
      </c>
      <c r="AK48" s="14">
        <f t="shared" si="35"/>
        <v>52.638786839117614</v>
      </c>
      <c r="AL48" s="22">
        <f t="shared" si="4"/>
        <v>463.03878041146328</v>
      </c>
      <c r="AM48" s="62">
        <f t="shared" si="5"/>
        <v>756.37211374479659</v>
      </c>
      <c r="AN48" s="62">
        <f ca="1">AVERAGE(OFFSET($AM$3,0,0,'Données projet'!$E$10+1,1))-AVERAGE(OFFSET($H$3,0,0,'Données projet'!$E$10+1,1))</f>
        <v>406.17572122067492</v>
      </c>
      <c r="AO48" s="62">
        <f t="shared" si="36"/>
        <v>244.4332618279085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695.51670006966549</v>
      </c>
      <c r="BI48" s="62">
        <f ca="1">AVERAGE(OFFSET($BH$3,0,0,'Données projet'!$E$11+1,1))-AVERAGE(OFFSET($H$3,0,0,'Données projet'!$E$11+1,1))</f>
        <v>344.49457749226184</v>
      </c>
      <c r="BJ48" s="62">
        <f t="shared" si="38"/>
        <v>207.92972431357452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306</v>
      </c>
      <c r="BW48" s="13">
        <f>VLOOKUP(A48,'Données projet'!$A$113:$I$133,9,0)</f>
        <v>16.600000000000001</v>
      </c>
      <c r="BX48" s="13">
        <f t="array" ref="BX48">INDEX(BW:BW,MIN(IF(ISNUMBER(BW48:BW244),ROW(BW48:BW244),"")))</f>
        <v>16.600000000000001</v>
      </c>
      <c r="BY48" s="13">
        <f>IF('Données projet'!$A$114&gt;35,BY47+BX48-CG47,IF(A48&lt;'Données projet'!$A$114,$BV$205^A48,IF(A48='Données projet'!$A$114,'Données projet'!$B$114,BY47+BX48-CG47)))</f>
        <v>306.00000000000017</v>
      </c>
      <c r="BZ48" s="14">
        <f>BY48*VLOOKUP('Données projet'!$B$12,Paramètres!$A$1:$I$89,3,0)*VLOOKUP('Données projet'!$B$12,Paramètres!$A$1:$I$89,5,0)</f>
        <v>182.98800000000011</v>
      </c>
      <c r="CA48" s="14">
        <f t="shared" si="39"/>
        <v>45.986322796524874</v>
      </c>
      <c r="CB48" s="22">
        <f t="shared" si="10"/>
        <v>398.79694553728103</v>
      </c>
      <c r="CC48" s="62">
        <f t="shared" si="11"/>
        <v>692.13027887061435</v>
      </c>
      <c r="CD48" s="62">
        <f ca="1">AVERAGE(OFFSET($CC$3,0,0,'Données projet'!$E$12+1,1))-AVERAGE(OFFSET($H$3,0,0,'Données projet'!$E$12+1,1))</f>
        <v>287.69656598881124</v>
      </c>
      <c r="CE48" s="62">
        <f t="shared" si="40"/>
        <v>221.9773436301067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53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5.9651274694759397</v>
      </c>
      <c r="CL48" s="23">
        <f>EXP(-LN(2)/25)*CL47+(1-EXP(-LN(2)/25))/(LN(2)/25)*Calculateur!CG48*Calculateur!CI48*VLOOKUP('Données projet'!$B$12,Paramètres!$A$1:$I$89,3,0)*0.475*44/12</f>
        <v>4.5616093970284384</v>
      </c>
      <c r="CM48" s="23">
        <f>EXP(-LN(2)/2)*CM47+(1-EXP(-LN(2)/2))/(LN(2)/2)*CG48*CJ48*VLOOKUP('Données projet'!$B$12,Paramètres!$A$1:$I$89,3,0)*0.475*44/12</f>
        <v>3.7597287767742536E-2</v>
      </c>
      <c r="CN48" s="24">
        <f t="shared" si="12"/>
        <v>10.564334154272121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11.5</v>
      </c>
      <c r="CT48" s="13">
        <f>IF('Données projet'!$A$140&gt;35,CT47+CS48-DB47,IF(A48&lt;'Données projet'!$A$140,$CQ$205^A48,IF(A48='Données projet'!$A$140,'Données projet'!$B$140,CT47+CS48-DB47)))</f>
        <v>319.49999999999989</v>
      </c>
      <c r="CU48" s="18">
        <f>CT48*VLOOKUP('Données projet'!$B$13,Paramètres!$A$1:$I$89,3,0)*VLOOKUP('Données projet'!$B$13,Paramètres!$A$1:$I$89,5,0)</f>
        <v>149.52599999999995</v>
      </c>
      <c r="CV48" s="14">
        <f t="shared" si="41"/>
        <v>38.470847585964201</v>
      </c>
      <c r="CW48" s="22">
        <f t="shared" si="13"/>
        <v>327.42784287888759</v>
      </c>
      <c r="CX48" s="62">
        <f t="shared" si="14"/>
        <v>620.7611762122209</v>
      </c>
      <c r="CY48" s="62">
        <f ca="1">AVERAGE(OFFSET($CX$3,0,0,'Données projet'!$E$13+1,1))-AVERAGE(OFFSET($H$3,0,0,'Données projet'!$E$13+1,1))</f>
        <v>310.95287409903602</v>
      </c>
      <c r="CZ48" s="62">
        <f t="shared" si="42"/>
        <v>224.10083380795163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8.8000000000000007</v>
      </c>
      <c r="N49" s="14">
        <f>IF('Données projet'!$A$36&gt;35,N48+M49-V48,IF(A49&lt;'Données projet'!$A$36,$K$205^A49,IF(A49='Données projet'!$A$36,'Données projet'!$B$36,N48+M49-V48)))</f>
        <v>195.8000000000001</v>
      </c>
      <c r="O49" s="14">
        <f>N49*VLOOKUP('Données projet'!$B$9,Paramètres!$A$1:$I$89,3,0)*VLOOKUP('Données projet'!$B$9,Paramètres!$A$1:$I$89,5,0)</f>
        <v>171.05088000000012</v>
      </c>
      <c r="P49" s="14">
        <f t="shared" si="33"/>
        <v>43.325301264581704</v>
      </c>
      <c r="Q49" s="22">
        <f t="shared" si="53"/>
        <v>373.37184903581334</v>
      </c>
      <c r="R49" s="62">
        <f t="shared" si="0"/>
        <v>666.70518236914666</v>
      </c>
      <c r="S49" s="62">
        <f ca="1">AVERAGE(OFFSET($R$3,0,0,'Données projet'!$E$9+1,1))-AVERAGE(OFFSET($H$3,0,0,'Données projet'!$E$9+1,1))</f>
        <v>253.73326067725128</v>
      </c>
      <c r="T49" s="62">
        <f t="shared" si="34"/>
        <v>317.76427047458026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3.327416487157719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0.1359970924656497</v>
      </c>
      <c r="AC49" s="24">
        <f t="shared" si="3"/>
        <v>3.4634135796233685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195.45240000000004</v>
      </c>
      <c r="AK49" s="14">
        <f t="shared" si="35"/>
        <v>48.743408969320619</v>
      </c>
      <c r="AL49" s="22">
        <f t="shared" si="4"/>
        <v>425.30770062156677</v>
      </c>
      <c r="AM49" s="62">
        <f t="shared" si="5"/>
        <v>718.64103395490008</v>
      </c>
      <c r="AN49" s="62">
        <f ca="1">AVERAGE(OFFSET($AM$3,0,0,'Données projet'!$E$10+1,1))-AVERAGE(OFFSET($H$3,0,0,'Données projet'!$E$10+1,1))</f>
        <v>406.17572122067492</v>
      </c>
      <c r="AO49" s="62">
        <f t="shared" si="36"/>
        <v>244.4332618279085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662.75452844747883</v>
      </c>
      <c r="BI49" s="62">
        <f ca="1">AVERAGE(OFFSET($BH$3,0,0,'Données projet'!$E$11+1,1))-AVERAGE(OFFSET($H$3,0,0,'Données projet'!$E$11+1,1))</f>
        <v>344.49457749226184</v>
      </c>
      <c r="BJ49" s="62">
        <f t="shared" si="38"/>
        <v>207.92972431357452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17.399999999999999</v>
      </c>
      <c r="BY49" s="13">
        <f>IF('Données projet'!$A$114&gt;35,BY48+BX49-CG48,IF(A49&lt;'Données projet'!$A$114,$BV$205^A49,IF(A49='Données projet'!$A$114,'Données projet'!$B$114,BY48+BX49-CG48)))</f>
        <v>270.40000000000015</v>
      </c>
      <c r="BZ49" s="14">
        <f>BY49*VLOOKUP('Données projet'!$B$12,Paramètres!$A$1:$I$89,3,0)*VLOOKUP('Données projet'!$B$12,Paramètres!$A$1:$I$89,5,0)</f>
        <v>161.6992000000001</v>
      </c>
      <c r="CA49" s="14">
        <f t="shared" si="39"/>
        <v>41.225538754249229</v>
      </c>
      <c r="CB49" s="22">
        <f t="shared" si="10"/>
        <v>353.42725333031763</v>
      </c>
      <c r="CC49" s="62">
        <f t="shared" si="11"/>
        <v>646.76058666365088</v>
      </c>
      <c r="CD49" s="62">
        <f ca="1">AVERAGE(OFFSET($CC$3,0,0,'Données projet'!$E$12+1,1))-AVERAGE(OFFSET($H$3,0,0,'Données projet'!$E$12+1,1))</f>
        <v>287.69656598881124</v>
      </c>
      <c r="CE49" s="62">
        <f t="shared" si="40"/>
        <v>221.9773436301067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5.8481549581680143</v>
      </c>
      <c r="CL49" s="23">
        <f>EXP(-LN(2)/25)*CL48+(1-EXP(-LN(2)/25))/(LN(2)/25)*Calculateur!CG49*Calculateur!CI49*VLOOKUP('Données projet'!$B$12,Paramètres!$A$1:$I$89,3,0)*0.475*44/12</f>
        <v>4.4368719481820831</v>
      </c>
      <c r="CM49" s="23">
        <f>EXP(-LN(2)/2)*CM48+(1-EXP(-LN(2)/2))/(LN(2)/2)*CG49*CJ49*VLOOKUP('Données projet'!$B$12,Paramètres!$A$1:$I$89,3,0)*0.475*44/12</f>
        <v>2.6585297134792782E-2</v>
      </c>
      <c r="CN49" s="24">
        <f t="shared" si="12"/>
        <v>10.31161220348489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11.5</v>
      </c>
      <c r="CT49" s="13">
        <f>IF('Données projet'!$A$140&gt;35,CT48+CS49-DB48,IF(A49&lt;'Données projet'!$A$140,$CQ$205^A49,IF(A49='Données projet'!$A$140,'Données projet'!$B$140,CT48+CS49-DB48)))</f>
        <v>330.99999999999989</v>
      </c>
      <c r="CU49" s="18">
        <f>CT49*VLOOKUP('Données projet'!$B$13,Paramètres!$A$1:$I$89,3,0)*VLOOKUP('Données projet'!$B$13,Paramètres!$A$1:$I$89,5,0)</f>
        <v>154.90799999999996</v>
      </c>
      <c r="CV49" s="14">
        <f t="shared" si="41"/>
        <v>39.691847670151873</v>
      </c>
      <c r="CW49" s="22">
        <f t="shared" si="13"/>
        <v>338.92806802551439</v>
      </c>
      <c r="CX49" s="62">
        <f t="shared" si="14"/>
        <v>632.26140135884771</v>
      </c>
      <c r="CY49" s="62">
        <f ca="1">AVERAGE(OFFSET($CX$3,0,0,'Données projet'!$E$13+1,1))-AVERAGE(OFFSET($H$3,0,0,'Données projet'!$E$13+1,1))</f>
        <v>310.95287409903602</v>
      </c>
      <c r="CZ49" s="62">
        <f t="shared" si="42"/>
        <v>224.10083380795163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8.8000000000000007</v>
      </c>
      <c r="N50" s="14">
        <f>IF('Données projet'!$A$36&gt;35,N49+M50-V49,IF(A50&lt;'Données projet'!$A$36,$K$205^A50,IF(A50='Données projet'!$A$36,'Données projet'!$B$36,N49+M50-V49)))</f>
        <v>204.60000000000011</v>
      </c>
      <c r="O50" s="14">
        <f>N50*VLOOKUP('Données projet'!$B$9,Paramètres!$A$1:$I$89,3,0)*VLOOKUP('Données projet'!$B$9,Paramètres!$A$1:$I$89,5,0)</f>
        <v>178.73856000000012</v>
      </c>
      <c r="P50" s="14">
        <f t="shared" si="33"/>
        <v>45.041424241265368</v>
      </c>
      <c r="Q50" s="22">
        <f t="shared" si="53"/>
        <v>389.75013922020406</v>
      </c>
      <c r="R50" s="62">
        <f t="shared" si="0"/>
        <v>683.08347255353738</v>
      </c>
      <c r="S50" s="62">
        <f ca="1">AVERAGE(OFFSET($R$3,0,0,'Données projet'!$E$9+1,1))-AVERAGE(OFFSET($H$3,0,0,'Données projet'!$E$9+1,1))</f>
        <v>253.73326067725128</v>
      </c>
      <c r="T50" s="62">
        <f t="shared" si="34"/>
        <v>317.76427047458026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3.2621678793682145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9.6164466304114835E-2</v>
      </c>
      <c r="AC50" s="24">
        <f t="shared" si="3"/>
        <v>3.3583323456723293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206.94960000000003</v>
      </c>
      <c r="AK50" s="14">
        <f t="shared" si="35"/>
        <v>51.268429949375587</v>
      </c>
      <c r="AL50" s="22">
        <f t="shared" si="4"/>
        <v>449.72973549516246</v>
      </c>
      <c r="AM50" s="62">
        <f t="shared" si="5"/>
        <v>743.06306882849572</v>
      </c>
      <c r="AN50" s="62">
        <f ca="1">AVERAGE(OFFSET($AM$3,0,0,'Données projet'!$E$10+1,1))-AVERAGE(OFFSET($H$3,0,0,'Données projet'!$E$10+1,1))</f>
        <v>406.17572122067492</v>
      </c>
      <c r="AO50" s="62">
        <f t="shared" si="36"/>
        <v>244.4332618279085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683.96045320765325</v>
      </c>
      <c r="BI50" s="62">
        <f ca="1">AVERAGE(OFFSET($BH$3,0,0,'Données projet'!$E$11+1,1))-AVERAGE(OFFSET($H$3,0,0,'Données projet'!$E$11+1,1))</f>
        <v>344.49457749226184</v>
      </c>
      <c r="BJ50" s="62">
        <f t="shared" si="38"/>
        <v>207.92972431357452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17.399999999999999</v>
      </c>
      <c r="BY50" s="13">
        <f>IF('Données projet'!$A$114&gt;35,BY49+BX50-CG49,IF(A50&lt;'Données projet'!$A$114,$BV$205^A50,IF(A50='Données projet'!$A$114,'Données projet'!$B$114,BY49+BX50-CG49)))</f>
        <v>287.80000000000013</v>
      </c>
      <c r="BZ50" s="14">
        <f>BY50*VLOOKUP('Données projet'!$B$12,Paramètres!$A$1:$I$89,3,0)*VLOOKUP('Données projet'!$B$12,Paramètres!$A$1:$I$89,5,0)</f>
        <v>172.10440000000008</v>
      </c>
      <c r="CA50" s="14">
        <f t="shared" si="39"/>
        <v>43.561001176960559</v>
      </c>
      <c r="CB50" s="22">
        <f t="shared" si="10"/>
        <v>375.61724038320648</v>
      </c>
      <c r="CC50" s="62">
        <f t="shared" si="11"/>
        <v>668.95057371653979</v>
      </c>
      <c r="CD50" s="62">
        <f ca="1">AVERAGE(OFFSET($CC$3,0,0,'Données projet'!$E$12+1,1))-AVERAGE(OFFSET($H$3,0,0,'Données projet'!$E$12+1,1))</f>
        <v>287.69656598881124</v>
      </c>
      <c r="CE50" s="62">
        <f t="shared" si="40"/>
        <v>221.9773436301067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5.7334762064606499</v>
      </c>
      <c r="CL50" s="23">
        <f>EXP(-LN(2)/25)*CL49+(1-EXP(-LN(2)/25))/(LN(2)/25)*Calculateur!CG50*Calculateur!CI50*VLOOKUP('Données projet'!$B$12,Paramètres!$A$1:$I$89,3,0)*0.475*44/12</f>
        <v>4.3155454514340885</v>
      </c>
      <c r="CM50" s="23">
        <f>EXP(-LN(2)/2)*CM49+(1-EXP(-LN(2)/2))/(LN(2)/2)*CG50*CJ50*VLOOKUP('Données projet'!$B$12,Paramètres!$A$1:$I$89,3,0)*0.475*44/12</f>
        <v>1.8798643883871268E-2</v>
      </c>
      <c r="CN50" s="24">
        <f t="shared" si="12"/>
        <v>10.067820301778609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11.5</v>
      </c>
      <c r="CT50" s="13">
        <f>IF('Données projet'!$A$140&gt;35,CT49+CS50-DB49,IF(A50&lt;'Données projet'!$A$140,$CQ$205^A50,IF(A50='Données projet'!$A$140,'Données projet'!$B$140,CT49+CS50-DB49)))</f>
        <v>342.49999999999989</v>
      </c>
      <c r="CU50" s="18">
        <f>CT50*VLOOKUP('Données projet'!$B$13,Paramètres!$A$1:$I$89,3,0)*VLOOKUP('Données projet'!$B$13,Paramètres!$A$1:$I$89,5,0)</f>
        <v>160.28999999999994</v>
      </c>
      <c r="CV50" s="14">
        <f t="shared" si="41"/>
        <v>40.907918820862015</v>
      </c>
      <c r="CW50" s="22">
        <f t="shared" si="13"/>
        <v>350.41970861300121</v>
      </c>
      <c r="CX50" s="62">
        <f t="shared" si="14"/>
        <v>643.75304194633452</v>
      </c>
      <c r="CY50" s="62">
        <f ca="1">AVERAGE(OFFSET($CX$3,0,0,'Données projet'!$E$13+1,1))-AVERAGE(OFFSET($H$3,0,0,'Données projet'!$E$13+1,1))</f>
        <v>310.95287409903602</v>
      </c>
      <c r="CZ50" s="62">
        <f t="shared" si="42"/>
        <v>224.10083380795163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8.8000000000000007</v>
      </c>
      <c r="N51" s="14">
        <f>IF('Données projet'!$A$36&gt;35,N50+M51-V50,IF(A51&lt;'Données projet'!$A$36,$K$205^A51,IF(A51='Données projet'!$A$36,'Données projet'!$B$36,N50+M51-V50)))</f>
        <v>213.40000000000012</v>
      </c>
      <c r="O51" s="14">
        <f>N51*VLOOKUP('Données projet'!$B$9,Paramètres!$A$1:$I$89,3,0)*VLOOKUP('Données projet'!$B$9,Paramètres!$A$1:$I$89,5,0)</f>
        <v>186.42624000000012</v>
      </c>
      <c r="P51" s="14">
        <f t="shared" si="33"/>
        <v>46.748974211060826</v>
      </c>
      <c r="Q51" s="22">
        <f t="shared" si="53"/>
        <v>406.11349808426445</v>
      </c>
      <c r="R51" s="62">
        <f t="shared" si="0"/>
        <v>699.44683141759776</v>
      </c>
      <c r="S51" s="62">
        <f ca="1">AVERAGE(OFFSET($R$3,0,0,'Données projet'!$E$9+1,1))-AVERAGE(OFFSET($H$3,0,0,'Données projet'!$E$9+1,1))</f>
        <v>253.73326067725128</v>
      </c>
      <c r="T51" s="62">
        <f t="shared" si="34"/>
        <v>317.76427047458026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3.1981987569797412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6.799854623282485E-2</v>
      </c>
      <c r="AC51" s="24">
        <f t="shared" si="3"/>
        <v>3.2661973032125662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218.44680000000005</v>
      </c>
      <c r="AK51" s="14">
        <f t="shared" si="35"/>
        <v>53.777166299799873</v>
      </c>
      <c r="AL51" s="22">
        <f t="shared" si="4"/>
        <v>474.12340797215148</v>
      </c>
      <c r="AM51" s="62">
        <f t="shared" si="5"/>
        <v>767.4567413054848</v>
      </c>
      <c r="AN51" s="62">
        <f ca="1">AVERAGE(OFFSET($AM$3,0,0,'Données projet'!$E$10+1,1))-AVERAGE(OFFSET($H$3,0,0,'Données projet'!$E$10+1,1))</f>
        <v>406.17572122067492</v>
      </c>
      <c r="AO51" s="62">
        <f t="shared" si="36"/>
        <v>244.4332618279085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705.14140971202096</v>
      </c>
      <c r="BI51" s="62">
        <f ca="1">AVERAGE(OFFSET($BH$3,0,0,'Données projet'!$E$11+1,1))-AVERAGE(OFFSET($H$3,0,0,'Données projet'!$E$11+1,1))</f>
        <v>344.49457749226184</v>
      </c>
      <c r="BJ51" s="62">
        <f t="shared" si="38"/>
        <v>207.92972431357452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17.399999999999999</v>
      </c>
      <c r="BY51" s="13">
        <f>IF('Données projet'!$A$114&gt;35,BY50+BX51-CG50,IF(A51&lt;'Données projet'!$A$114,$BV$205^A51,IF(A51='Données projet'!$A$114,'Données projet'!$B$114,BY50+BX51-CG50)))</f>
        <v>305.2000000000001</v>
      </c>
      <c r="BZ51" s="14">
        <f>BY51*VLOOKUP('Données projet'!$B$12,Paramètres!$A$1:$I$89,3,0)*VLOOKUP('Données projet'!$B$12,Paramètres!$A$1:$I$89,5,0)</f>
        <v>182.50960000000006</v>
      </c>
      <c r="CA51" s="14">
        <f t="shared" si="39"/>
        <v>45.880075205637056</v>
      </c>
      <c r="CB51" s="22">
        <f t="shared" si="10"/>
        <v>397.77868431648454</v>
      </c>
      <c r="CC51" s="62">
        <f t="shared" si="11"/>
        <v>691.11201764981786</v>
      </c>
      <c r="CD51" s="62">
        <f ca="1">AVERAGE(OFFSET($CC$3,0,0,'Données projet'!$E$12+1,1))-AVERAGE(OFFSET($H$3,0,0,'Données projet'!$E$12+1,1))</f>
        <v>287.69656598881124</v>
      </c>
      <c r="CE51" s="62">
        <f t="shared" si="40"/>
        <v>221.9773436301067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5.6210462351271353</v>
      </c>
      <c r="CL51" s="23">
        <f>EXP(-LN(2)/25)*CL50+(1-EXP(-LN(2)/25))/(LN(2)/25)*Calculateur!CG51*Calculateur!CI51*VLOOKUP('Données projet'!$B$12,Paramètres!$A$1:$I$89,3,0)*0.475*44/12</f>
        <v>4.1975366341199516</v>
      </c>
      <c r="CM51" s="23">
        <f>EXP(-LN(2)/2)*CM50+(1-EXP(-LN(2)/2))/(LN(2)/2)*CG51*CJ51*VLOOKUP('Données projet'!$B$12,Paramètres!$A$1:$I$89,3,0)*0.475*44/12</f>
        <v>1.3292648567396391E-2</v>
      </c>
      <c r="CN51" s="24">
        <f t="shared" si="12"/>
        <v>9.8318755178144848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11.5</v>
      </c>
      <c r="CT51" s="13">
        <f>IF('Données projet'!$A$140&gt;35,CT50+CS51-DB50,IF(A51&lt;'Données projet'!$A$140,$CQ$205^A51,IF(A51='Données projet'!$A$140,'Données projet'!$B$140,CT50+CS51-DB50)))</f>
        <v>353.99999999999989</v>
      </c>
      <c r="CU51" s="18">
        <f>CT51*VLOOKUP('Données projet'!$B$13,Paramètres!$A$1:$I$89,3,0)*VLOOKUP('Données projet'!$B$13,Paramètres!$A$1:$I$89,5,0)</f>
        <v>165.67199999999994</v>
      </c>
      <c r="CV51" s="14">
        <f t="shared" si="41"/>
        <v>42.119245508815517</v>
      </c>
      <c r="CW51" s="22">
        <f t="shared" si="13"/>
        <v>361.90308592785351</v>
      </c>
      <c r="CX51" s="62">
        <f t="shared" si="14"/>
        <v>655.23641926118682</v>
      </c>
      <c r="CY51" s="62">
        <f ca="1">AVERAGE(OFFSET($CX$3,0,0,'Données projet'!$E$13+1,1))-AVERAGE(OFFSET($H$3,0,0,'Données projet'!$E$13+1,1))</f>
        <v>310.95287409903602</v>
      </c>
      <c r="CZ51" s="62">
        <f t="shared" si="42"/>
        <v>224.10083380795163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8.8000000000000007</v>
      </c>
      <c r="N52" s="14">
        <f>IF('Données projet'!$A$36&gt;35,N51+M52-V51,IF(A52&lt;'Données projet'!$A$36,$K$205^A52,IF(A52='Données projet'!$A$36,'Données projet'!$B$36,N51+M52-V51)))</f>
        <v>222.20000000000013</v>
      </c>
      <c r="O52" s="14">
        <f>N52*VLOOKUP('Données projet'!$B$9,Paramètres!$A$1:$I$89,3,0)*VLOOKUP('Données projet'!$B$9,Paramètres!$A$1:$I$89,5,0)</f>
        <v>194.11392000000015</v>
      </c>
      <c r="P52" s="14">
        <f t="shared" si="33"/>
        <v>48.448345132424009</v>
      </c>
      <c r="Q52" s="22">
        <f t="shared" si="53"/>
        <v>422.46261177230537</v>
      </c>
      <c r="R52" s="62">
        <f t="shared" si="0"/>
        <v>715.79594510563868</v>
      </c>
      <c r="S52" s="62">
        <f ca="1">AVERAGE(OFFSET($R$3,0,0,'Données projet'!$E$9+1,1))-AVERAGE(OFFSET($H$3,0,0,'Données projet'!$E$9+1,1))</f>
        <v>253.73326067725128</v>
      </c>
      <c r="T52" s="62">
        <f t="shared" si="34"/>
        <v>317.76427047458026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3.1354840300639939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4.8082233152057417E-2</v>
      </c>
      <c r="AC52" s="24">
        <f t="shared" si="3"/>
        <v>3.1835662632160515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229.94400000000007</v>
      </c>
      <c r="AK52" s="14">
        <f t="shared" si="35"/>
        <v>56.270572850262418</v>
      </c>
      <c r="AL52" s="22">
        <f t="shared" si="4"/>
        <v>498.49038104754044</v>
      </c>
      <c r="AM52" s="62">
        <f t="shared" si="5"/>
        <v>791.82371438087375</v>
      </c>
      <c r="AN52" s="62">
        <f ca="1">AVERAGE(OFFSET($AM$3,0,0,'Données projet'!$E$10+1,1))-AVERAGE(OFFSET($H$3,0,0,'Données projet'!$E$10+1,1))</f>
        <v>406.17572122067492</v>
      </c>
      <c r="AO52" s="62">
        <f t="shared" si="36"/>
        <v>244.4332618279085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726.29886194422556</v>
      </c>
      <c r="BI52" s="62">
        <f ca="1">AVERAGE(OFFSET($BH$3,0,0,'Données projet'!$E$11+1,1))-AVERAGE(OFFSET($H$3,0,0,'Données projet'!$E$11+1,1))</f>
        <v>344.49457749226184</v>
      </c>
      <c r="BJ52" s="62">
        <f t="shared" si="38"/>
        <v>207.92972431357452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17.399999999999999</v>
      </c>
      <c r="BY52" s="13">
        <f>IF('Données projet'!$A$114&gt;35,BY51+BX52-CG51,IF(A52&lt;'Données projet'!$A$114,$BV$205^A52,IF(A52='Données projet'!$A$114,'Données projet'!$B$114,BY51+BX52-CG51)))</f>
        <v>322.60000000000008</v>
      </c>
      <c r="BZ52" s="14">
        <f>BY52*VLOOKUP('Données projet'!$B$12,Paramètres!$A$1:$I$89,3,0)*VLOOKUP('Données projet'!$B$12,Paramètres!$A$1:$I$89,5,0)</f>
        <v>192.91480000000007</v>
      </c>
      <c r="CA52" s="14">
        <f t="shared" si="39"/>
        <v>48.18380163388656</v>
      </c>
      <c r="CB52" s="22">
        <f t="shared" si="10"/>
        <v>419.91339784568589</v>
      </c>
      <c r="CC52" s="62">
        <f t="shared" si="11"/>
        <v>713.24673117901921</v>
      </c>
      <c r="CD52" s="62">
        <f ca="1">AVERAGE(OFFSET($CC$3,0,0,'Données projet'!$E$12+1,1))-AVERAGE(OFFSET($H$3,0,0,'Données projet'!$E$12+1,1))</f>
        <v>287.69656598881124</v>
      </c>
      <c r="CE52" s="62">
        <f t="shared" si="40"/>
        <v>221.9773436301067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5.5108209469559597</v>
      </c>
      <c r="CL52" s="23">
        <f>EXP(-LN(2)/25)*CL51+(1-EXP(-LN(2)/25))/(LN(2)/25)*Calculateur!CG52*Calculateur!CI52*VLOOKUP('Données projet'!$B$12,Paramètres!$A$1:$I$89,3,0)*0.475*44/12</f>
        <v>4.0827547741210832</v>
      </c>
      <c r="CM52" s="23">
        <f>EXP(-LN(2)/2)*CM51+(1-EXP(-LN(2)/2))/(LN(2)/2)*CG52*CJ52*VLOOKUP('Données projet'!$B$12,Paramètres!$A$1:$I$89,3,0)*0.475*44/12</f>
        <v>9.3993219419356341E-3</v>
      </c>
      <c r="CN52" s="24">
        <f t="shared" si="12"/>
        <v>9.6029750430189793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11.5</v>
      </c>
      <c r="CT52" s="13">
        <f>IF('Données projet'!$A$140&gt;35,CT51+CS52-DB51,IF(A52&lt;'Données projet'!$A$140,$CQ$205^A52,IF(A52='Données projet'!$A$140,'Données projet'!$B$140,CT51+CS52-DB51)))</f>
        <v>365.49999999999989</v>
      </c>
      <c r="CU52" s="18">
        <f>CT52*VLOOKUP('Données projet'!$B$13,Paramètres!$A$1:$I$89,3,0)*VLOOKUP('Données projet'!$B$13,Paramètres!$A$1:$I$89,5,0)</f>
        <v>171.05399999999995</v>
      </c>
      <c r="CV52" s="14">
        <f t="shared" si="41"/>
        <v>43.32599953897904</v>
      </c>
      <c r="CW52" s="22">
        <f t="shared" si="13"/>
        <v>373.37849919705508</v>
      </c>
      <c r="CX52" s="62">
        <f t="shared" si="14"/>
        <v>666.71183253038839</v>
      </c>
      <c r="CY52" s="62">
        <f ca="1">AVERAGE(OFFSET($CX$3,0,0,'Données projet'!$E$13+1,1))-AVERAGE(OFFSET($H$3,0,0,'Données projet'!$E$13+1,1))</f>
        <v>310.95287409903602</v>
      </c>
      <c r="CZ52" s="62">
        <f t="shared" si="42"/>
        <v>224.10083380795163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8.8000000000000007</v>
      </c>
      <c r="M53" s="13">
        <f t="array" ref="M53">INDEX(L:L,MIN(IF(ISNUMBER(L53:L249),ROW(L53:L249),"")))</f>
        <v>8.8000000000000007</v>
      </c>
      <c r="N53" s="14">
        <f>IF('Données projet'!$A$36&gt;35,N52+M53-V52,IF(A53&lt;'Données projet'!$A$36,$K$205^A53,IF(A53='Données projet'!$A$36,'Données projet'!$B$36,N52+M53-V52)))</f>
        <v>231.00000000000014</v>
      </c>
      <c r="O53" s="14">
        <f>N53*VLOOKUP('Données projet'!$B$9,Paramètres!$A$1:$I$89,3,0)*VLOOKUP('Données projet'!$B$9,Paramètres!$A$1:$I$89,5,0)</f>
        <v>201.80160000000015</v>
      </c>
      <c r="P53" s="14">
        <f t="shared" si="33"/>
        <v>50.139897992681711</v>
      </c>
      <c r="Q53" s="22">
        <f t="shared" si="53"/>
        <v>438.7981090039209</v>
      </c>
      <c r="R53" s="62">
        <f t="shared" si="0"/>
        <v>732.13144233725416</v>
      </c>
      <c r="S53" s="62">
        <f ca="1">AVERAGE(OFFSET($R$3,0,0,'Données projet'!$E$9+1,1))-AVERAGE(OFFSET($H$3,0,0,'Données projet'!$E$9+1,1))</f>
        <v>253.73326067725128</v>
      </c>
      <c r="T53" s="62">
        <f t="shared" si="34"/>
        <v>317.76427047458026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3.073999100690858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3.3999273116412425E-2</v>
      </c>
      <c r="AC53" s="24">
        <f t="shared" si="3"/>
        <v>3.1079983738072703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241.44120000000007</v>
      </c>
      <c r="AK53" s="14">
        <f t="shared" si="35"/>
        <v>58.749503553680732</v>
      </c>
      <c r="AL53" s="22">
        <f t="shared" si="4"/>
        <v>522.83214202266072</v>
      </c>
      <c r="AM53" s="62">
        <f t="shared" si="5"/>
        <v>816.16547535599398</v>
      </c>
      <c r="AN53" s="62">
        <f ca="1">AVERAGE(OFFSET($AM$3,0,0,'Données projet'!$E$10+1,1))-AVERAGE(OFFSET($H$3,0,0,'Données projet'!$E$10+1,1))</f>
        <v>406.17572122067492</v>
      </c>
      <c r="AO53" s="62">
        <f t="shared" si="36"/>
        <v>244.4332618279085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747.43411921957727</v>
      </c>
      <c r="BI53" s="62">
        <f ca="1">AVERAGE(OFFSET($BH$3,0,0,'Données projet'!$E$11+1,1))-AVERAGE(OFFSET($H$3,0,0,'Données projet'!$E$11+1,1))</f>
        <v>344.49457749226184</v>
      </c>
      <c r="BJ53" s="62">
        <f t="shared" si="38"/>
        <v>207.92972431357452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340</v>
      </c>
      <c r="BW53" s="13">
        <f>VLOOKUP(A53,'Données projet'!$A$113:$I$133,9,0)</f>
        <v>17.399999999999999</v>
      </c>
      <c r="BX53" s="13">
        <f t="array" ref="BX53">INDEX(BW:BW,MIN(IF(ISNUMBER(BW53:BW249),ROW(BW53:BW249),"")))</f>
        <v>17.399999999999999</v>
      </c>
      <c r="BY53" s="13">
        <f>IF('Données projet'!$A$114&gt;35,BY52+BX53-CG52,IF(A53&lt;'Données projet'!$A$114,$BV$205^A53,IF(A53='Données projet'!$A$114,'Données projet'!$B$114,BY52+BX53-CG52)))</f>
        <v>340.00000000000006</v>
      </c>
      <c r="BZ53" s="14">
        <f>BY53*VLOOKUP('Données projet'!$B$12,Paramètres!$A$1:$I$89,3,0)*VLOOKUP('Données projet'!$B$12,Paramètres!$A$1:$I$89,5,0)</f>
        <v>203.32000000000005</v>
      </c>
      <c r="CA53" s="14">
        <f t="shared" si="39"/>
        <v>50.473102640215579</v>
      </c>
      <c r="CB53" s="22">
        <f t="shared" si="10"/>
        <v>442.02298709837555</v>
      </c>
      <c r="CC53" s="62">
        <f t="shared" si="11"/>
        <v>735.35632043170881</v>
      </c>
      <c r="CD53" s="62">
        <f ca="1">AVERAGE(OFFSET($CC$3,0,0,'Données projet'!$E$12+1,1))-AVERAGE(OFFSET($H$3,0,0,'Données projet'!$E$12+1,1))</f>
        <v>287.69656598881124</v>
      </c>
      <c r="CE53" s="62">
        <f t="shared" si="40"/>
        <v>221.9773436301067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53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5.4027571094550328</v>
      </c>
      <c r="CL53" s="23">
        <f>EXP(-LN(2)/25)*CL52+(1-EXP(-LN(2)/25))/(LN(2)/25)*Calculateur!CG53*Calculateur!CI53*VLOOKUP('Données projet'!$B$12,Paramètres!$A$1:$I$89,3,0)*0.475*44/12</f>
        <v>3.9711116301199998</v>
      </c>
      <c r="CM53" s="23">
        <f>EXP(-LN(2)/2)*CM52+(1-EXP(-LN(2)/2))/(LN(2)/2)*CG53*CJ53*VLOOKUP('Données projet'!$B$12,Paramètres!$A$1:$I$89,3,0)*0.475*44/12</f>
        <v>6.6463242836981955E-3</v>
      </c>
      <c r="CN53" s="24">
        <f t="shared" si="12"/>
        <v>9.3805150638587307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377</v>
      </c>
      <c r="CR53" s="13">
        <f>VLOOKUP(A53,'Données projet'!$A$139:$I$159,9,0)</f>
        <v>11.5</v>
      </c>
      <c r="CS53" s="13">
        <f t="array" ref="CS53">INDEX(CR:CR,MIN(IF(ISNUMBER(CR53:CR249),ROW(CR53:CR249),"")))</f>
        <v>11.5</v>
      </c>
      <c r="CT53" s="13">
        <f>IF('Données projet'!$A$140&gt;35,CT52+CS53-DB52,IF(A53&lt;'Données projet'!$A$140,$CQ$205^A53,IF(A53='Données projet'!$A$140,'Données projet'!$B$140,CT52+CS53-DB52)))</f>
        <v>376.99999999999989</v>
      </c>
      <c r="CU53" s="18">
        <f>CT53*VLOOKUP('Données projet'!$B$13,Paramètres!$A$1:$I$89,3,0)*VLOOKUP('Données projet'!$B$13,Paramètres!$A$1:$I$89,5,0)</f>
        <v>176.43599999999992</v>
      </c>
      <c r="CV53" s="14">
        <f t="shared" si="41"/>
        <v>44.52834129105058</v>
      </c>
      <c r="CW53" s="22">
        <f t="shared" si="13"/>
        <v>384.84622774857962</v>
      </c>
      <c r="CX53" s="62">
        <f t="shared" si="14"/>
        <v>678.17956108191288</v>
      </c>
      <c r="CY53" s="62">
        <f ca="1">AVERAGE(OFFSET($CX$3,0,0,'Données projet'!$E$13+1,1))-AVERAGE(OFFSET($H$3,0,0,'Données projet'!$E$13+1,1))</f>
        <v>310.95287409903602</v>
      </c>
      <c r="CZ53" s="62">
        <f t="shared" si="42"/>
        <v>224.10083380795163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</v>
      </c>
      <c r="N54" s="14">
        <f>IF('Données projet'!$A$36&gt;35,N53+M54-V53,IF(A54&lt;'Données projet'!$A$36,$K$205^A54,IF(A54='Données projet'!$A$36,'Données projet'!$B$36,N53+M54-V53)))</f>
        <v>205.80000000000015</v>
      </c>
      <c r="O54" s="14">
        <f>N54*VLOOKUP('Données projet'!$B$9,Paramètres!$A$1:$I$89,3,0)*VLOOKUP('Données projet'!$B$9,Paramètres!$A$1:$I$89,5,0)</f>
        <v>179.78688000000014</v>
      </c>
      <c r="P54" s="14">
        <f t="shared" si="33"/>
        <v>45.274767624296977</v>
      </c>
      <c r="Q54" s="22">
        <f t="shared" si="53"/>
        <v>391.98236961231743</v>
      </c>
      <c r="R54" s="62">
        <f t="shared" si="0"/>
        <v>685.31570294565074</v>
      </c>
      <c r="S54" s="62">
        <f ca="1">AVERAGE(OFFSET($R$3,0,0,'Données projet'!$E$9+1,1))-AVERAGE(OFFSET($H$3,0,0,'Données projet'!$E$9+1,1))</f>
        <v>253.73326067725128</v>
      </c>
      <c r="T54" s="62">
        <f t="shared" si="34"/>
        <v>317.76427047458026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3.0137198532806253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2.4041116576028709E-2</v>
      </c>
      <c r="AC54" s="24">
        <f t="shared" si="3"/>
        <v>3.0377609698566541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222.83664000000005</v>
      </c>
      <c r="AK54" s="14">
        <f t="shared" si="35"/>
        <v>54.730954957867816</v>
      </c>
      <c r="AL54" s="22">
        <f t="shared" si="4"/>
        <v>483.43022788495318</v>
      </c>
      <c r="AM54" s="62">
        <f t="shared" si="5"/>
        <v>776.76356121828644</v>
      </c>
      <c r="AN54" s="62">
        <f ca="1">AVERAGE(OFFSET($AM$3,0,0,'Données projet'!$E$10+1,1))-AVERAGE(OFFSET($H$3,0,0,'Données projet'!$E$10+1,1))</f>
        <v>406.17572122067492</v>
      </c>
      <c r="AO54" s="62">
        <f t="shared" si="36"/>
        <v>244.4332618279085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713.22240923574122</v>
      </c>
      <c r="BI54" s="62">
        <f ca="1">AVERAGE(OFFSET($BH$3,0,0,'Données projet'!$E$11+1,1))-AVERAGE(OFFSET($H$3,0,0,'Données projet'!$E$11+1,1))</f>
        <v>344.49457749226184</v>
      </c>
      <c r="BJ54" s="62">
        <f t="shared" si="38"/>
        <v>207.92972431357452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17.625</v>
      </c>
      <c r="BY54" s="13">
        <f>IF('Données projet'!$A$114&gt;35,BY53+BX54-CG53,IF(A54&lt;'Données projet'!$A$114,$BV$205^A54,IF(A54='Données projet'!$A$114,'Données projet'!$B$114,BY53+BX54-CG53)))</f>
        <v>304.62500000000006</v>
      </c>
      <c r="BZ54" s="14">
        <f>BY54*VLOOKUP('Données projet'!$B$12,Paramètres!$A$1:$I$89,3,0)*VLOOKUP('Données projet'!$B$12,Paramètres!$A$1:$I$89,5,0)</f>
        <v>182.16575000000003</v>
      </c>
      <c r="CA54" s="14">
        <f t="shared" si="39"/>
        <v>45.803689728693968</v>
      </c>
      <c r="CB54" s="22">
        <f t="shared" si="10"/>
        <v>397.04677419414202</v>
      </c>
      <c r="CC54" s="62">
        <f t="shared" si="11"/>
        <v>690.38010752747527</v>
      </c>
      <c r="CD54" s="62">
        <f ca="1">AVERAGE(OFFSET($CC$3,0,0,'Données projet'!$E$12+1,1))-AVERAGE(OFFSET($H$3,0,0,'Données projet'!$E$12+1,1))</f>
        <v>287.69656598881124</v>
      </c>
      <c r="CE54" s="62">
        <f t="shared" si="40"/>
        <v>221.9773436301067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5.2968123378950667</v>
      </c>
      <c r="CL54" s="23">
        <f>EXP(-LN(2)/25)*CL53+(1-EXP(-LN(2)/25))/(LN(2)/25)*Calculateur!CG54*Calculateur!CI54*VLOOKUP('Données projet'!$B$12,Paramètres!$A$1:$I$89,3,0)*0.475*44/12</f>
        <v>3.862521373762684</v>
      </c>
      <c r="CM54" s="23">
        <f>EXP(-LN(2)/2)*CM53+(1-EXP(-LN(2)/2))/(LN(2)/2)*CG54*CJ54*VLOOKUP('Données projet'!$B$12,Paramètres!$A$1:$I$89,3,0)*0.475*44/12</f>
        <v>4.699660970967817E-3</v>
      </c>
      <c r="CN54" s="24">
        <f t="shared" si="12"/>
        <v>9.1640333726287189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13.5</v>
      </c>
      <c r="CT54" s="13">
        <f>IF('Données projet'!$A$140&gt;35,CT53+CS54-DB53,IF(A54&lt;'Données projet'!$A$140,$CQ$205^A54,IF(A54='Données projet'!$A$140,'Données projet'!$B$140,CT53+CS54-DB53)))</f>
        <v>390.49999999999989</v>
      </c>
      <c r="CU54" s="18">
        <f>CT54*VLOOKUP('Données projet'!$B$13,Paramètres!$A$1:$I$89,3,0)*VLOOKUP('Données projet'!$B$13,Paramètres!$A$1:$I$89,5,0)</f>
        <v>182.75399999999996</v>
      </c>
      <c r="CV54" s="14">
        <f t="shared" si="41"/>
        <v>45.934357911110212</v>
      </c>
      <c r="CW54" s="22">
        <f t="shared" si="13"/>
        <v>398.29889002851684</v>
      </c>
      <c r="CX54" s="62">
        <f t="shared" si="14"/>
        <v>691.63222336185015</v>
      </c>
      <c r="CY54" s="62">
        <f ca="1">AVERAGE(OFFSET($CX$3,0,0,'Données projet'!$E$13+1,1))-AVERAGE(OFFSET($H$3,0,0,'Données projet'!$E$13+1,1))</f>
        <v>310.95287409903602</v>
      </c>
      <c r="CZ54" s="62">
        <f t="shared" si="42"/>
        <v>224.10083380795163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</v>
      </c>
      <c r="N55" s="14">
        <f>IF('Données projet'!$A$36&gt;35,N54+M55-V54,IF(A55&lt;'Données projet'!$A$36,$K$205^A55,IF(A55='Données projet'!$A$36,'Données projet'!$B$36,N54+M55-V54)))</f>
        <v>213.60000000000016</v>
      </c>
      <c r="O55" s="14">
        <f>N55*VLOOKUP('Données projet'!$B$9,Paramètres!$A$1:$I$89,3,0)*VLOOKUP('Données projet'!$B$9,Paramètres!$A$1:$I$89,5,0)</f>
        <v>186.60096000000016</v>
      </c>
      <c r="P55" s="14">
        <f t="shared" si="33"/>
        <v>46.787685683664144</v>
      </c>
      <c r="Q55" s="22">
        <f t="shared" si="53"/>
        <v>406.48522456571527</v>
      </c>
      <c r="R55" s="62">
        <f t="shared" si="0"/>
        <v>699.81855789904853</v>
      </c>
      <c r="S55" s="62">
        <f ca="1">AVERAGE(OFFSET($R$3,0,0,'Données projet'!$E$9+1,1))-AVERAGE(OFFSET($H$3,0,0,'Données projet'!$E$9+1,1))</f>
        <v>253.73326067725128</v>
      </c>
      <c r="T55" s="62">
        <f t="shared" si="34"/>
        <v>317.76427047458026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2.9546226451453967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1.6999636558206212E-2</v>
      </c>
      <c r="AC55" s="24">
        <f t="shared" si="3"/>
        <v>2.9716222817036031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233.49768000000006</v>
      </c>
      <c r="AK55" s="14">
        <f t="shared" si="35"/>
        <v>57.038296123496387</v>
      </c>
      <c r="AL55" s="22">
        <f t="shared" si="4"/>
        <v>506.01682508175622</v>
      </c>
      <c r="AM55" s="62">
        <f t="shared" si="5"/>
        <v>799.35015841508948</v>
      </c>
      <c r="AN55" s="62">
        <f ca="1">AVERAGE(OFFSET($AM$3,0,0,'Données projet'!$E$10+1,1))-AVERAGE(OFFSET($H$3,0,0,'Données projet'!$E$10+1,1))</f>
        <v>406.17572122067492</v>
      </c>
      <c r="AO55" s="62">
        <f t="shared" si="36"/>
        <v>244.4332618279085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732.83389045993795</v>
      </c>
      <c r="BI55" s="62">
        <f ca="1">AVERAGE(OFFSET($BH$3,0,0,'Données projet'!$E$11+1,1))-AVERAGE(OFFSET($H$3,0,0,'Données projet'!$E$11+1,1))</f>
        <v>344.49457749226184</v>
      </c>
      <c r="BJ55" s="62">
        <f t="shared" si="38"/>
        <v>207.92972431357452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17.625</v>
      </c>
      <c r="BY55" s="13">
        <f>IF('Données projet'!$A$114&gt;35,BY54+BX55-CG54,IF(A55&lt;'Données projet'!$A$114,$BV$205^A55,IF(A55='Données projet'!$A$114,'Données projet'!$B$114,BY54+BX55-CG54)))</f>
        <v>322.25000000000006</v>
      </c>
      <c r="BZ55" s="14">
        <f>BY55*VLOOKUP('Données projet'!$B$12,Paramètres!$A$1:$I$89,3,0)*VLOOKUP('Données projet'!$B$12,Paramètres!$A$1:$I$89,5,0)</f>
        <v>192.70550000000006</v>
      </c>
      <c r="CA55" s="14">
        <f t="shared" si="39"/>
        <v>48.137607387789963</v>
      </c>
      <c r="CB55" s="22">
        <f t="shared" si="10"/>
        <v>419.46841203373424</v>
      </c>
      <c r="CC55" s="62">
        <f t="shared" si="11"/>
        <v>712.8017453670675</v>
      </c>
      <c r="CD55" s="62">
        <f ca="1">AVERAGE(OFFSET($CC$3,0,0,'Données projet'!$E$12+1,1))-AVERAGE(OFFSET($H$3,0,0,'Données projet'!$E$12+1,1))</f>
        <v>287.69656598881124</v>
      </c>
      <c r="CE55" s="62">
        <f t="shared" si="40"/>
        <v>221.9773436301067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5.1929450786854616</v>
      </c>
      <c r="CL55" s="23">
        <f>EXP(-LN(2)/25)*CL54+(1-EXP(-LN(2)/25))/(LN(2)/25)*Calculateur!CG55*Calculateur!CI55*VLOOKUP('Données projet'!$B$12,Paramètres!$A$1:$I$89,3,0)*0.475*44/12</f>
        <v>3.7569005236759723</v>
      </c>
      <c r="CM55" s="23">
        <f>EXP(-LN(2)/2)*CM54+(1-EXP(-LN(2)/2))/(LN(2)/2)*CG55*CJ55*VLOOKUP('Données projet'!$B$12,Paramètres!$A$1:$I$89,3,0)*0.475*44/12</f>
        <v>3.3231621418490977E-3</v>
      </c>
      <c r="CN55" s="24">
        <f t="shared" si="12"/>
        <v>8.9531687645032818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13.5</v>
      </c>
      <c r="CT55" s="13">
        <f>IF('Données projet'!$A$140&gt;35,CT54+CS55-DB54,IF(A55&lt;'Données projet'!$A$140,$CQ$205^A55,IF(A55='Données projet'!$A$140,'Données projet'!$B$140,CT54+CS55-DB54)))</f>
        <v>403.99999999999989</v>
      </c>
      <c r="CU55" s="18">
        <f>CT55*VLOOKUP('Données projet'!$B$13,Paramètres!$A$1:$I$89,3,0)*VLOOKUP('Données projet'!$B$13,Paramètres!$A$1:$I$89,5,0)</f>
        <v>189.07199999999992</v>
      </c>
      <c r="CV55" s="14">
        <f t="shared" si="41"/>
        <v>47.33472679972779</v>
      </c>
      <c r="CW55" s="22">
        <f t="shared" si="13"/>
        <v>411.74171584285909</v>
      </c>
      <c r="CX55" s="62">
        <f t="shared" si="14"/>
        <v>705.07504917619235</v>
      </c>
      <c r="CY55" s="62">
        <f ca="1">AVERAGE(OFFSET($CX$3,0,0,'Données projet'!$E$13+1,1))-AVERAGE(OFFSET($H$3,0,0,'Données projet'!$E$13+1,1))</f>
        <v>310.95287409903602</v>
      </c>
      <c r="CZ55" s="62">
        <f t="shared" si="42"/>
        <v>224.10083380795163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</v>
      </c>
      <c r="N56" s="14">
        <f>IF('Données projet'!$A$36&gt;35,N55+M56-V55,IF(A56&lt;'Données projet'!$A$36,$K$205^A56,IF(A56='Données projet'!$A$36,'Données projet'!$B$36,N55+M56-V55)))</f>
        <v>221.40000000000018</v>
      </c>
      <c r="O56" s="14">
        <f>N56*VLOOKUP('Données projet'!$B$9,Paramètres!$A$1:$I$89,3,0)*VLOOKUP('Données projet'!$B$9,Paramètres!$A$1:$I$89,5,0)</f>
        <v>193.41504000000018</v>
      </c>
      <c r="P56" s="14">
        <f t="shared" si="33"/>
        <v>48.294185132315114</v>
      </c>
      <c r="Q56" s="22">
        <f t="shared" si="53"/>
        <v>420.97690043878242</v>
      </c>
      <c r="R56" s="62">
        <f t="shared" si="0"/>
        <v>714.31023377211568</v>
      </c>
      <c r="S56" s="62">
        <f ca="1">AVERAGE(OFFSET($R$3,0,0,'Données projet'!$E$9+1,1))-AVERAGE(OFFSET($H$3,0,0,'Données projet'!$E$9+1,1))</f>
        <v>253.73326067725128</v>
      </c>
      <c r="T56" s="62">
        <f t="shared" si="34"/>
        <v>317.76427047458026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2.8966842972159621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1.2020558288014354E-2</v>
      </c>
      <c r="AC56" s="24">
        <f t="shared" si="3"/>
        <v>2.9087048555039763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244.15872000000002</v>
      </c>
      <c r="AK56" s="14">
        <f t="shared" si="35"/>
        <v>59.333402749839792</v>
      </c>
      <c r="AL56" s="22">
        <f t="shared" si="4"/>
        <v>528.58211378930434</v>
      </c>
      <c r="AM56" s="62">
        <f t="shared" si="5"/>
        <v>821.91544712263772</v>
      </c>
      <c r="AN56" s="62">
        <f ca="1">AVERAGE(OFFSET($AM$3,0,0,'Données projet'!$E$10+1,1))-AVERAGE(OFFSET($H$3,0,0,'Données projet'!$E$10+1,1))</f>
        <v>406.17572122067492</v>
      </c>
      <c r="AO56" s="62">
        <f t="shared" si="36"/>
        <v>244.4332618279085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752.42661319140393</v>
      </c>
      <c r="BI56" s="62">
        <f ca="1">AVERAGE(OFFSET($BH$3,0,0,'Données projet'!$E$11+1,1))-AVERAGE(OFFSET($H$3,0,0,'Données projet'!$E$11+1,1))</f>
        <v>344.49457749226184</v>
      </c>
      <c r="BJ56" s="62">
        <f t="shared" si="38"/>
        <v>207.92972431357452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17.625</v>
      </c>
      <c r="BY56" s="13">
        <f>IF('Données projet'!$A$114&gt;35,BY55+BX56-CG55,IF(A56&lt;'Données projet'!$A$114,$BV$205^A56,IF(A56='Données projet'!$A$114,'Données projet'!$B$114,BY55+BX56-CG55)))</f>
        <v>339.87500000000006</v>
      </c>
      <c r="BZ56" s="14">
        <f>BY56*VLOOKUP('Données projet'!$B$12,Paramètres!$A$1:$I$89,3,0)*VLOOKUP('Données projet'!$B$12,Paramètres!$A$1:$I$89,5,0)</f>
        <v>203.24525000000006</v>
      </c>
      <c r="CA56" s="14">
        <f t="shared" si="39"/>
        <v>50.45670595349123</v>
      </c>
      <c r="CB56" s="22">
        <f t="shared" si="10"/>
        <v>441.86423995233059</v>
      </c>
      <c r="CC56" s="62">
        <f t="shared" si="11"/>
        <v>735.19757328566391</v>
      </c>
      <c r="CD56" s="62">
        <f ca="1">AVERAGE(OFFSET($CC$3,0,0,'Données projet'!$E$12+1,1))-AVERAGE(OFFSET($H$3,0,0,'Données projet'!$E$12+1,1))</f>
        <v>287.69656598881124</v>
      </c>
      <c r="CE56" s="62">
        <f t="shared" si="40"/>
        <v>221.9773436301067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5.0911145930761847</v>
      </c>
      <c r="CL56" s="23">
        <f>EXP(-LN(2)/25)*CL55+(1-EXP(-LN(2)/25))/(LN(2)/25)*Calculateur!CG56*Calculateur!CI56*VLOOKUP('Données projet'!$B$12,Paramètres!$A$1:$I$89,3,0)*0.475*44/12</f>
        <v>3.6541678812892409</v>
      </c>
      <c r="CM56" s="23">
        <f>EXP(-LN(2)/2)*CM55+(1-EXP(-LN(2)/2))/(LN(2)/2)*CG56*CJ56*VLOOKUP('Données projet'!$B$12,Paramètres!$A$1:$I$89,3,0)*0.475*44/12</f>
        <v>2.3498304854839085E-3</v>
      </c>
      <c r="CN56" s="24">
        <f t="shared" si="12"/>
        <v>8.7476323048509084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13.5</v>
      </c>
      <c r="CT56" s="13">
        <f>IF('Données projet'!$A$140&gt;35,CT55+CS56-DB55,IF(A56&lt;'Données projet'!$A$140,$CQ$205^A56,IF(A56='Données projet'!$A$140,'Données projet'!$B$140,CT55+CS56-DB55)))</f>
        <v>417.49999999999989</v>
      </c>
      <c r="CU56" s="18">
        <f>CT56*VLOOKUP('Données projet'!$B$13,Paramètres!$A$1:$I$89,3,0)*VLOOKUP('Données projet'!$B$13,Paramètres!$A$1:$I$89,5,0)</f>
        <v>195.38999999999996</v>
      </c>
      <c r="CV56" s="14">
        <f t="shared" si="41"/>
        <v>48.729658318340213</v>
      </c>
      <c r="CW56" s="22">
        <f t="shared" si="13"/>
        <v>425.17507157110907</v>
      </c>
      <c r="CX56" s="62">
        <f t="shared" si="14"/>
        <v>718.50840490444239</v>
      </c>
      <c r="CY56" s="62">
        <f ca="1">AVERAGE(OFFSET($CX$3,0,0,'Données projet'!$E$13+1,1))-AVERAGE(OFFSET($H$3,0,0,'Données projet'!$E$13+1,1))</f>
        <v>310.95287409903602</v>
      </c>
      <c r="CZ56" s="62">
        <f t="shared" si="42"/>
        <v>224.10083380795163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</v>
      </c>
      <c r="N57" s="14">
        <f>IF('Données projet'!$A$36&gt;35,N56+M57-V56,IF(A57&lt;'Données projet'!$A$36,$K$205^A57,IF(A57='Données projet'!$A$36,'Données projet'!$B$36,N56+M57-V56)))</f>
        <v>229.20000000000019</v>
      </c>
      <c r="O57" s="14">
        <f>N57*VLOOKUP('Données projet'!$B$9,Paramètres!$A$1:$I$89,3,0)*VLOOKUP('Données projet'!$B$9,Paramètres!$A$1:$I$89,5,0)</f>
        <v>200.22912000000019</v>
      </c>
      <c r="P57" s="14">
        <f t="shared" si="33"/>
        <v>49.794518010766396</v>
      </c>
      <c r="Q57" s="22">
        <f t="shared" si="53"/>
        <v>435.45783620208516</v>
      </c>
      <c r="R57" s="62">
        <f t="shared" si="0"/>
        <v>728.79116953541848</v>
      </c>
      <c r="S57" s="62">
        <f ca="1">AVERAGE(OFFSET($R$3,0,0,'Données projet'!$E$9+1,1))-AVERAGE(OFFSET($H$3,0,0,'Données projet'!$E$9+1,1))</f>
        <v>253.73326067725128</v>
      </c>
      <c r="T57" s="62">
        <f t="shared" si="34"/>
        <v>317.76427047458026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2.8398820849505211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8.4998182791031062E-3</v>
      </c>
      <c r="AC57" s="24">
        <f t="shared" si="3"/>
        <v>2.8483819032296243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254.81976</v>
      </c>
      <c r="AK57" s="14">
        <f t="shared" si="35"/>
        <v>61.616870106118846</v>
      </c>
      <c r="AL57" s="22">
        <f t="shared" si="4"/>
        <v>551.12713076815692</v>
      </c>
      <c r="AM57" s="62">
        <f t="shared" si="5"/>
        <v>844.46046410149029</v>
      </c>
      <c r="AN57" s="62">
        <f ca="1">AVERAGE(OFFSET($AM$3,0,0,'Données projet'!$E$10+1,1))-AVERAGE(OFFSET($H$3,0,0,'Données projet'!$E$10+1,1))</f>
        <v>406.17572122067492</v>
      </c>
      <c r="AO57" s="62">
        <f t="shared" si="36"/>
        <v>244.4332618279085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772.00149012109455</v>
      </c>
      <c r="BI57" s="62">
        <f ca="1">AVERAGE(OFFSET($BH$3,0,0,'Données projet'!$E$11+1,1))-AVERAGE(OFFSET($H$3,0,0,'Données projet'!$E$11+1,1))</f>
        <v>344.49457749226184</v>
      </c>
      <c r="BJ57" s="62">
        <f t="shared" si="38"/>
        <v>207.92972431357452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17.625</v>
      </c>
      <c r="BY57" s="13">
        <f>IF('Données projet'!$A$114&gt;35,BY56+BX57-CG56,IF(A57&lt;'Données projet'!$A$114,$BV$205^A57,IF(A57='Données projet'!$A$114,'Données projet'!$B$114,BY56+BX57-CG56)))</f>
        <v>357.50000000000006</v>
      </c>
      <c r="BZ57" s="14">
        <f>BY57*VLOOKUP('Données projet'!$B$12,Paramètres!$A$1:$I$89,3,0)*VLOOKUP('Données projet'!$B$12,Paramètres!$A$1:$I$89,5,0)</f>
        <v>213.78500000000005</v>
      </c>
      <c r="CA57" s="14">
        <f t="shared" si="39"/>
        <v>52.761841557402377</v>
      </c>
      <c r="CB57" s="22">
        <f t="shared" si="10"/>
        <v>464.2357490458092</v>
      </c>
      <c r="CC57" s="62">
        <f t="shared" si="11"/>
        <v>757.56908237914251</v>
      </c>
      <c r="CD57" s="62">
        <f ca="1">AVERAGE(OFFSET($CC$3,0,0,'Données projet'!$E$12+1,1))-AVERAGE(OFFSET($H$3,0,0,'Données projet'!$E$12+1,1))</f>
        <v>287.69656598881124</v>
      </c>
      <c r="CE57" s="62">
        <f t="shared" si="40"/>
        <v>221.9773436301067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4.9912809411792427</v>
      </c>
      <c r="CL57" s="23">
        <f>EXP(-LN(2)/25)*CL56+(1-EXP(-LN(2)/25))/(LN(2)/25)*Calculateur!CG57*Calculateur!CI57*VLOOKUP('Données projet'!$B$12,Paramètres!$A$1:$I$89,3,0)*0.475*44/12</f>
        <v>3.5542444684110492</v>
      </c>
      <c r="CM57" s="23">
        <f>EXP(-LN(2)/2)*CM56+(1-EXP(-LN(2)/2))/(LN(2)/2)*CG57*CJ57*VLOOKUP('Données projet'!$B$12,Paramètres!$A$1:$I$89,3,0)*0.475*44/12</f>
        <v>1.6615810709245489E-3</v>
      </c>
      <c r="CN57" s="24">
        <f t="shared" si="12"/>
        <v>8.547186990661217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13.5</v>
      </c>
      <c r="CT57" s="13">
        <f>IF('Données projet'!$A$140&gt;35,CT56+CS57-DB56,IF(A57&lt;'Données projet'!$A$140,$CQ$205^A57,IF(A57='Données projet'!$A$140,'Données projet'!$B$140,CT56+CS57-DB56)))</f>
        <v>430.99999999999989</v>
      </c>
      <c r="CU57" s="18">
        <f>CT57*VLOOKUP('Données projet'!$B$13,Paramètres!$A$1:$I$89,3,0)*VLOOKUP('Données projet'!$B$13,Paramètres!$A$1:$I$89,5,0)</f>
        <v>201.70799999999994</v>
      </c>
      <c r="CV57" s="14">
        <f t="shared" si="41"/>
        <v>50.119348451854243</v>
      </c>
      <c r="CW57" s="22">
        <f t="shared" si="13"/>
        <v>438.59929855364607</v>
      </c>
      <c r="CX57" s="62">
        <f t="shared" si="14"/>
        <v>731.93263188697938</v>
      </c>
      <c r="CY57" s="62">
        <f ca="1">AVERAGE(OFFSET($CX$3,0,0,'Données projet'!$E$13+1,1))-AVERAGE(OFFSET($H$3,0,0,'Données projet'!$E$13+1,1))</f>
        <v>310.95287409903602</v>
      </c>
      <c r="CZ57" s="62">
        <f t="shared" si="42"/>
        <v>224.10083380795163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237</v>
      </c>
      <c r="L58" s="13">
        <f>VLOOKUP(A58,'Données projet'!$A$35:$I$55,9,0)</f>
        <v>7.8</v>
      </c>
      <c r="M58" s="13">
        <f t="array" ref="M58">INDEX(L:L,MIN(IF(ISNUMBER(L58:L254),ROW(L58:L254),"")))</f>
        <v>7.8</v>
      </c>
      <c r="N58" s="14">
        <f>IF('Données projet'!$A$36&gt;35,N57+M58-V57,IF(A58&lt;'Données projet'!$A$36,$K$205^A58,IF(A58='Données projet'!$A$36,'Données projet'!$B$36,N57+M58-V57)))</f>
        <v>237.0000000000002</v>
      </c>
      <c r="O58" s="14">
        <f>N58*VLOOKUP('Données projet'!$B$9,Paramètres!$A$1:$I$89,3,0)*VLOOKUP('Données projet'!$B$9,Paramètres!$A$1:$I$89,5,0)</f>
        <v>207.04320000000018</v>
      </c>
      <c r="P58" s="14">
        <f t="shared" si="33"/>
        <v>51.28891823180637</v>
      </c>
      <c r="Q58" s="22">
        <f t="shared" si="53"/>
        <v>449.92843925372966</v>
      </c>
      <c r="R58" s="62">
        <f t="shared" si="0"/>
        <v>743.26177258706298</v>
      </c>
      <c r="S58" s="62">
        <f ca="1">AVERAGE(OFFSET($R$3,0,0,'Données projet'!$E$9+1,1))-AVERAGE(OFFSET($H$3,0,0,'Données projet'!$E$9+1,1))</f>
        <v>253.73326067725128</v>
      </c>
      <c r="T58" s="62">
        <f t="shared" si="34"/>
        <v>317.76427047458026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29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2.784193729421677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6.0102791440071772E-3</v>
      </c>
      <c r="AC58" s="24">
        <f t="shared" si="3"/>
        <v>2.7902040085656843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265.48079999999999</v>
      </c>
      <c r="AK58" s="14">
        <f t="shared" si="35"/>
        <v>63.889240834442589</v>
      </c>
      <c r="AL58" s="22">
        <f t="shared" si="4"/>
        <v>573.65282111998749</v>
      </c>
      <c r="AM58" s="62">
        <f t="shared" si="5"/>
        <v>866.98615445332075</v>
      </c>
      <c r="AN58" s="62">
        <f ca="1">AVERAGE(OFFSET($AM$3,0,0,'Données projet'!$E$10+1,1))-AVERAGE(OFFSET($H$3,0,0,'Données projet'!$E$10+1,1))</f>
        <v>406.17572122067492</v>
      </c>
      <c r="AO58" s="62">
        <f t="shared" si="36"/>
        <v>244.4332618279085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791.5593532499397</v>
      </c>
      <c r="BI58" s="62">
        <f ca="1">AVERAGE(OFFSET($BH$3,0,0,'Données projet'!$E$11+1,1))-AVERAGE(OFFSET($H$3,0,0,'Données projet'!$E$11+1,1))</f>
        <v>344.49457749226184</v>
      </c>
      <c r="BJ58" s="62">
        <f t="shared" si="38"/>
        <v>207.92972431357452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17.625</v>
      </c>
      <c r="BY58" s="13">
        <f>IF('Données projet'!$A$114&gt;35,BY57+BX58-CG57,IF(A58&lt;'Données projet'!$A$114,$BV$205^A58,IF(A58='Données projet'!$A$114,'Données projet'!$B$114,BY57+BX58-CG57)))</f>
        <v>375.12500000000006</v>
      </c>
      <c r="BZ58" s="14">
        <f>BY58*VLOOKUP('Données projet'!$B$12,Paramètres!$A$1:$I$89,3,0)*VLOOKUP('Données projet'!$B$12,Paramètres!$A$1:$I$89,5,0)</f>
        <v>224.32475000000005</v>
      </c>
      <c r="CA58" s="14">
        <f t="shared" si="39"/>
        <v>55.053781146410472</v>
      </c>
      <c r="CB58" s="22">
        <f t="shared" si="10"/>
        <v>486.58427507999835</v>
      </c>
      <c r="CC58" s="62">
        <f t="shared" si="11"/>
        <v>779.91760841333166</v>
      </c>
      <c r="CD58" s="62">
        <f ca="1">AVERAGE(OFFSET($CC$3,0,0,'Données projet'!$E$12+1,1))-AVERAGE(OFFSET($H$3,0,0,'Données projet'!$E$12+1,1))</f>
        <v>287.69656598881124</v>
      </c>
      <c r="CE58" s="62">
        <f t="shared" si="40"/>
        <v>221.9773436301067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4.8934049663034846</v>
      </c>
      <c r="CL58" s="23">
        <f>EXP(-LN(2)/25)*CL57+(1-EXP(-LN(2)/25))/(LN(2)/25)*Calculateur!CG58*Calculateur!CI58*VLOOKUP('Données projet'!$B$12,Paramètres!$A$1:$I$89,3,0)*0.475*44/12</f>
        <v>3.4570534665127557</v>
      </c>
      <c r="CM58" s="23">
        <f>EXP(-LN(2)/2)*CM57+(1-EXP(-LN(2)/2))/(LN(2)/2)*CG58*CJ58*VLOOKUP('Données projet'!$B$12,Paramètres!$A$1:$I$89,3,0)*0.475*44/12</f>
        <v>1.1749152427419543E-3</v>
      </c>
      <c r="CN58" s="24">
        <f t="shared" si="12"/>
        <v>8.3516333480589822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13.5</v>
      </c>
      <c r="CT58" s="13">
        <f>IF('Données projet'!$A$140&gt;35,CT57+CS58-DB57,IF(A58&lt;'Données projet'!$A$140,$CQ$205^A58,IF(A58='Données projet'!$A$140,'Données projet'!$B$140,CT57+CS58-DB57)))</f>
        <v>444.49999999999989</v>
      </c>
      <c r="CU58" s="18">
        <f>CT58*VLOOKUP('Données projet'!$B$13,Paramètres!$A$1:$I$89,3,0)*VLOOKUP('Données projet'!$B$13,Paramètres!$A$1:$I$89,5,0)</f>
        <v>208.02599999999995</v>
      </c>
      <c r="CV58" s="14">
        <f t="shared" si="41"/>
        <v>51.503980210368603</v>
      </c>
      <c r="CW58" s="22">
        <f t="shared" si="13"/>
        <v>452.01471553305851</v>
      </c>
      <c r="CX58" s="62">
        <f t="shared" si="14"/>
        <v>745.34804886639176</v>
      </c>
      <c r="CY58" s="62">
        <f ca="1">AVERAGE(OFFSET($CX$3,0,0,'Données projet'!$E$13+1,1))-AVERAGE(OFFSET($H$3,0,0,'Données projet'!$E$13+1,1))</f>
        <v>310.95287409903602</v>
      </c>
      <c r="CZ58" s="62">
        <f t="shared" si="42"/>
        <v>224.10083380795163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6.8</v>
      </c>
      <c r="N59" s="14">
        <f>IF('Données projet'!$A$36&gt;35,N58+M59-V58,IF(A59&lt;'Données projet'!$A$36,$K$205^A59,IF(A59='Données projet'!$A$36,'Données projet'!$B$36,N58+M59-V58)))</f>
        <v>214.80000000000021</v>
      </c>
      <c r="O59" s="14">
        <f>N59*VLOOKUP('Données projet'!$B$9,Paramètres!$A$1:$I$89,3,0)*VLOOKUP('Données projet'!$B$9,Paramètres!$A$1:$I$89,5,0)</f>
        <v>187.6492800000002</v>
      </c>
      <c r="P59" s="14">
        <f t="shared" si="33"/>
        <v>47.019866076567546</v>
      </c>
      <c r="Q59" s="22">
        <f t="shared" si="53"/>
        <v>408.71542941668878</v>
      </c>
      <c r="R59" s="62">
        <f t="shared" si="0"/>
        <v>702.04876275002209</v>
      </c>
      <c r="S59" s="62">
        <f ca="1">AVERAGE(OFFSET($R$3,0,0,'Données projet'!$E$9+1,1))-AVERAGE(OFFSET($H$3,0,0,'Données projet'!$E$9+1,1))</f>
        <v>253.73326067725128</v>
      </c>
      <c r="T59" s="62">
        <f t="shared" si="34"/>
        <v>317.76427047458026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2.7295973885782105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4.2499091395515531E-3</v>
      </c>
      <c r="AC59" s="24">
        <f t="shared" si="3"/>
        <v>2.7338472977177619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246.04007999999999</v>
      </c>
      <c r="AK59" s="14">
        <f t="shared" si="35"/>
        <v>59.737197231136641</v>
      </c>
      <c r="AL59" s="22">
        <f t="shared" si="4"/>
        <v>532.56209117756305</v>
      </c>
      <c r="AM59" s="62">
        <f t="shared" si="5"/>
        <v>825.89542451089642</v>
      </c>
      <c r="AN59" s="62">
        <f ca="1">AVERAGE(OFFSET($AM$3,0,0,'Données projet'!$E$10+1,1))-AVERAGE(OFFSET($H$3,0,0,'Données projet'!$E$10+1,1))</f>
        <v>406.17572122067492</v>
      </c>
      <c r="AO59" s="62">
        <f t="shared" si="36"/>
        <v>244.4332618279085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755.88227529661003</v>
      </c>
      <c r="BI59" s="62">
        <f ca="1">AVERAGE(OFFSET($BH$3,0,0,'Données projet'!$E$11+1,1))-AVERAGE(OFFSET($H$3,0,0,'Données projet'!$E$11+1,1))</f>
        <v>344.49457749226184</v>
      </c>
      <c r="BJ59" s="62">
        <f t="shared" si="38"/>
        <v>207.92972431357452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17.625</v>
      </c>
      <c r="BY59" s="13">
        <f>IF('Données projet'!$A$114&gt;35,BY58+BX59-CG58,IF(A59&lt;'Données projet'!$A$114,$BV$205^A59,IF(A59='Données projet'!$A$114,'Données projet'!$B$114,BY58+BX59-CG58)))</f>
        <v>392.75000000000006</v>
      </c>
      <c r="BZ59" s="14">
        <f>BY59*VLOOKUP('Données projet'!$B$12,Paramètres!$A$1:$I$89,3,0)*VLOOKUP('Données projet'!$B$12,Paramètres!$A$1:$I$89,5,0)</f>
        <v>234.86450000000002</v>
      </c>
      <c r="CA59" s="14">
        <f t="shared" si="39"/>
        <v>57.33321552572081</v>
      </c>
      <c r="CB59" s="22">
        <f t="shared" si="10"/>
        <v>508.9110212072971</v>
      </c>
      <c r="CC59" s="62">
        <f t="shared" si="11"/>
        <v>802.24435454063041</v>
      </c>
      <c r="CD59" s="62">
        <f ca="1">AVERAGE(OFFSET($CC$3,0,0,'Données projet'!$E$12+1,1))-AVERAGE(OFFSET($H$3,0,0,'Données projet'!$E$12+1,1))</f>
        <v>287.69656598881124</v>
      </c>
      <c r="CE59" s="62">
        <f t="shared" si="40"/>
        <v>221.9773436301067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4.7974482795965896</v>
      </c>
      <c r="CL59" s="23">
        <f>EXP(-LN(2)/25)*CL58+(1-EXP(-LN(2)/25))/(LN(2)/25)*Calculateur!CG59*Calculateur!CI59*VLOOKUP('Données projet'!$B$12,Paramètres!$A$1:$I$89,3,0)*0.475*44/12</f>
        <v>3.362520157672424</v>
      </c>
      <c r="CM59" s="23">
        <f>EXP(-LN(2)/2)*CM58+(1-EXP(-LN(2)/2))/(LN(2)/2)*CG59*CJ59*VLOOKUP('Données projet'!$B$12,Paramètres!$A$1:$I$89,3,0)*0.475*44/12</f>
        <v>8.3079053546227443E-4</v>
      </c>
      <c r="CN59" s="24">
        <f t="shared" si="12"/>
        <v>8.1607992278044748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13.5</v>
      </c>
      <c r="CT59" s="13">
        <f>IF('Données projet'!$A$140&gt;35,CT58+CS59-DB58,IF(A59&lt;'Données projet'!$A$140,$CQ$205^A59,IF(A59='Données projet'!$A$140,'Données projet'!$B$140,CT58+CS59-DB58)))</f>
        <v>457.99999999999989</v>
      </c>
      <c r="CU59" s="18">
        <f>CT59*VLOOKUP('Données projet'!$B$13,Paramètres!$A$1:$I$89,3,0)*VLOOKUP('Données projet'!$B$13,Paramètres!$A$1:$I$89,5,0)</f>
        <v>214.34399999999997</v>
      </c>
      <c r="CV59" s="14">
        <f t="shared" si="41"/>
        <v>52.883724855822585</v>
      </c>
      <c r="CW59" s="22">
        <f t="shared" si="13"/>
        <v>465.4216207905576</v>
      </c>
      <c r="CX59" s="62">
        <f t="shared" si="14"/>
        <v>758.75495412389091</v>
      </c>
      <c r="CY59" s="62">
        <f ca="1">AVERAGE(OFFSET($CX$3,0,0,'Données projet'!$E$13+1,1))-AVERAGE(OFFSET($H$3,0,0,'Données projet'!$E$13+1,1))</f>
        <v>310.95287409903602</v>
      </c>
      <c r="CZ59" s="62">
        <f t="shared" si="42"/>
        <v>224.10083380795163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6.8</v>
      </c>
      <c r="N60" s="14">
        <f>IF('Données projet'!$A$36&gt;35,N59+M60-V59,IF(A60&lt;'Données projet'!$A$36,$K$205^A60,IF(A60='Données projet'!$A$36,'Données projet'!$B$36,N59+M60-V59)))</f>
        <v>221.60000000000022</v>
      </c>
      <c r="O60" s="14">
        <f>N60*VLOOKUP('Données projet'!$B$9,Paramètres!$A$1:$I$89,3,0)*VLOOKUP('Données projet'!$B$9,Paramètres!$A$1:$I$89,5,0)</f>
        <v>193.58976000000021</v>
      </c>
      <c r="P60" s="14">
        <f t="shared" si="33"/>
        <v>48.332731202087132</v>
      </c>
      <c r="Q60" s="22">
        <f t="shared" si="53"/>
        <v>421.34833884363542</v>
      </c>
      <c r="R60" s="62">
        <f t="shared" si="0"/>
        <v>714.68167217696873</v>
      </c>
      <c r="S60" s="62">
        <f ca="1">AVERAGE(OFFSET($R$3,0,0,'Données projet'!$E$9+1,1))-AVERAGE(OFFSET($H$3,0,0,'Données projet'!$E$9+1,1))</f>
        <v>253.73326067725128</v>
      </c>
      <c r="T60" s="62">
        <f t="shared" si="34"/>
        <v>317.76427047458026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2.6760716486782048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3.0051395720035886E-3</v>
      </c>
      <c r="AC60" s="24">
        <f t="shared" si="3"/>
        <v>2.6790767882502085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255.86496</v>
      </c>
      <c r="AK60" s="14">
        <f t="shared" si="35"/>
        <v>61.840133802494101</v>
      </c>
      <c r="AL60" s="22">
        <f t="shared" si="4"/>
        <v>553.33637170601048</v>
      </c>
      <c r="AM60" s="62">
        <f t="shared" si="5"/>
        <v>846.66970503934385</v>
      </c>
      <c r="AN60" s="62">
        <f ca="1">AVERAGE(OFFSET($AM$3,0,0,'Données projet'!$E$10+1,1))-AVERAGE(OFFSET($H$3,0,0,'Données projet'!$E$10+1,1))</f>
        <v>406.17572122067492</v>
      </c>
      <c r="AO60" s="62">
        <f t="shared" si="36"/>
        <v>244.4332618279085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773.91966709175358</v>
      </c>
      <c r="BI60" s="62">
        <f ca="1">AVERAGE(OFFSET($BH$3,0,0,'Données projet'!$E$11+1,1))-AVERAGE(OFFSET($H$3,0,0,'Données projet'!$E$11+1,1))</f>
        <v>344.49457749226184</v>
      </c>
      <c r="BJ60" s="62">
        <f t="shared" si="38"/>
        <v>207.92972431357452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17.625</v>
      </c>
      <c r="BY60" s="13">
        <f>IF('Données projet'!$A$114&gt;35,BY59+BX60-CG59,IF(A60&lt;'Données projet'!$A$114,$BV$205^A60,IF(A60='Données projet'!$A$114,'Données projet'!$B$114,BY59+BX60-CG59)))</f>
        <v>410.37500000000006</v>
      </c>
      <c r="BZ60" s="14">
        <f>BY60*VLOOKUP('Données projet'!$B$12,Paramètres!$A$1:$I$89,3,0)*VLOOKUP('Données projet'!$B$12,Paramètres!$A$1:$I$89,5,0)</f>
        <v>245.40425000000005</v>
      </c>
      <c r="CA60" s="14">
        <f t="shared" si="39"/>
        <v>59.60076999447687</v>
      </c>
      <c r="CB60" s="22">
        <f t="shared" si="10"/>
        <v>531.21707649038069</v>
      </c>
      <c r="CC60" s="62">
        <f t="shared" si="11"/>
        <v>824.55040982371406</v>
      </c>
      <c r="CD60" s="62">
        <f ca="1">AVERAGE(OFFSET($CC$3,0,0,'Données projet'!$E$12+1,1))-AVERAGE(OFFSET($H$3,0,0,'Données projet'!$E$12+1,1))</f>
        <v>287.69656598881124</v>
      </c>
      <c r="CE60" s="62">
        <f t="shared" si="40"/>
        <v>221.9773436301067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4.7033732449882173</v>
      </c>
      <c r="CL60" s="23">
        <f>EXP(-LN(2)/25)*CL59+(1-EXP(-LN(2)/25))/(LN(2)/25)*Calculateur!CG60*Calculateur!CI60*VLOOKUP('Données projet'!$B$12,Paramètres!$A$1:$I$89,3,0)*0.475*44/12</f>
        <v>3.2705718671336217</v>
      </c>
      <c r="CM60" s="23">
        <f>EXP(-LN(2)/2)*CM59+(1-EXP(-LN(2)/2))/(LN(2)/2)*CG60*CJ60*VLOOKUP('Données projet'!$B$12,Paramètres!$A$1:$I$89,3,0)*0.475*44/12</f>
        <v>5.8745762137097713E-4</v>
      </c>
      <c r="CN60" s="24">
        <f t="shared" si="12"/>
        <v>7.9745325697432108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13.5</v>
      </c>
      <c r="CT60" s="13">
        <f>IF('Données projet'!$A$140&gt;35,CT59+CS60-DB59,IF(A60&lt;'Données projet'!$A$140,$CQ$205^A60,IF(A60='Données projet'!$A$140,'Données projet'!$B$140,CT59+CS60-DB59)))</f>
        <v>471.49999999999989</v>
      </c>
      <c r="CU60" s="18">
        <f>CT60*VLOOKUP('Données projet'!$B$13,Paramètres!$A$1:$I$89,3,0)*VLOOKUP('Données projet'!$B$13,Paramètres!$A$1:$I$89,5,0)</f>
        <v>220.66199999999995</v>
      </c>
      <c r="CV60" s="14">
        <f t="shared" si="41"/>
        <v>54.258742979954953</v>
      </c>
      <c r="CW60" s="22">
        <f t="shared" si="13"/>
        <v>478.82029402342147</v>
      </c>
      <c r="CX60" s="62">
        <f t="shared" si="14"/>
        <v>772.15362735675478</v>
      </c>
      <c r="CY60" s="62">
        <f ca="1">AVERAGE(OFFSET($CX$3,0,0,'Données projet'!$E$13+1,1))-AVERAGE(OFFSET($H$3,0,0,'Données projet'!$E$13+1,1))</f>
        <v>310.95287409903602</v>
      </c>
      <c r="CZ60" s="62">
        <f t="shared" si="42"/>
        <v>224.10083380795163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6.8</v>
      </c>
      <c r="N61" s="14">
        <f>IF('Données projet'!$A$36&gt;35,N60+M61-V60,IF(A61&lt;'Données projet'!$A$36,$K$205^A61,IF(A61='Données projet'!$A$36,'Données projet'!$B$36,N60+M61-V60)))</f>
        <v>228.40000000000023</v>
      </c>
      <c r="O61" s="14">
        <f>N61*VLOOKUP('Données projet'!$B$9,Paramètres!$A$1:$I$89,3,0)*VLOOKUP('Données projet'!$B$9,Paramètres!$A$1:$I$89,5,0)</f>
        <v>199.53024000000022</v>
      </c>
      <c r="P61" s="14">
        <f t="shared" si="33"/>
        <v>49.640914570461312</v>
      </c>
      <c r="Q61" s="22">
        <f t="shared" si="53"/>
        <v>433.97309421022049</v>
      </c>
      <c r="R61" s="62">
        <f t="shared" si="0"/>
        <v>727.30642754355381</v>
      </c>
      <c r="S61" s="62">
        <f ca="1">AVERAGE(OFFSET($R$3,0,0,'Données projet'!$E$9+1,1))-AVERAGE(OFFSET($H$3,0,0,'Données projet'!$E$9+1,1))</f>
        <v>253.73326067725128</v>
      </c>
      <c r="T61" s="62">
        <f t="shared" si="34"/>
        <v>317.76427047458026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2.6235955158901603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2.1249545697757766E-3</v>
      </c>
      <c r="AC61" s="24">
        <f t="shared" si="3"/>
        <v>2.6257204704599362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265.68984</v>
      </c>
      <c r="AK61" s="14">
        <f t="shared" si="35"/>
        <v>63.933689611546271</v>
      </c>
      <c r="AL61" s="22">
        <f t="shared" si="4"/>
        <v>574.094314073443</v>
      </c>
      <c r="AM61" s="62">
        <f t="shared" si="5"/>
        <v>867.42764740677626</v>
      </c>
      <c r="AN61" s="62">
        <f ca="1">AVERAGE(OFFSET($AM$3,0,0,'Données projet'!$E$10+1,1))-AVERAGE(OFFSET($H$3,0,0,'Données projet'!$E$10+1,1))</f>
        <v>406.17572122067492</v>
      </c>
      <c r="AO61" s="62">
        <f t="shared" si="36"/>
        <v>244.4332618279085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791.94267592098333</v>
      </c>
      <c r="BI61" s="62">
        <f ca="1">AVERAGE(OFFSET($BH$3,0,0,'Données projet'!$E$11+1,1))-AVERAGE(OFFSET($H$3,0,0,'Données projet'!$E$11+1,1))</f>
        <v>344.49457749226184</v>
      </c>
      <c r="BJ61" s="62">
        <f t="shared" si="38"/>
        <v>207.92972431357452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428</v>
      </c>
      <c r="BW61" s="13">
        <f>VLOOKUP(A61,'Données projet'!$A$113:$I$133,9,0)</f>
        <v>17.625</v>
      </c>
      <c r="BX61" s="13">
        <f t="array" ref="BX61">INDEX(BW:BW,MIN(IF(ISNUMBER(BW61:BW257),ROW(BW61:BW257),"")))</f>
        <v>17.625</v>
      </c>
      <c r="BY61" s="13">
        <f>IF('Données projet'!$A$114&gt;35,BY60+BX61-CG60,IF(A61&lt;'Données projet'!$A$114,$BV$205^A61,IF(A61='Données projet'!$A$114,'Données projet'!$B$114,BY60+BX61-CG60)))</f>
        <v>428.00000000000006</v>
      </c>
      <c r="BZ61" s="14">
        <f>BY61*VLOOKUP('Données projet'!$B$12,Paramètres!$A$1:$I$89,3,0)*VLOOKUP('Données projet'!$B$12,Paramètres!$A$1:$I$89,5,0)</f>
        <v>255.94400000000005</v>
      </c>
      <c r="CA61" s="14">
        <f t="shared" si="39"/>
        <v>61.857013102708898</v>
      </c>
      <c r="CB61" s="22">
        <f t="shared" si="10"/>
        <v>553.50343115388478</v>
      </c>
      <c r="CC61" s="62">
        <f t="shared" si="11"/>
        <v>846.83676448721803</v>
      </c>
      <c r="CD61" s="62">
        <f ca="1">AVERAGE(OFFSET($CC$3,0,0,'Données projet'!$E$12+1,1))-AVERAGE(OFFSET($H$3,0,0,'Données projet'!$E$12+1,1))</f>
        <v>287.69656598881124</v>
      </c>
      <c r="CE61" s="62">
        <f t="shared" si="40"/>
        <v>221.9773436301067</v>
      </c>
      <c r="CF61" s="16">
        <f>IF(ISNA(VLOOKUP(A61,'Données projet'!$A$113:$I$133,3,0)),0,VLOOKUP(A61,'Données projet'!$A$113:$I$133,3,0))</f>
        <v>8</v>
      </c>
      <c r="CG61" s="16">
        <f>IF(ISNA(VLOOKUP(A61,'Données projet'!$A$113:$I$133,4,0)),0,VLOOKUP(A61,'Données projet'!$A$113:$I$133,4,0))</f>
        <v>78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4.6111429644284101</v>
      </c>
      <c r="CL61" s="23">
        <f>EXP(-LN(2)/25)*CL60+(1-EXP(-LN(2)/25))/(LN(2)/25)*Calculateur!CG61*Calculateur!CI61*VLOOKUP('Données projet'!$B$12,Paramètres!$A$1:$I$89,3,0)*0.475*44/12</f>
        <v>3.1811379074349535</v>
      </c>
      <c r="CM61" s="23">
        <f>EXP(-LN(2)/2)*CM60+(1-EXP(-LN(2)/2))/(LN(2)/2)*CG61*CJ61*VLOOKUP('Données projet'!$B$12,Paramètres!$A$1:$I$89,3,0)*0.475*44/12</f>
        <v>4.1539526773113722E-4</v>
      </c>
      <c r="CN61" s="24">
        <f t="shared" si="12"/>
        <v>7.7926962671310944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13.5</v>
      </c>
      <c r="CT61" s="13">
        <f>IF('Données projet'!$A$140&gt;35,CT60+CS61-DB60,IF(A61&lt;'Données projet'!$A$140,$CQ$205^A61,IF(A61='Données projet'!$A$140,'Données projet'!$B$140,CT60+CS61-DB60)))</f>
        <v>484.99999999999989</v>
      </c>
      <c r="CU61" s="18">
        <f>CT61*VLOOKUP('Données projet'!$B$13,Paramètres!$A$1:$I$89,3,0)*VLOOKUP('Données projet'!$B$13,Paramètres!$A$1:$I$89,5,0)</f>
        <v>226.97999999999996</v>
      </c>
      <c r="CV61" s="14">
        <f t="shared" si="41"/>
        <v>55.629185455335929</v>
      </c>
      <c r="CW61" s="22">
        <f t="shared" si="13"/>
        <v>492.21099800137659</v>
      </c>
      <c r="CX61" s="62">
        <f t="shared" si="14"/>
        <v>785.54433133470991</v>
      </c>
      <c r="CY61" s="62">
        <f ca="1">AVERAGE(OFFSET($CX$3,0,0,'Données projet'!$E$13+1,1))-AVERAGE(OFFSET($H$3,0,0,'Données projet'!$E$13+1,1))</f>
        <v>310.95287409903602</v>
      </c>
      <c r="CZ61" s="62">
        <f t="shared" si="42"/>
        <v>224.10083380795163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6.8</v>
      </c>
      <c r="N62" s="14">
        <f>IF('Données projet'!$A$36&gt;35,N61+M62-V61,IF(A62&lt;'Données projet'!$A$36,$K$205^A62,IF(A62='Données projet'!$A$36,'Données projet'!$B$36,N61+M62-V61)))</f>
        <v>235.20000000000024</v>
      </c>
      <c r="O62" s="14">
        <f>N62*VLOOKUP('Données projet'!$B$9,Paramètres!$A$1:$I$89,3,0)*VLOOKUP('Données projet'!$B$9,Paramètres!$A$1:$I$89,5,0)</f>
        <v>205.47072000000026</v>
      </c>
      <c r="P62" s="14">
        <f t="shared" si="33"/>
        <v>50.944571570352757</v>
      </c>
      <c r="Q62" s="22">
        <f t="shared" si="53"/>
        <v>446.58996615169809</v>
      </c>
      <c r="R62" s="62">
        <f t="shared" si="0"/>
        <v>739.92329948503141</v>
      </c>
      <c r="S62" s="62">
        <f ca="1">AVERAGE(OFFSET($R$3,0,0,'Données projet'!$E$9+1,1))-AVERAGE(OFFSET($H$3,0,0,'Données projet'!$E$9+1,1))</f>
        <v>253.73326067725128</v>
      </c>
      <c r="T62" s="62">
        <f t="shared" si="34"/>
        <v>317.76427047458026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2.5721484080588088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1.5025697860017943E-3</v>
      </c>
      <c r="AC62" s="24">
        <f t="shared" si="3"/>
        <v>2.5736509778448107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275.51472000000001</v>
      </c>
      <c r="AK62" s="14">
        <f t="shared" si="35"/>
        <v>66.018251272114483</v>
      </c>
      <c r="AL62" s="22">
        <f t="shared" si="4"/>
        <v>594.83659163226605</v>
      </c>
      <c r="AM62" s="62">
        <f t="shared" si="5"/>
        <v>888.16992496559942</v>
      </c>
      <c r="AN62" s="62">
        <f ca="1">AVERAGE(OFFSET($AM$3,0,0,'Données projet'!$E$10+1,1))-AVERAGE(OFFSET($H$3,0,0,'Données projet'!$E$10+1,1))</f>
        <v>406.17572122067492</v>
      </c>
      <c r="AO62" s="62">
        <f t="shared" si="36"/>
        <v>244.4332618279085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809.95189455631794</v>
      </c>
      <c r="BI62" s="62">
        <f ca="1">AVERAGE(OFFSET($BH$3,0,0,'Données projet'!$E$11+1,1))-AVERAGE(OFFSET($H$3,0,0,'Données projet'!$E$11+1,1))</f>
        <v>344.49457749226184</v>
      </c>
      <c r="BJ62" s="62">
        <f t="shared" si="38"/>
        <v>207.92972431357452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16.625</v>
      </c>
      <c r="BY62" s="13">
        <f>IF('Données projet'!$A$114&gt;35,BY61+BX62-CG61,IF(A62&lt;'Données projet'!$A$114,$BV$205^A62,IF(A62='Données projet'!$A$114,'Données projet'!$B$114,BY61+BX62-CG61)))</f>
        <v>366.62500000000006</v>
      </c>
      <c r="BZ62" s="14">
        <f>BY62*VLOOKUP('Données projet'!$B$12,Paramètres!$A$1:$I$89,3,0)*VLOOKUP('Données projet'!$B$12,Paramètres!$A$1:$I$89,5,0)</f>
        <v>219.24175000000005</v>
      </c>
      <c r="CA62" s="14">
        <f t="shared" si="39"/>
        <v>53.950050729111297</v>
      </c>
      <c r="CB62" s="22">
        <f t="shared" si="10"/>
        <v>475.80905293653558</v>
      </c>
      <c r="CC62" s="62">
        <f t="shared" si="11"/>
        <v>769.14238626986889</v>
      </c>
      <c r="CD62" s="62">
        <f ca="1">AVERAGE(OFFSET($CC$3,0,0,'Données projet'!$E$12+1,1))-AVERAGE(OFFSET($H$3,0,0,'Données projet'!$E$12+1,1))</f>
        <v>287.69656598881124</v>
      </c>
      <c r="CE62" s="62">
        <f t="shared" si="40"/>
        <v>221.9773436301067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4.5207212634154637</v>
      </c>
      <c r="CL62" s="23">
        <f>EXP(-LN(2)/25)*CL61+(1-EXP(-LN(2)/25))/(LN(2)/25)*Calculateur!CG62*Calculateur!CI62*VLOOKUP('Données projet'!$B$12,Paramètres!$A$1:$I$89,3,0)*0.475*44/12</f>
        <v>3.0941495240673729</v>
      </c>
      <c r="CM62" s="23">
        <f>EXP(-LN(2)/2)*CM61+(1-EXP(-LN(2)/2))/(LN(2)/2)*CG62*CJ62*VLOOKUP('Données projet'!$B$12,Paramètres!$A$1:$I$89,3,0)*0.475*44/12</f>
        <v>2.9372881068548856E-4</v>
      </c>
      <c r="CN62" s="24">
        <f t="shared" si="12"/>
        <v>7.6151645162935218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13.5</v>
      </c>
      <c r="CT62" s="13">
        <f>IF('Données projet'!$A$140&gt;35,CT61+CS62-DB61,IF(A62&lt;'Données projet'!$A$140,$CQ$205^A62,IF(A62='Données projet'!$A$140,'Données projet'!$B$140,CT61+CS62-DB61)))</f>
        <v>498.49999999999989</v>
      </c>
      <c r="CU62" s="18">
        <f>CT62*VLOOKUP('Données projet'!$B$13,Paramètres!$A$1:$I$89,3,0)*VLOOKUP('Données projet'!$B$13,Paramètres!$A$1:$I$89,5,0)</f>
        <v>233.29799999999994</v>
      </c>
      <c r="CV62" s="14">
        <f t="shared" si="41"/>
        <v>56.995194277534011</v>
      </c>
      <c r="CW62" s="22">
        <f t="shared" si="13"/>
        <v>505.59398003337168</v>
      </c>
      <c r="CX62" s="62">
        <f t="shared" si="14"/>
        <v>798.92731336670499</v>
      </c>
      <c r="CY62" s="62">
        <f ca="1">AVERAGE(OFFSET($CX$3,0,0,'Données projet'!$E$13+1,1))-AVERAGE(OFFSET($H$3,0,0,'Données projet'!$E$13+1,1))</f>
        <v>310.95287409903602</v>
      </c>
      <c r="CZ62" s="62">
        <f t="shared" si="42"/>
        <v>224.10083380795163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242</v>
      </c>
      <c r="L63" s="13">
        <f>VLOOKUP(A63,'Données projet'!$A$35:$I$55,9,0)</f>
        <v>6.8</v>
      </c>
      <c r="M63" s="13">
        <f t="array" ref="M63">INDEX(L:L,MIN(IF(ISNUMBER(L63:L259),ROW(L63:L259),"")))</f>
        <v>6.8</v>
      </c>
      <c r="N63" s="14">
        <f>IF('Données projet'!$A$36&gt;35,N62+M63-V62,IF(A63&lt;'Données projet'!$A$36,$K$205^A63,IF(A63='Données projet'!$A$36,'Données projet'!$B$36,N62+M63-V62)))</f>
        <v>242.00000000000026</v>
      </c>
      <c r="O63" s="14">
        <f>N63*VLOOKUP('Données projet'!$B$9,Paramètres!$A$1:$I$89,3,0)*VLOOKUP('Données projet'!$B$9,Paramètres!$A$1:$I$89,5,0)</f>
        <v>211.41120000000024</v>
      </c>
      <c r="P63" s="14">
        <f t="shared" si="33"/>
        <v>52.243848094411206</v>
      </c>
      <c r="Q63" s="22">
        <f t="shared" si="53"/>
        <v>459.19920876443319</v>
      </c>
      <c r="R63" s="62">
        <f t="shared" si="0"/>
        <v>752.53254209776651</v>
      </c>
      <c r="S63" s="62">
        <f ca="1">AVERAGE(OFFSET($R$3,0,0,'Données projet'!$E$9+1,1))-AVERAGE(OFFSET($H$3,0,0,'Données projet'!$E$9+1,1))</f>
        <v>253.73326067725128</v>
      </c>
      <c r="T63" s="62">
        <f t="shared" si="34"/>
        <v>317.76427047458026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26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2.521710146632393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1.0624772848878883E-3</v>
      </c>
      <c r="AC63" s="24">
        <f t="shared" si="3"/>
        <v>2.5227726239172807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285.33959999999996</v>
      </c>
      <c r="AK63" s="14">
        <f t="shared" si="35"/>
        <v>68.094176261531288</v>
      </c>
      <c r="AL63" s="22">
        <f t="shared" si="4"/>
        <v>615.56382698883351</v>
      </c>
      <c r="AM63" s="62">
        <f t="shared" si="5"/>
        <v>908.89716032216688</v>
      </c>
      <c r="AN63" s="62">
        <f ca="1">AVERAGE(OFFSET($AM$3,0,0,'Données projet'!$E$10+1,1))-AVERAGE(OFFSET($H$3,0,0,'Données projet'!$E$10+1,1))</f>
        <v>406.17572122067492</v>
      </c>
      <c r="AO63" s="62">
        <f t="shared" si="36"/>
        <v>244.4332618279085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827.94787109652862</v>
      </c>
      <c r="BI63" s="62">
        <f ca="1">AVERAGE(OFFSET($BH$3,0,0,'Données projet'!$E$11+1,1))-AVERAGE(OFFSET($H$3,0,0,'Données projet'!$E$11+1,1))</f>
        <v>344.49457749226184</v>
      </c>
      <c r="BJ63" s="62">
        <f t="shared" si="38"/>
        <v>207.92972431357452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16.625</v>
      </c>
      <c r="BY63" s="13">
        <f>IF('Données projet'!$A$114&gt;35,BY62+BX63-CG62,IF(A63&lt;'Données projet'!$A$114,$BV$205^A63,IF(A63='Données projet'!$A$114,'Données projet'!$B$114,BY62+BX63-CG62)))</f>
        <v>383.25000000000006</v>
      </c>
      <c r="BZ63" s="14">
        <f>BY63*VLOOKUP('Données projet'!$B$12,Paramètres!$A$1:$I$89,3,0)*VLOOKUP('Données projet'!$B$12,Paramètres!$A$1:$I$89,5,0)</f>
        <v>229.18350000000007</v>
      </c>
      <c r="CA63" s="14">
        <f t="shared" si="39"/>
        <v>56.106098616839645</v>
      </c>
      <c r="CB63" s="22">
        <f t="shared" si="10"/>
        <v>496.87938425766248</v>
      </c>
      <c r="CC63" s="62">
        <f t="shared" si="11"/>
        <v>790.21271759099579</v>
      </c>
      <c r="CD63" s="62">
        <f ca="1">AVERAGE(OFFSET($CC$3,0,0,'Données projet'!$E$12+1,1))-AVERAGE(OFFSET($H$3,0,0,'Données projet'!$E$12+1,1))</f>
        <v>287.69656598881124</v>
      </c>
      <c r="CE63" s="62">
        <f t="shared" si="40"/>
        <v>221.9773436301067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4.4320726768075893</v>
      </c>
      <c r="CL63" s="23">
        <f>EXP(-LN(2)/25)*CL62+(1-EXP(-LN(2)/25))/(LN(2)/25)*Calculateur!CG63*Calculateur!CI63*VLOOKUP('Données projet'!$B$12,Paramètres!$A$1:$I$89,3,0)*0.475*44/12</f>
        <v>3.0095398426174991</v>
      </c>
      <c r="CM63" s="23">
        <f>EXP(-LN(2)/2)*CM62+(1-EXP(-LN(2)/2))/(LN(2)/2)*CG63*CJ63*VLOOKUP('Données projet'!$B$12,Paramètres!$A$1:$I$89,3,0)*0.475*44/12</f>
        <v>2.0769763386556861E-4</v>
      </c>
      <c r="CN63" s="24">
        <f t="shared" si="12"/>
        <v>7.4418202170589547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512</v>
      </c>
      <c r="CR63" s="13">
        <f>VLOOKUP(A63,'Données projet'!$A$139:$I$159,9,0)</f>
        <v>13.5</v>
      </c>
      <c r="CS63" s="13">
        <f t="array" ref="CS63">INDEX(CR:CR,MIN(IF(ISNUMBER(CR63:CR259),ROW(CR63:CR259),"")))</f>
        <v>13.5</v>
      </c>
      <c r="CT63" s="13">
        <f>IF('Données projet'!$A$140&gt;35,CT62+CS63-DB62,IF(A63&lt;'Données projet'!$A$140,$CQ$205^A63,IF(A63='Données projet'!$A$140,'Données projet'!$B$140,CT62+CS63-DB62)))</f>
        <v>511.99999999999989</v>
      </c>
      <c r="CU63" s="18">
        <f>CT63*VLOOKUP('Données projet'!$B$13,Paramètres!$A$1:$I$89,3,0)*VLOOKUP('Données projet'!$B$13,Paramètres!$A$1:$I$89,5,0)</f>
        <v>239.61599999999996</v>
      </c>
      <c r="CV63" s="14">
        <f t="shared" si="41"/>
        <v>58.356903313490157</v>
      </c>
      <c r="CW63" s="22">
        <f t="shared" si="13"/>
        <v>518.96947327099531</v>
      </c>
      <c r="CX63" s="62">
        <f t="shared" si="14"/>
        <v>812.30280660432868</v>
      </c>
      <c r="CY63" s="62">
        <f ca="1">AVERAGE(OFFSET($CX$3,0,0,'Données projet'!$E$13+1,1))-AVERAGE(OFFSET($H$3,0,0,'Données projet'!$E$13+1,1))</f>
        <v>310.95287409903602</v>
      </c>
      <c r="CZ63" s="62">
        <f t="shared" si="42"/>
        <v>224.10083380795163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102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</v>
      </c>
      <c r="N64" s="14">
        <f>IF('Données projet'!$A$36&gt;35,N63+M64-V63,IF(A64&lt;'Données projet'!$A$36,$K$205^A64,IF(A64='Données projet'!$A$36,'Données projet'!$B$36,N63+M64-V63)))</f>
        <v>222.00000000000026</v>
      </c>
      <c r="O64" s="14">
        <f>N64*VLOOKUP('Données projet'!$B$9,Paramètres!$A$1:$I$89,3,0)*VLOOKUP('Données projet'!$B$9,Paramètres!$A$1:$I$89,5,0)</f>
        <v>193.93920000000023</v>
      </c>
      <c r="P64" s="14">
        <f t="shared" si="33"/>
        <v>48.409811198069427</v>
      </c>
      <c r="Q64" s="22">
        <f t="shared" si="53"/>
        <v>422.09119450330468</v>
      </c>
      <c r="R64" s="62">
        <f t="shared" si="0"/>
        <v>715.42452783663794</v>
      </c>
      <c r="S64" s="62">
        <f ca="1">AVERAGE(OFFSET($R$3,0,0,'Données projet'!$E$9+1,1))-AVERAGE(OFFSET($H$3,0,0,'Données projet'!$E$9+1,1))</f>
        <v>253.73326067725128</v>
      </c>
      <c r="T64" s="62">
        <f t="shared" si="34"/>
        <v>317.76427047458026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2.4722609487482474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7.5128489300089714E-4</v>
      </c>
      <c r="AC64" s="24">
        <f t="shared" si="3"/>
        <v>2.4730122336412483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265.27175999999997</v>
      </c>
      <c r="AK64" s="14">
        <f t="shared" si="35"/>
        <v>63.844787983263814</v>
      </c>
      <c r="AL64" s="22">
        <f t="shared" si="4"/>
        <v>573.21132107085111</v>
      </c>
      <c r="AM64" s="62">
        <f t="shared" si="5"/>
        <v>866.54465440418448</v>
      </c>
      <c r="AN64" s="62">
        <f ca="1">AVERAGE(OFFSET($AM$3,0,0,'Données projet'!$E$10+1,1))-AVERAGE(OFFSET($H$3,0,0,'Données projet'!$E$10+1,1))</f>
        <v>406.17572122067492</v>
      </c>
      <c r="AO64" s="62">
        <f t="shared" si="36"/>
        <v>244.4332618279085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791.17602433235857</v>
      </c>
      <c r="BI64" s="62">
        <f ca="1">AVERAGE(OFFSET($BH$3,0,0,'Données projet'!$E$11+1,1))-AVERAGE(OFFSET($H$3,0,0,'Données projet'!$E$11+1,1))</f>
        <v>344.49457749226184</v>
      </c>
      <c r="BJ64" s="62">
        <f t="shared" si="38"/>
        <v>207.92972431357452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16.625</v>
      </c>
      <c r="BY64" s="13">
        <f>IF('Données projet'!$A$114&gt;35,BY63+BX64-CG63,IF(A64&lt;'Données projet'!$A$114,$BV$205^A64,IF(A64='Données projet'!$A$114,'Données projet'!$B$114,BY63+BX64-CG63)))</f>
        <v>399.87500000000006</v>
      </c>
      <c r="BZ64" s="14">
        <f>BY64*VLOOKUP('Données projet'!$B$12,Paramètres!$A$1:$I$89,3,0)*VLOOKUP('Données projet'!$B$12,Paramètres!$A$1:$I$89,5,0)</f>
        <v>239.12525000000005</v>
      </c>
      <c r="CA64" s="14">
        <f t="shared" si="39"/>
        <v>58.251283780505084</v>
      </c>
      <c r="CB64" s="22">
        <f t="shared" si="10"/>
        <v>517.93079633437981</v>
      </c>
      <c r="CC64" s="62">
        <f t="shared" si="11"/>
        <v>811.26412966771318</v>
      </c>
      <c r="CD64" s="62">
        <f ca="1">AVERAGE(OFFSET($CC$3,0,0,'Données projet'!$E$12+1,1))-AVERAGE(OFFSET($H$3,0,0,'Données projet'!$E$12+1,1))</f>
        <v>287.69656598881124</v>
      </c>
      <c r="CE64" s="62">
        <f t="shared" si="40"/>
        <v>221.9773436301067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4.3451624349127966</v>
      </c>
      <c r="CL64" s="23">
        <f>EXP(-LN(2)/25)*CL63+(1-EXP(-LN(2)/25))/(LN(2)/25)*Calculateur!CG64*Calculateur!CI64*VLOOKUP('Données projet'!$B$12,Paramètres!$A$1:$I$89,3,0)*0.475*44/12</f>
        <v>2.9272438173563016</v>
      </c>
      <c r="CM64" s="23">
        <f>EXP(-LN(2)/2)*CM63+(1-EXP(-LN(2)/2))/(LN(2)/2)*CG64*CJ64*VLOOKUP('Données projet'!$B$12,Paramètres!$A$1:$I$89,3,0)*0.475*44/12</f>
        <v>1.4686440534274428E-4</v>
      </c>
      <c r="CN64" s="24">
        <f t="shared" si="12"/>
        <v>7.272553116674441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15.5</v>
      </c>
      <c r="CT64" s="13">
        <f>IF('Données projet'!$A$140&gt;35,CT63+CS64-DB63,IF(A64&lt;'Données projet'!$A$140,$CQ$205^A64,IF(A64='Données projet'!$A$140,'Données projet'!$B$140,CT63+CS64-DB63)))</f>
        <v>425.49999999999989</v>
      </c>
      <c r="CU64" s="18">
        <f>CT64*VLOOKUP('Données projet'!$B$13,Paramètres!$A$1:$I$89,3,0)*VLOOKUP('Données projet'!$B$13,Paramètres!$A$1:$I$89,5,0)</f>
        <v>199.13399999999993</v>
      </c>
      <c r="CV64" s="14">
        <f t="shared" si="41"/>
        <v>49.553799097205186</v>
      </c>
      <c r="CW64" s="22">
        <f t="shared" si="13"/>
        <v>433.13125009429888</v>
      </c>
      <c r="CX64" s="62">
        <f t="shared" si="14"/>
        <v>726.46458342763219</v>
      </c>
      <c r="CY64" s="62">
        <f ca="1">AVERAGE(OFFSET($CX$3,0,0,'Données projet'!$E$13+1,1))-AVERAGE(OFFSET($H$3,0,0,'Données projet'!$E$13+1,1))</f>
        <v>310.95287409903602</v>
      </c>
      <c r="CZ64" s="62">
        <f t="shared" si="42"/>
        <v>224.10083380795163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</v>
      </c>
      <c r="N65" s="14">
        <f>IF('Données projet'!$A$36&gt;35,N64+M65-V64,IF(A65&lt;'Données projet'!$A$36,$K$205^A65,IF(A65='Données projet'!$A$36,'Données projet'!$B$36,N64+M65-V64)))</f>
        <v>228.00000000000026</v>
      </c>
      <c r="O65" s="14">
        <f>N65*VLOOKUP('Données projet'!$B$9,Paramètres!$A$1:$I$89,3,0)*VLOOKUP('Données projet'!$B$9,Paramètres!$A$1:$I$89,5,0)</f>
        <v>199.18080000000023</v>
      </c>
      <c r="P65" s="14">
        <f t="shared" si="33"/>
        <v>49.564089376413726</v>
      </c>
      <c r="Q65" s="22">
        <f t="shared" si="53"/>
        <v>433.23068233058763</v>
      </c>
      <c r="R65" s="62">
        <f t="shared" si="0"/>
        <v>726.56401566392094</v>
      </c>
      <c r="S65" s="62">
        <f ca="1">AVERAGE(OFFSET($R$3,0,0,'Données projet'!$E$9+1,1))-AVERAGE(OFFSET($H$3,0,0,'Données projet'!$E$9+1,1))</f>
        <v>253.73326067725128</v>
      </c>
      <c r="T65" s="62">
        <f t="shared" si="34"/>
        <v>317.76427047458026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2.4237814194735772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5.3123864244394414E-4</v>
      </c>
      <c r="AC65" s="24">
        <f t="shared" si="3"/>
        <v>2.4243126581160213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274.46951999999999</v>
      </c>
      <c r="AK65" s="14">
        <f t="shared" si="35"/>
        <v>65.796905959168583</v>
      </c>
      <c r="AL65" s="22">
        <f t="shared" si="4"/>
        <v>592.63069187888527</v>
      </c>
      <c r="AM65" s="62">
        <f t="shared" si="5"/>
        <v>885.96402521221853</v>
      </c>
      <c r="AN65" s="62">
        <f ca="1">AVERAGE(OFFSET($AM$3,0,0,'Données projet'!$E$10+1,1))-AVERAGE(OFFSET($H$3,0,0,'Données projet'!$E$10+1,1))</f>
        <v>406.17572122067492</v>
      </c>
      <c r="AO65" s="62">
        <f t="shared" si="36"/>
        <v>244.4332618279085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808.03665892907816</v>
      </c>
      <c r="BI65" s="62">
        <f ca="1">AVERAGE(OFFSET($BH$3,0,0,'Données projet'!$E$11+1,1))-AVERAGE(OFFSET($H$3,0,0,'Données projet'!$E$11+1,1))</f>
        <v>344.49457749226184</v>
      </c>
      <c r="BJ65" s="62">
        <f t="shared" si="38"/>
        <v>207.92972431357452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16.625</v>
      </c>
      <c r="BY65" s="13">
        <f>IF('Données projet'!$A$114&gt;35,BY64+BX65-CG64,IF(A65&lt;'Données projet'!$A$114,$BV$205^A65,IF(A65='Données projet'!$A$114,'Données projet'!$B$114,BY64+BX65-CG64)))</f>
        <v>416.50000000000006</v>
      </c>
      <c r="BZ65" s="14">
        <f>BY65*VLOOKUP('Données projet'!$B$12,Paramètres!$A$1:$I$89,3,0)*VLOOKUP('Données projet'!$B$12,Paramètres!$A$1:$I$89,5,0)</f>
        <v>249.06700000000004</v>
      </c>
      <c r="CA65" s="14">
        <f t="shared" si="39"/>
        <v>60.386109489804014</v>
      </c>
      <c r="CB65" s="22">
        <f t="shared" si="10"/>
        <v>538.96416569474195</v>
      </c>
      <c r="CC65" s="62">
        <f t="shared" si="11"/>
        <v>832.29749902807521</v>
      </c>
      <c r="CD65" s="62">
        <f ca="1">AVERAGE(OFFSET($CC$3,0,0,'Données projet'!$E$12+1,1))-AVERAGE(OFFSET($H$3,0,0,'Données projet'!$E$12+1,1))</f>
        <v>287.69656598881124</v>
      </c>
      <c r="CE65" s="62">
        <f t="shared" si="40"/>
        <v>221.9773436301067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4.2599564498515479</v>
      </c>
      <c r="CL65" s="23">
        <f>EXP(-LN(2)/25)*CL64+(1-EXP(-LN(2)/25))/(LN(2)/25)*Calculateur!CG65*Calculateur!CI65*VLOOKUP('Données projet'!$B$12,Paramètres!$A$1:$I$89,3,0)*0.475*44/12</f>
        <v>2.8471981812336313</v>
      </c>
      <c r="CM65" s="23">
        <f>EXP(-LN(2)/2)*CM64+(1-EXP(-LN(2)/2))/(LN(2)/2)*CG65*CJ65*VLOOKUP('Données projet'!$B$12,Paramètres!$A$1:$I$89,3,0)*0.475*44/12</f>
        <v>1.038488169327843E-4</v>
      </c>
      <c r="CN65" s="24">
        <f t="shared" si="12"/>
        <v>7.1072584799021117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15.5</v>
      </c>
      <c r="CT65" s="13">
        <f>IF('Données projet'!$A$140&gt;35,CT64+CS65-DB64,IF(A65&lt;'Données projet'!$A$140,$CQ$205^A65,IF(A65='Données projet'!$A$140,'Données projet'!$B$140,CT64+CS65-DB64)))</f>
        <v>440.99999999999989</v>
      </c>
      <c r="CU65" s="18">
        <f>CT65*VLOOKUP('Données projet'!$B$13,Paramètres!$A$1:$I$89,3,0)*VLOOKUP('Données projet'!$B$13,Paramètres!$A$1:$I$89,5,0)</f>
        <v>206.38799999999995</v>
      </c>
      <c r="CV65" s="14">
        <f t="shared" si="41"/>
        <v>51.145477584014834</v>
      </c>
      <c r="CW65" s="22">
        <f t="shared" si="13"/>
        <v>448.53747345882579</v>
      </c>
      <c r="CX65" s="62">
        <f t="shared" si="14"/>
        <v>741.8708067921591</v>
      </c>
      <c r="CY65" s="62">
        <f ca="1">AVERAGE(OFFSET($CX$3,0,0,'Données projet'!$E$13+1,1))-AVERAGE(OFFSET($H$3,0,0,'Données projet'!$E$13+1,1))</f>
        <v>310.95287409903602</v>
      </c>
      <c r="CZ65" s="62">
        <f t="shared" si="42"/>
        <v>224.10083380795163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</v>
      </c>
      <c r="N66" s="14">
        <f>IF('Données projet'!$A$36&gt;35,N65+M66-V65,IF(A66&lt;'Données projet'!$A$36,$K$205^A66,IF(A66='Données projet'!$A$36,'Données projet'!$B$36,N65+M66-V65)))</f>
        <v>234.00000000000026</v>
      </c>
      <c r="O66" s="14">
        <f>N66*VLOOKUP('Données projet'!$B$9,Paramètres!$A$1:$I$89,3,0)*VLOOKUP('Données projet'!$B$9,Paramètres!$A$1:$I$89,5,0)</f>
        <v>204.42240000000027</v>
      </c>
      <c r="P66" s="14">
        <f t="shared" si="33"/>
        <v>50.714836797527354</v>
      </c>
      <c r="Q66" s="22">
        <f t="shared" si="53"/>
        <v>444.36402075569396</v>
      </c>
      <c r="R66" s="62">
        <f t="shared" si="0"/>
        <v>737.69735408902727</v>
      </c>
      <c r="S66" s="62">
        <f ca="1">AVERAGE(OFFSET($R$3,0,0,'Données projet'!$E$9+1,1))-AVERAGE(OFFSET($H$3,0,0,'Données projet'!$E$9+1,1))</f>
        <v>253.73326067725128</v>
      </c>
      <c r="T66" s="62">
        <f t="shared" si="34"/>
        <v>317.76427047458026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2.3762525441983904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3.7564244650044857E-4</v>
      </c>
      <c r="AC66" s="24">
        <f t="shared" si="3"/>
        <v>2.3766281866448908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283.66728000000001</v>
      </c>
      <c r="AK66" s="14">
        <f t="shared" si="35"/>
        <v>67.741422665699872</v>
      </c>
      <c r="AL66" s="22">
        <f t="shared" si="4"/>
        <v>612.03682380942735</v>
      </c>
      <c r="AM66" s="62">
        <f t="shared" si="5"/>
        <v>905.37015714276072</v>
      </c>
      <c r="AN66" s="62">
        <f ca="1">AVERAGE(OFFSET($AM$3,0,0,'Données projet'!$E$10+1,1))-AVERAGE(OFFSET($H$3,0,0,'Données projet'!$E$10+1,1))</f>
        <v>406.17572122067492</v>
      </c>
      <c r="AO66" s="62">
        <f t="shared" si="36"/>
        <v>244.4332618279085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824.8856389507489</v>
      </c>
      <c r="BI66" s="62">
        <f ca="1">AVERAGE(OFFSET($BH$3,0,0,'Données projet'!$E$11+1,1))-AVERAGE(OFFSET($H$3,0,0,'Données projet'!$E$11+1,1))</f>
        <v>344.49457749226184</v>
      </c>
      <c r="BJ66" s="62">
        <f t="shared" si="38"/>
        <v>207.92972431357452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16.625</v>
      </c>
      <c r="BY66" s="13">
        <f>IF('Données projet'!$A$114&gt;35,BY65+BX66-CG65,IF(A66&lt;'Données projet'!$A$114,$BV$205^A66,IF(A66='Données projet'!$A$114,'Données projet'!$B$114,BY65+BX66-CG65)))</f>
        <v>433.12500000000006</v>
      </c>
      <c r="BZ66" s="14">
        <f>BY66*VLOOKUP('Données projet'!$B$12,Paramètres!$A$1:$I$89,3,0)*VLOOKUP('Données projet'!$B$12,Paramètres!$A$1:$I$89,5,0)</f>
        <v>259.00875000000008</v>
      </c>
      <c r="CA66" s="14">
        <f t="shared" si="39"/>
        <v>62.511036563235727</v>
      </c>
      <c r="CB66" s="22">
        <f t="shared" si="10"/>
        <v>559.98029493096897</v>
      </c>
      <c r="CC66" s="62">
        <f t="shared" si="11"/>
        <v>853.31362826430222</v>
      </c>
      <c r="CD66" s="62">
        <f ca="1">AVERAGE(OFFSET($CC$3,0,0,'Données projet'!$E$12+1,1))-AVERAGE(OFFSET($H$3,0,0,'Données projet'!$E$12+1,1))</f>
        <v>287.69656598881124</v>
      </c>
      <c r="CE66" s="62">
        <f t="shared" si="40"/>
        <v>221.9773436301067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4.1764213021868306</v>
      </c>
      <c r="CL66" s="23">
        <f>EXP(-LN(2)/25)*CL65+(1-EXP(-LN(2)/25))/(LN(2)/25)*Calculateur!CG66*Calculateur!CI66*VLOOKUP('Données projet'!$B$12,Paramètres!$A$1:$I$89,3,0)*0.475*44/12</f>
        <v>2.7693413972401526</v>
      </c>
      <c r="CM66" s="23">
        <f>EXP(-LN(2)/2)*CM65+(1-EXP(-LN(2)/2))/(LN(2)/2)*CG66*CJ66*VLOOKUP('Données projet'!$B$12,Paramètres!$A$1:$I$89,3,0)*0.475*44/12</f>
        <v>7.3432202671372141E-5</v>
      </c>
      <c r="CN66" s="24">
        <f t="shared" si="12"/>
        <v>6.9458361316296546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15.5</v>
      </c>
      <c r="CT66" s="13">
        <f>IF('Données projet'!$A$140&gt;35,CT65+CS66-DB65,IF(A66&lt;'Données projet'!$A$140,$CQ$205^A66,IF(A66='Données projet'!$A$140,'Données projet'!$B$140,CT65+CS66-DB65)))</f>
        <v>456.49999999999989</v>
      </c>
      <c r="CU66" s="18">
        <f>CT66*VLOOKUP('Données projet'!$B$13,Paramètres!$A$1:$I$89,3,0)*VLOOKUP('Données projet'!$B$13,Paramètres!$A$1:$I$89,5,0)</f>
        <v>213.64199999999994</v>
      </c>
      <c r="CV66" s="14">
        <f t="shared" si="41"/>
        <v>52.730656153675348</v>
      </c>
      <c r="CW66" s="22">
        <f t="shared" si="13"/>
        <v>463.93237613431779</v>
      </c>
      <c r="CX66" s="62">
        <f t="shared" si="14"/>
        <v>757.26570946765105</v>
      </c>
      <c r="CY66" s="62">
        <f ca="1">AVERAGE(OFFSET($CX$3,0,0,'Données projet'!$E$13+1,1))-AVERAGE(OFFSET($H$3,0,0,'Données projet'!$E$13+1,1))</f>
        <v>310.95287409903602</v>
      </c>
      <c r="CZ66" s="62">
        <f t="shared" si="42"/>
        <v>224.10083380795163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</v>
      </c>
      <c r="N67" s="14">
        <f>IF('Données projet'!$A$36&gt;35,N66+M67-V66,IF(A67&lt;'Données projet'!$A$36,$K$205^A67,IF(A67='Données projet'!$A$36,'Données projet'!$B$36,N66+M67-V66)))</f>
        <v>240.00000000000026</v>
      </c>
      <c r="O67" s="14">
        <f>N67*VLOOKUP('Données projet'!$B$9,Paramètres!$A$1:$I$89,3,0)*VLOOKUP('Données projet'!$B$9,Paramètres!$A$1:$I$89,5,0)</f>
        <v>209.66400000000024</v>
      </c>
      <c r="P67" s="14">
        <f t="shared" si="33"/>
        <v>51.862154403304579</v>
      </c>
      <c r="Q67" s="22">
        <f t="shared" ref="Q67:Q98" si="54">(O67+P67)*0.475*44/12</f>
        <v>455.49138558575584</v>
      </c>
      <c r="R67" s="62">
        <f t="shared" ref="R67:R130" si="55">Q67+(I67+J67)*44/12</f>
        <v>748.82471891908915</v>
      </c>
      <c r="S67" s="62">
        <f ca="1">AVERAGE(OFFSET($R$3,0,0,'Données projet'!$E$9+1,1))-AVERAGE(OFFSET($H$3,0,0,'Données projet'!$E$9+1,1))</f>
        <v>253.73326067725128</v>
      </c>
      <c r="T67" s="62">
        <f t="shared" si="34"/>
        <v>317.76427047458026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2.3296556811775986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2.6561932122197207E-4</v>
      </c>
      <c r="AC67" s="24">
        <f t="shared" si="3"/>
        <v>2.3299213004988206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292.86504000000002</v>
      </c>
      <c r="AK67" s="14">
        <f t="shared" si="35"/>
        <v>69.678612837868542</v>
      </c>
      <c r="AL67" s="22">
        <f t="shared" si="4"/>
        <v>631.43019535928761</v>
      </c>
      <c r="AM67" s="62">
        <f t="shared" si="5"/>
        <v>924.76352869262087</v>
      </c>
      <c r="AN67" s="62">
        <f ca="1">AVERAGE(OFFSET($AM$3,0,0,'Données projet'!$E$10+1,1))-AVERAGE(OFFSET($H$3,0,0,'Données projet'!$E$10+1,1))</f>
        <v>406.17572122067492</v>
      </c>
      <c r="AO67" s="62">
        <f t="shared" si="36"/>
        <v>244.4332618279085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841.72338563225185</v>
      </c>
      <c r="BI67" s="62">
        <f ca="1">AVERAGE(OFFSET($BH$3,0,0,'Données projet'!$E$11+1,1))-AVERAGE(OFFSET($H$3,0,0,'Données projet'!$E$11+1,1))</f>
        <v>344.49457749226184</v>
      </c>
      <c r="BJ67" s="62">
        <f t="shared" si="38"/>
        <v>207.92972431357452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16.625</v>
      </c>
      <c r="BY67" s="13">
        <f>IF('Données projet'!$A$114&gt;35,BY66+BX67-CG66,IF(A67&lt;'Données projet'!$A$114,$BV$205^A67,IF(A67='Données projet'!$A$114,'Données projet'!$B$114,BY66+BX67-CG66)))</f>
        <v>449.75000000000006</v>
      </c>
      <c r="BZ67" s="14">
        <f>BY67*VLOOKUP('Données projet'!$B$12,Paramètres!$A$1:$I$89,3,0)*VLOOKUP('Données projet'!$B$12,Paramètres!$A$1:$I$89,5,0)</f>
        <v>268.95050000000009</v>
      </c>
      <c r="CA67" s="14">
        <f t="shared" si="39"/>
        <v>64.626488439895155</v>
      </c>
      <c r="CB67" s="22">
        <f t="shared" si="10"/>
        <v>580.97992153281746</v>
      </c>
      <c r="CC67" s="62">
        <f t="shared" si="11"/>
        <v>874.31325486615083</v>
      </c>
      <c r="CD67" s="62">
        <f ca="1">AVERAGE(OFFSET($CC$3,0,0,'Données projet'!$E$12+1,1))-AVERAGE(OFFSET($H$3,0,0,'Données projet'!$E$12+1,1))</f>
        <v>287.69656598881124</v>
      </c>
      <c r="CE67" s="62">
        <f t="shared" si="40"/>
        <v>221.9773436301067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4.09452422781641</v>
      </c>
      <c r="CL67" s="23">
        <f>EXP(-LN(2)/25)*CL66+(1-EXP(-LN(2)/25))/(LN(2)/25)*Calculateur!CG67*Calculateur!CI67*VLOOKUP('Données projet'!$B$12,Paramètres!$A$1:$I$89,3,0)*0.475*44/12</f>
        <v>2.6936136110992859</v>
      </c>
      <c r="CM67" s="23">
        <f>EXP(-LN(2)/2)*CM66+(1-EXP(-LN(2)/2))/(LN(2)/2)*CG67*CJ67*VLOOKUP('Données projet'!$B$12,Paramètres!$A$1:$I$89,3,0)*0.475*44/12</f>
        <v>5.1924408466392152E-5</v>
      </c>
      <c r="CN67" s="24">
        <f t="shared" si="12"/>
        <v>6.7881897633241621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15.5</v>
      </c>
      <c r="CT67" s="13">
        <f>IF('Données projet'!$A$140&gt;35,CT66+CS67-DB66,IF(A67&lt;'Données projet'!$A$140,$CQ$205^A67,IF(A67='Données projet'!$A$140,'Données projet'!$B$140,CT66+CS67-DB66)))</f>
        <v>471.99999999999989</v>
      </c>
      <c r="CU67" s="18">
        <f>CT67*VLOOKUP('Données projet'!$B$13,Paramètres!$A$1:$I$89,3,0)*VLOOKUP('Données projet'!$B$13,Paramètres!$A$1:$I$89,5,0)</f>
        <v>220.89599999999996</v>
      </c>
      <c r="CV67" s="14">
        <f t="shared" si="41"/>
        <v>54.309580803412281</v>
      </c>
      <c r="CW67" s="22">
        <f t="shared" si="13"/>
        <v>479.31638656594299</v>
      </c>
      <c r="CX67" s="62">
        <f t="shared" si="14"/>
        <v>772.64971989927631</v>
      </c>
      <c r="CY67" s="62">
        <f ca="1">AVERAGE(OFFSET($CX$3,0,0,'Données projet'!$E$13+1,1))-AVERAGE(OFFSET($H$3,0,0,'Données projet'!$E$13+1,1))</f>
        <v>310.95287409903602</v>
      </c>
      <c r="CZ67" s="62">
        <f t="shared" si="42"/>
        <v>224.10083380795163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246</v>
      </c>
      <c r="L68" s="13">
        <f>VLOOKUP(A68,'Données projet'!$A$35:$I$55,9,0)</f>
        <v>6</v>
      </c>
      <c r="M68" s="13">
        <f t="array" ref="M68">INDEX(L:L,MIN(IF(ISNUMBER(L68:L264),ROW(L68:L264),"")))</f>
        <v>6</v>
      </c>
      <c r="N68" s="14">
        <f>IF('Données projet'!$A$36&gt;35,N67+M68-V67,IF(A68&lt;'Données projet'!$A$36,$K$205^A68,IF(A68='Données projet'!$A$36,'Données projet'!$B$36,N67+M68-V67)))</f>
        <v>246.00000000000026</v>
      </c>
      <c r="O68" s="14">
        <f>N68*VLOOKUP('Données projet'!$B$9,Paramètres!$A$1:$I$89,3,0)*VLOOKUP('Données projet'!$B$9,Paramètres!$A$1:$I$89,5,0)</f>
        <v>214.90560000000025</v>
      </c>
      <c r="P68" s="14">
        <f t="shared" si="33"/>
        <v>53.006137800892375</v>
      </c>
      <c r="Q68" s="22">
        <f t="shared" si="54"/>
        <v>466.61294333655468</v>
      </c>
      <c r="R68" s="62">
        <f t="shared" si="55"/>
        <v>759.94627666988799</v>
      </c>
      <c r="S68" s="62">
        <f ca="1">AVERAGE(OFFSET($R$3,0,0,'Données projet'!$E$9+1,1))-AVERAGE(OFFSET($H$3,0,0,'Données projet'!$E$9+1,1))</f>
        <v>253.73326067725128</v>
      </c>
      <c r="T68" s="62">
        <f t="shared" si="34"/>
        <v>317.76427047458026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23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2.2839725542193641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1.8782122325022429E-4</v>
      </c>
      <c r="AC68" s="24">
        <f t="shared" ref="AC68:AC131" si="57">SUM(Z68:AB68)</f>
        <v>2.2841603754426143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302.06280000000004</v>
      </c>
      <c r="AK68" s="14">
        <f t="shared" si="35"/>
        <v>71.608732973851531</v>
      </c>
      <c r="AL68" s="22">
        <f t="shared" ref="AL68:AL131" si="58">(AJ68+AK68)*0.475*44/12</f>
        <v>650.81125326279141</v>
      </c>
      <c r="AM68" s="62">
        <f t="shared" ref="AM68:AM131" si="59">AL68+(AD68+AE68)*44/12</f>
        <v>944.14458659612478</v>
      </c>
      <c r="AN68" s="62">
        <f ca="1">AVERAGE(OFFSET($AM$3,0,0,'Données projet'!$E$10+1,1))-AVERAGE(OFFSET($H$3,0,0,'Données projet'!$E$10+1,1))</f>
        <v>406.17572122067492</v>
      </c>
      <c r="AO68" s="62">
        <f t="shared" si="36"/>
        <v>244.4332618279085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858.55029224701411</v>
      </c>
      <c r="BI68" s="62">
        <f ca="1">AVERAGE(OFFSET($BH$3,0,0,'Données projet'!$E$11+1,1))-AVERAGE(OFFSET($H$3,0,0,'Données projet'!$E$11+1,1))</f>
        <v>344.49457749226184</v>
      </c>
      <c r="BJ68" s="62">
        <f t="shared" si="38"/>
        <v>207.92972431357452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16.625</v>
      </c>
      <c r="BY68" s="13">
        <f>IF('Données projet'!$A$114&gt;35,BY67+BX68-CG67,IF(A68&lt;'Données projet'!$A$114,$BV$205^A68,IF(A68='Données projet'!$A$114,'Données projet'!$B$114,BY67+BX68-CG67)))</f>
        <v>466.37500000000006</v>
      </c>
      <c r="BZ68" s="14">
        <f>BY68*VLOOKUP('Données projet'!$B$12,Paramètres!$A$1:$I$89,3,0)*VLOOKUP('Données projet'!$B$12,Paramètres!$A$1:$I$89,5,0)</f>
        <v>278.89225000000005</v>
      </c>
      <c r="CA68" s="14">
        <f t="shared" si="39"/>
        <v>66.732855480271084</v>
      </c>
      <c r="CB68" s="22">
        <f t="shared" ref="CB68:CB131" si="64">(BZ68+CA68)*0.475*44/12</f>
        <v>601.96372537813886</v>
      </c>
      <c r="CC68" s="62">
        <f t="shared" ref="CC68:CC131" si="65">CB68+(BT68+BU68)*44/12</f>
        <v>895.29705871147212</v>
      </c>
      <c r="CD68" s="62">
        <f ca="1">AVERAGE(OFFSET($CC$3,0,0,'Données projet'!$E$12+1,1))-AVERAGE(OFFSET($H$3,0,0,'Données projet'!$E$12+1,1))</f>
        <v>287.69656598881124</v>
      </c>
      <c r="CE68" s="62">
        <f t="shared" si="40"/>
        <v>221.9773436301067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4.0142331051221101</v>
      </c>
      <c r="CL68" s="23">
        <f>EXP(-LN(2)/25)*CL67+(1-EXP(-LN(2)/25))/(LN(2)/25)*Calculateur!CG68*Calculateur!CI68*VLOOKUP('Données projet'!$B$12,Paramètres!$A$1:$I$89,3,0)*0.475*44/12</f>
        <v>2.6199566052527925</v>
      </c>
      <c r="CM68" s="23">
        <f>EXP(-LN(2)/2)*CM67+(1-EXP(-LN(2)/2))/(LN(2)/2)*CG68*CJ68*VLOOKUP('Données projet'!$B$12,Paramètres!$A$1:$I$89,3,0)*0.475*44/12</f>
        <v>3.6716101335686071E-5</v>
      </c>
      <c r="CN68" s="24">
        <f t="shared" ref="CN68:CN131" si="66">SUM(CK68:CM68)</f>
        <v>6.6342264264762383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15.5</v>
      </c>
      <c r="CT68" s="13">
        <f>IF('Données projet'!$A$140&gt;35,CT67+CS68-DB67,IF(A68&lt;'Données projet'!$A$140,$CQ$205^A68,IF(A68='Données projet'!$A$140,'Données projet'!$B$140,CT67+CS68-DB67)))</f>
        <v>487.49999999999989</v>
      </c>
      <c r="CU68" s="18">
        <f>CT68*VLOOKUP('Données projet'!$B$13,Paramètres!$A$1:$I$89,3,0)*VLOOKUP('Données projet'!$B$13,Paramètres!$A$1:$I$89,5,0)</f>
        <v>228.14999999999992</v>
      </c>
      <c r="CV68" s="14">
        <f t="shared" si="41"/>
        <v>55.882480456847652</v>
      </c>
      <c r="CW68" s="22">
        <f t="shared" ref="CW68:CW131" si="67">(CU68+CV68)*0.475*44/12</f>
        <v>494.68990346234278</v>
      </c>
      <c r="CX68" s="62">
        <f t="shared" ref="CX68:CX131" si="68">CW68+(CO68+CP68)*44/12</f>
        <v>788.0232367956761</v>
      </c>
      <c r="CY68" s="62">
        <f ca="1">AVERAGE(OFFSET($CX$3,0,0,'Données projet'!$E$13+1,1))-AVERAGE(OFFSET($H$3,0,0,'Données projet'!$E$13+1,1))</f>
        <v>310.95287409903602</v>
      </c>
      <c r="CZ68" s="62">
        <f t="shared" si="42"/>
        <v>224.10083380795163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228.20000000000024</v>
      </c>
      <c r="O69" s="14">
        <f>N69*VLOOKUP('Données projet'!$B$9,Paramètres!$A$1:$I$89,3,0)*VLOOKUP('Données projet'!$B$9,Paramètres!$A$1:$I$89,5,0)</f>
        <v>199.35552000000024</v>
      </c>
      <c r="P69" s="14">
        <f t="shared" ref="P69:P132" si="87">EXP(-1.0587+0.8836*LN(O69)+0.284)</f>
        <v>49.602503932783272</v>
      </c>
      <c r="Q69" s="22">
        <f t="shared" si="54"/>
        <v>433.60189168293124</v>
      </c>
      <c r="R69" s="62">
        <f t="shared" si="55"/>
        <v>726.93522501626455</v>
      </c>
      <c r="S69" s="62">
        <f ca="1">AVERAGE(OFFSET($R$3,0,0,'Données projet'!$E$9+1,1))-AVERAGE(OFFSET($H$3,0,0,'Données projet'!$E$9+1,1))</f>
        <v>253.73326067725128</v>
      </c>
      <c r="T69" s="62">
        <f t="shared" ref="T69:T132" si="88">$T$3</f>
        <v>317.76427047458026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2.2391852455168246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1.3280966061098603E-4</v>
      </c>
      <c r="AC69" s="24">
        <f t="shared" si="57"/>
        <v>2.2393180551774354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281.36784</v>
      </c>
      <c r="AK69" s="14">
        <f t="shared" ref="AK69:AK132" si="89">EXP(-1.0587+0.8836*LN(AJ69)+0.284)</f>
        <v>67.255990757578601</v>
      </c>
      <c r="AL69" s="22">
        <f t="shared" si="58"/>
        <v>607.18650523611609</v>
      </c>
      <c r="AM69" s="62">
        <f t="shared" si="59"/>
        <v>900.51983856944935</v>
      </c>
      <c r="AN69" s="62">
        <f ca="1">AVERAGE(OFFSET($AM$3,0,0,'Données projet'!$E$10+1,1))-AVERAGE(OFFSET($H$3,0,0,'Données projet'!$E$10+1,1))</f>
        <v>406.17572122067492</v>
      </c>
      <c r="AO69" s="62">
        <f t="shared" ref="AO69:AO132" si="90">$AO$3</f>
        <v>244.4332618279085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820.67446302574353</v>
      </c>
      <c r="BI69" s="62">
        <f ca="1">AVERAGE(OFFSET($BH$3,0,0,'Données projet'!$E$11+1,1))-AVERAGE(OFFSET($H$3,0,0,'Données projet'!$E$11+1,1))</f>
        <v>344.49457749226184</v>
      </c>
      <c r="BJ69" s="62">
        <f t="shared" ref="BJ69:BJ132" si="92">$BJ$3</f>
        <v>207.92972431357452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483</v>
      </c>
      <c r="BW69" s="13">
        <f>VLOOKUP(A69,'Données projet'!$A$113:$I$133,9,0)</f>
        <v>16.625</v>
      </c>
      <c r="BX69" s="13">
        <f t="array" ref="BX69">INDEX(BW:BW,MIN(IF(ISNUMBER(BW69:BW265),ROW(BW69:BW265),"")))</f>
        <v>16.625</v>
      </c>
      <c r="BY69" s="13">
        <f>IF('Données projet'!$A$114&gt;35,BY68+BX69-CG68,IF(A69&lt;'Données projet'!$A$114,$BV$205^A69,IF(A69='Données projet'!$A$114,'Données projet'!$B$114,BY68+BX69-CG68)))</f>
        <v>483.00000000000006</v>
      </c>
      <c r="BZ69" s="14">
        <f>BY69*VLOOKUP('Données projet'!$B$12,Paramètres!$A$1:$I$89,3,0)*VLOOKUP('Données projet'!$B$12,Paramètres!$A$1:$I$89,5,0)</f>
        <v>288.83400000000006</v>
      </c>
      <c r="CA69" s="14">
        <f t="shared" ref="CA69:CA132" si="93">EXP(-1.0587+0.8836*LN(BZ69)+0.284)</f>
        <v>68.830498636563377</v>
      </c>
      <c r="CB69" s="22">
        <f t="shared" si="64"/>
        <v>622.932335125348</v>
      </c>
      <c r="CC69" s="62">
        <f t="shared" si="65"/>
        <v>916.26566845868138</v>
      </c>
      <c r="CD69" s="62">
        <f ca="1">AVERAGE(OFFSET($CC$3,0,0,'Données projet'!$E$12+1,1))-AVERAGE(OFFSET($H$3,0,0,'Données projet'!$E$12+1,1))</f>
        <v>287.69656598881124</v>
      </c>
      <c r="CE69" s="62">
        <f t="shared" ref="CE69:CE132" si="94">$CE$3</f>
        <v>221.9773436301067</v>
      </c>
      <c r="CF69" s="16">
        <f>IF(ISNA(VLOOKUP(A69,'Données projet'!$A$113:$I$133,3,0)),0,VLOOKUP(A69,'Données projet'!$A$113:$I$133,3,0))</f>
        <v>9</v>
      </c>
      <c r="CG69" s="16">
        <f>IF(ISNA(VLOOKUP(A69,'Données projet'!$A$113:$I$133,4,0)),0,VLOOKUP(A69,'Données projet'!$A$113:$I$133,4,0))</f>
        <v>65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3.935516442371096</v>
      </c>
      <c r="CL69" s="23">
        <f>EXP(-LN(2)/25)*CL68+(1-EXP(-LN(2)/25))/(LN(2)/25)*Calculateur!CG69*Calculateur!CI69*VLOOKUP('Données projet'!$B$12,Paramètres!$A$1:$I$89,3,0)*0.475*44/12</f>
        <v>2.5483137541046248</v>
      </c>
      <c r="CM69" s="23">
        <f>EXP(-LN(2)/2)*CM68+(1-EXP(-LN(2)/2))/(LN(2)/2)*CG69*CJ69*VLOOKUP('Données projet'!$B$12,Paramètres!$A$1:$I$89,3,0)*0.475*44/12</f>
        <v>2.5962204233196076E-5</v>
      </c>
      <c r="CN69" s="24">
        <f t="shared" si="66"/>
        <v>6.4838561586799539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15.5</v>
      </c>
      <c r="CT69" s="13">
        <f>IF('Données projet'!$A$140&gt;35,CT68+CS69-DB68,IF(A69&lt;'Données projet'!$A$140,$CQ$205^A69,IF(A69='Données projet'!$A$140,'Données projet'!$B$140,CT68+CS69-DB68)))</f>
        <v>502.99999999999989</v>
      </c>
      <c r="CU69" s="18">
        <f>CT69*VLOOKUP('Données projet'!$B$13,Paramètres!$A$1:$I$89,3,0)*VLOOKUP('Données projet'!$B$13,Paramètres!$A$1:$I$89,5,0)</f>
        <v>235.40399999999994</v>
      </c>
      <c r="CV69" s="14">
        <f t="shared" ref="CV69:CV132" si="95">EXP(-1.0587+0.8836*LN(CU69)+0.284)</f>
        <v>57.449568653781753</v>
      </c>
      <c r="CW69" s="22">
        <f t="shared" si="67"/>
        <v>510.05329873866975</v>
      </c>
      <c r="CX69" s="62">
        <f t="shared" si="68"/>
        <v>803.38663207200307</v>
      </c>
      <c r="CY69" s="62">
        <f ca="1">AVERAGE(OFFSET($CX$3,0,0,'Données projet'!$E$13+1,1))-AVERAGE(OFFSET($H$3,0,0,'Données projet'!$E$13+1,1))</f>
        <v>310.95287409903602</v>
      </c>
      <c r="CZ69" s="62">
        <f t="shared" ref="CZ69:CZ132" si="96">$CZ$3</f>
        <v>224.10083380795163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233.40000000000023</v>
      </c>
      <c r="O70" s="14">
        <f>N70*VLOOKUP('Données projet'!$B$9,Paramètres!$A$1:$I$89,3,0)*VLOOKUP('Données projet'!$B$9,Paramètres!$A$1:$I$89,5,0)</f>
        <v>203.89824000000024</v>
      </c>
      <c r="P70" s="14">
        <f t="shared" si="87"/>
        <v>50.599918019430255</v>
      </c>
      <c r="Q70" s="22">
        <f t="shared" si="54"/>
        <v>443.25095855050807</v>
      </c>
      <c r="R70" s="62">
        <f t="shared" si="55"/>
        <v>736.58429188384139</v>
      </c>
      <c r="S70" s="62">
        <f ca="1">AVERAGE(OFFSET($R$3,0,0,'Données projet'!$E$9+1,1))-AVERAGE(OFFSET($H$3,0,0,'Données projet'!$E$9+1,1))</f>
        <v>253.73326067725128</v>
      </c>
      <c r="T70" s="62">
        <f t="shared" si="88"/>
        <v>317.76427047458026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2.1952761886203809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9.3910611625112143E-5</v>
      </c>
      <c r="AC70" s="24">
        <f t="shared" si="57"/>
        <v>2.1953700992320058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289.93848000000003</v>
      </c>
      <c r="AK70" s="14">
        <f t="shared" si="89"/>
        <v>69.063012920303009</v>
      </c>
      <c r="AL70" s="22">
        <f t="shared" si="58"/>
        <v>625.26093350286112</v>
      </c>
      <c r="AM70" s="62">
        <f t="shared" si="59"/>
        <v>918.59426683619449</v>
      </c>
      <c r="AN70" s="62">
        <f ca="1">AVERAGE(OFFSET($AM$3,0,0,'Données projet'!$E$10+1,1))-AVERAGE(OFFSET($H$3,0,0,'Données projet'!$E$10+1,1))</f>
        <v>406.17572122067492</v>
      </c>
      <c r="AO70" s="62">
        <f t="shared" si="90"/>
        <v>244.4332618279085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836.36711482633996</v>
      </c>
      <c r="BI70" s="62">
        <f ca="1">AVERAGE(OFFSET($BH$3,0,0,'Données projet'!$E$11+1,1))-AVERAGE(OFFSET($H$3,0,0,'Données projet'!$E$11+1,1))</f>
        <v>344.49457749226184</v>
      </c>
      <c r="BJ70" s="62">
        <f t="shared" si="92"/>
        <v>207.92972431357452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12.875</v>
      </c>
      <c r="BY70" s="13">
        <f>IF('Données projet'!$A$114&gt;35,BY69+BX70-CG69,IF(A70&lt;'Données projet'!$A$114,$BV$205^A70,IF(A70='Données projet'!$A$114,'Données projet'!$B$114,BY69+BX70-CG69)))</f>
        <v>430.87500000000006</v>
      </c>
      <c r="BZ70" s="14">
        <f>BY70*VLOOKUP('Données projet'!$B$12,Paramètres!$A$1:$I$89,3,0)*VLOOKUP('Données projet'!$B$12,Paramètres!$A$1:$I$89,5,0)</f>
        <v>257.66325000000006</v>
      </c>
      <c r="CA70" s="14">
        <f t="shared" si="93"/>
        <v>62.224015868041043</v>
      </c>
      <c r="CB70" s="22">
        <f t="shared" si="64"/>
        <v>557.13698805350487</v>
      </c>
      <c r="CC70" s="62">
        <f t="shared" si="65"/>
        <v>850.47032138683812</v>
      </c>
      <c r="CD70" s="62">
        <f ca="1">AVERAGE(OFFSET($CC$3,0,0,'Données projet'!$E$12+1,1))-AVERAGE(OFFSET($H$3,0,0,'Données projet'!$E$12+1,1))</f>
        <v>287.69656598881124</v>
      </c>
      <c r="CE70" s="62">
        <f t="shared" si="94"/>
        <v>221.9773436301067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3.8583433653642061</v>
      </c>
      <c r="CL70" s="23">
        <f>EXP(-LN(2)/25)*CL69+(1-EXP(-LN(2)/25))/(LN(2)/25)*Calculateur!CG70*Calculateur!CI70*VLOOKUP('Données projet'!$B$12,Paramètres!$A$1:$I$89,3,0)*0.475*44/12</f>
        <v>2.4786299804886376</v>
      </c>
      <c r="CM70" s="23">
        <f>EXP(-LN(2)/2)*CM69+(1-EXP(-LN(2)/2))/(LN(2)/2)*CG70*CJ70*VLOOKUP('Données projet'!$B$12,Paramètres!$A$1:$I$89,3,0)*0.475*44/12</f>
        <v>1.8358050667843035E-5</v>
      </c>
      <c r="CN70" s="24">
        <f t="shared" si="66"/>
        <v>6.3369917039035117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15.5</v>
      </c>
      <c r="CT70" s="13">
        <f>IF('Données projet'!$A$140&gt;35,CT69+CS70-DB69,IF(A70&lt;'Données projet'!$A$140,$CQ$205^A70,IF(A70='Données projet'!$A$140,'Données projet'!$B$140,CT69+CS70-DB69)))</f>
        <v>518.49999999999989</v>
      </c>
      <c r="CU70" s="18">
        <f>CT70*VLOOKUP('Données projet'!$B$13,Paramètres!$A$1:$I$89,3,0)*VLOOKUP('Données projet'!$B$13,Paramètres!$A$1:$I$89,5,0)</f>
        <v>242.65799999999993</v>
      </c>
      <c r="CV70" s="14">
        <f t="shared" si="95"/>
        <v>59.011045025839607</v>
      </c>
      <c r="CW70" s="22">
        <f t="shared" si="67"/>
        <v>525.40692008667054</v>
      </c>
      <c r="CX70" s="62">
        <f t="shared" si="68"/>
        <v>818.74025342000391</v>
      </c>
      <c r="CY70" s="62">
        <f ca="1">AVERAGE(OFFSET($CX$3,0,0,'Données projet'!$E$13+1,1))-AVERAGE(OFFSET($H$3,0,0,'Données projet'!$E$13+1,1))</f>
        <v>310.95287409903602</v>
      </c>
      <c r="CZ70" s="62">
        <f t="shared" si="96"/>
        <v>224.10083380795163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238.60000000000022</v>
      </c>
      <c r="O71" s="14">
        <f>N71*VLOOKUP('Données projet'!$B$9,Paramètres!$A$1:$I$89,3,0)*VLOOKUP('Données projet'!$B$9,Paramètres!$A$1:$I$89,5,0)</f>
        <v>208.44096000000022</v>
      </c>
      <c r="P71" s="14">
        <f t="shared" si="87"/>
        <v>51.594748621124261</v>
      </c>
      <c r="Q71" s="22">
        <f t="shared" si="54"/>
        <v>452.89552584845842</v>
      </c>
      <c r="R71" s="62">
        <f t="shared" si="55"/>
        <v>746.22885918179168</v>
      </c>
      <c r="S71" s="62">
        <f ca="1">AVERAGE(OFFSET($R$3,0,0,'Données projet'!$E$9+1,1))-AVERAGE(OFFSET($H$3,0,0,'Données projet'!$E$9+1,1))</f>
        <v>253.73326067725128</v>
      </c>
      <c r="T71" s="62">
        <f t="shared" si="88"/>
        <v>317.76427047458026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2.1522281615477965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6.6404830305493017E-5</v>
      </c>
      <c r="AC71" s="24">
        <f t="shared" si="57"/>
        <v>2.1522945663781021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298.50912</v>
      </c>
      <c r="AK71" s="14">
        <f t="shared" si="89"/>
        <v>70.863827196915565</v>
      </c>
      <c r="AL71" s="22">
        <f t="shared" si="58"/>
        <v>643.32454970129459</v>
      </c>
      <c r="AM71" s="62">
        <f t="shared" si="59"/>
        <v>936.65788303462796</v>
      </c>
      <c r="AN71" s="62">
        <f ca="1">AVERAGE(OFFSET($AM$3,0,0,'Données projet'!$E$10+1,1))-AVERAGE(OFFSET($H$3,0,0,'Données projet'!$E$10+1,1))</f>
        <v>406.17572122067492</v>
      </c>
      <c r="AO71" s="62">
        <f t="shared" si="90"/>
        <v>244.4332618279085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852.05024844371815</v>
      </c>
      <c r="BI71" s="62">
        <f ca="1">AVERAGE(OFFSET($BH$3,0,0,'Données projet'!$E$11+1,1))-AVERAGE(OFFSET($H$3,0,0,'Données projet'!$E$11+1,1))</f>
        <v>344.49457749226184</v>
      </c>
      <c r="BJ71" s="62">
        <f t="shared" si="92"/>
        <v>207.92972431357452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12.875</v>
      </c>
      <c r="BY71" s="13">
        <f>IF('Données projet'!$A$114&gt;35,BY70+BX71-CG70,IF(A71&lt;'Données projet'!$A$114,$BV$205^A71,IF(A71='Données projet'!$A$114,'Données projet'!$B$114,BY70+BX71-CG70)))</f>
        <v>443.75000000000006</v>
      </c>
      <c r="BZ71" s="14">
        <f>BY71*VLOOKUP('Données projet'!$B$12,Paramètres!$A$1:$I$89,3,0)*VLOOKUP('Données projet'!$B$12,Paramètres!$A$1:$I$89,5,0)</f>
        <v>265.36250000000007</v>
      </c>
      <c r="CA71" s="14">
        <f t="shared" si="93"/>
        <v>63.864084559847946</v>
      </c>
      <c r="CB71" s="22">
        <f t="shared" si="64"/>
        <v>573.40296810840198</v>
      </c>
      <c r="CC71" s="62">
        <f t="shared" si="65"/>
        <v>866.73630144173535</v>
      </c>
      <c r="CD71" s="62">
        <f ca="1">AVERAGE(OFFSET($CC$3,0,0,'Données projet'!$E$12+1,1))-AVERAGE(OFFSET($H$3,0,0,'Données projet'!$E$12+1,1))</f>
        <v>287.69656598881124</v>
      </c>
      <c r="CE71" s="62">
        <f t="shared" si="94"/>
        <v>221.9773436301067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3.7826836053264921</v>
      </c>
      <c r="CL71" s="23">
        <f>EXP(-LN(2)/25)*CL70+(1-EXP(-LN(2)/25))/(LN(2)/25)*Calculateur!CG71*Calculateur!CI71*VLOOKUP('Données projet'!$B$12,Paramètres!$A$1:$I$89,3,0)*0.475*44/12</f>
        <v>2.4108517133266902</v>
      </c>
      <c r="CM71" s="23">
        <f>EXP(-LN(2)/2)*CM70+(1-EXP(-LN(2)/2))/(LN(2)/2)*CG71*CJ71*VLOOKUP('Données projet'!$B$12,Paramètres!$A$1:$I$89,3,0)*0.475*44/12</f>
        <v>1.2981102116598038E-5</v>
      </c>
      <c r="CN71" s="24">
        <f t="shared" si="66"/>
        <v>6.1935482997552995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15.5</v>
      </c>
      <c r="CT71" s="13">
        <f>IF('Données projet'!$A$140&gt;35,CT70+CS71-DB70,IF(A71&lt;'Données projet'!$A$140,$CQ$205^A71,IF(A71='Données projet'!$A$140,'Données projet'!$B$140,CT70+CS71-DB70)))</f>
        <v>533.99999999999989</v>
      </c>
      <c r="CU71" s="18">
        <f>CT71*VLOOKUP('Données projet'!$B$13,Paramètres!$A$1:$I$89,3,0)*VLOOKUP('Données projet'!$B$13,Paramètres!$A$1:$I$89,5,0)</f>
        <v>249.91199999999995</v>
      </c>
      <c r="CV71" s="14">
        <f t="shared" si="95"/>
        <v>60.56709659070836</v>
      </c>
      <c r="CW71" s="22">
        <f t="shared" si="67"/>
        <v>540.7510932288169</v>
      </c>
      <c r="CX71" s="62">
        <f t="shared" si="68"/>
        <v>834.08442656215016</v>
      </c>
      <c r="CY71" s="62">
        <f ca="1">AVERAGE(OFFSET($CX$3,0,0,'Données projet'!$E$13+1,1))-AVERAGE(OFFSET($H$3,0,0,'Données projet'!$E$13+1,1))</f>
        <v>310.95287409903602</v>
      </c>
      <c r="CZ71" s="62">
        <f t="shared" si="96"/>
        <v>224.10083380795163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243.80000000000021</v>
      </c>
      <c r="O72" s="14">
        <f>N72*VLOOKUP('Données projet'!$B$9,Paramètres!$A$1:$I$89,3,0)*VLOOKUP('Données projet'!$B$9,Paramètres!$A$1:$I$89,5,0)</f>
        <v>212.98368000000022</v>
      </c>
      <c r="P72" s="14">
        <f t="shared" si="87"/>
        <v>52.587058525970413</v>
      </c>
      <c r="Q72" s="22">
        <f t="shared" si="54"/>
        <v>462.53570293273214</v>
      </c>
      <c r="R72" s="62">
        <f t="shared" si="55"/>
        <v>755.86903626606545</v>
      </c>
      <c r="S72" s="62">
        <f ca="1">AVERAGE(OFFSET($R$3,0,0,'Données projet'!$E$9+1,1))-AVERAGE(OFFSET($H$3,0,0,'Données projet'!$E$9+1,1))</f>
        <v>253.73326067725128</v>
      </c>
      <c r="T72" s="62">
        <f t="shared" si="88"/>
        <v>317.76427047458026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2.1100242800294016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4.6955305812556072E-5</v>
      </c>
      <c r="AC72" s="24">
        <f t="shared" si="57"/>
        <v>2.110071235335214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307.07975999999996</v>
      </c>
      <c r="AK72" s="14">
        <f t="shared" si="89"/>
        <v>72.658632295095899</v>
      </c>
      <c r="AL72" s="22">
        <f t="shared" si="58"/>
        <v>661.37769991395862</v>
      </c>
      <c r="AM72" s="62">
        <f t="shared" si="59"/>
        <v>954.71103324729188</v>
      </c>
      <c r="AN72" s="62">
        <f ca="1">AVERAGE(OFFSET($AM$3,0,0,'Données projet'!$E$10+1,1))-AVERAGE(OFFSET($H$3,0,0,'Données projet'!$E$10+1,1))</f>
        <v>406.17572122067492</v>
      </c>
      <c r="AO72" s="62">
        <f t="shared" si="90"/>
        <v>244.4332618279085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867.72416854456674</v>
      </c>
      <c r="BI72" s="62">
        <f ca="1">AVERAGE(OFFSET($BH$3,0,0,'Données projet'!$E$11+1,1))-AVERAGE(OFFSET($H$3,0,0,'Données projet'!$E$11+1,1))</f>
        <v>344.49457749226184</v>
      </c>
      <c r="BJ72" s="62">
        <f t="shared" si="92"/>
        <v>207.92972431357452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12.875</v>
      </c>
      <c r="BY72" s="13">
        <f>IF('Données projet'!$A$114&gt;35,BY71+BX72-CG71,IF(A72&lt;'Données projet'!$A$114,$BV$205^A72,IF(A72='Données projet'!$A$114,'Données projet'!$B$114,BY71+BX72-CG71)))</f>
        <v>456.62500000000006</v>
      </c>
      <c r="BZ72" s="14">
        <f>BY72*VLOOKUP('Données projet'!$B$12,Paramètres!$A$1:$I$89,3,0)*VLOOKUP('Données projet'!$B$12,Paramètres!$A$1:$I$89,5,0)</f>
        <v>273.06175000000007</v>
      </c>
      <c r="CA72" s="14">
        <f t="shared" si="93"/>
        <v>65.49862286970442</v>
      </c>
      <c r="CB72" s="22">
        <f t="shared" si="64"/>
        <v>589.65931608140193</v>
      </c>
      <c r="CC72" s="62">
        <f t="shared" si="65"/>
        <v>882.9926494147353</v>
      </c>
      <c r="CD72" s="62">
        <f ca="1">AVERAGE(OFFSET($CC$3,0,0,'Données projet'!$E$12+1,1))-AVERAGE(OFFSET($H$3,0,0,'Données projet'!$E$12+1,1))</f>
        <v>287.69656598881124</v>
      </c>
      <c r="CE72" s="62">
        <f t="shared" si="94"/>
        <v>221.9773436301067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3.7085074870352206</v>
      </c>
      <c r="CL72" s="23">
        <f>EXP(-LN(2)/25)*CL71+(1-EXP(-LN(2)/25))/(LN(2)/25)*Calculateur!CG72*Calculateur!CI72*VLOOKUP('Données projet'!$B$12,Paramètres!$A$1:$I$89,3,0)*0.475*44/12</f>
        <v>2.3449268464445905</v>
      </c>
      <c r="CM72" s="23">
        <f>EXP(-LN(2)/2)*CM71+(1-EXP(-LN(2)/2))/(LN(2)/2)*CG72*CJ72*VLOOKUP('Données projet'!$B$12,Paramètres!$A$1:$I$89,3,0)*0.475*44/12</f>
        <v>9.1790253339215176E-6</v>
      </c>
      <c r="CN72" s="24">
        <f t="shared" si="66"/>
        <v>6.0534435125051447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15.5</v>
      </c>
      <c r="CT72" s="13">
        <f>IF('Données projet'!$A$140&gt;35,CT71+CS72-DB71,IF(A72&lt;'Données projet'!$A$140,$CQ$205^A72,IF(A72='Données projet'!$A$140,'Données projet'!$B$140,CT71+CS72-DB71)))</f>
        <v>549.49999999999989</v>
      </c>
      <c r="CU72" s="18">
        <f>CT72*VLOOKUP('Données projet'!$B$13,Paramètres!$A$1:$I$89,3,0)*VLOOKUP('Données projet'!$B$13,Paramètres!$A$1:$I$89,5,0)</f>
        <v>257.16599999999994</v>
      </c>
      <c r="CV72" s="14">
        <f t="shared" si="95"/>
        <v>62.117898891884423</v>
      </c>
      <c r="CW72" s="22">
        <f t="shared" si="67"/>
        <v>556.08612390336521</v>
      </c>
      <c r="CX72" s="62">
        <f t="shared" si="68"/>
        <v>849.41945723669846</v>
      </c>
      <c r="CY72" s="62">
        <f ca="1">AVERAGE(OFFSET($CX$3,0,0,'Données projet'!$E$13+1,1))-AVERAGE(OFFSET($H$3,0,0,'Données projet'!$E$13+1,1))</f>
        <v>310.95287409903602</v>
      </c>
      <c r="CZ72" s="62">
        <f t="shared" si="96"/>
        <v>224.10083380795163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249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249.0000000000002</v>
      </c>
      <c r="O73" s="14">
        <f>N73*VLOOKUP('Données projet'!$B$9,Paramètres!$A$1:$I$89,3,0)*VLOOKUP('Données projet'!$B$9,Paramètres!$A$1:$I$89,5,0)</f>
        <v>217.52640000000019</v>
      </c>
      <c r="P73" s="14">
        <f t="shared" si="87"/>
        <v>53.576907690651304</v>
      </c>
      <c r="Q73" s="22">
        <f t="shared" si="54"/>
        <v>472.17159422788467</v>
      </c>
      <c r="R73" s="62">
        <f t="shared" si="55"/>
        <v>765.50492756121798</v>
      </c>
      <c r="S73" s="62">
        <f ca="1">AVERAGE(OFFSET($R$3,0,0,'Données projet'!$E$9+1,1))-AVERAGE(OFFSET($H$3,0,0,'Données projet'!$E$9+1,1))</f>
        <v>253.73326067725128</v>
      </c>
      <c r="T73" s="62">
        <f t="shared" si="88"/>
        <v>317.76427047458026</v>
      </c>
      <c r="U73" s="16">
        <f>IF(ISNA(VLOOKUP(A73,'Données projet'!$A$35:$I$55,3,0)),0,VLOOKUP(A73,'Données projet'!$A$35:$I$55,3,0))</f>
        <v>12</v>
      </c>
      <c r="V73" s="16">
        <f>IF(ISNA(VLOOKUP(A73,'Données projet'!$A$35:$I$55,4,0)),0,VLOOKUP(A73,'Données projet'!$A$35:$I$55,4,0))</f>
        <v>249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2.0686479908857565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3.3202415152746509E-5</v>
      </c>
      <c r="AC73" s="24">
        <f t="shared" si="57"/>
        <v>2.0686811933009093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315.65039999999999</v>
      </c>
      <c r="AK73" s="14">
        <f t="shared" si="89"/>
        <v>74.447615199497747</v>
      </c>
      <c r="AL73" s="22">
        <f t="shared" si="58"/>
        <v>679.42070980579183</v>
      </c>
      <c r="AM73" s="62">
        <f t="shared" si="59"/>
        <v>972.75404313912509</v>
      </c>
      <c r="AN73" s="62">
        <f ca="1">AVERAGE(OFFSET($AM$3,0,0,'Données projet'!$E$10+1,1))-AVERAGE(OFFSET($H$3,0,0,'Données projet'!$E$10+1,1))</f>
        <v>406.17572122067492</v>
      </c>
      <c r="AO73" s="62">
        <f t="shared" si="90"/>
        <v>244.4332618279085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883.38916182135404</v>
      </c>
      <c r="BI73" s="62">
        <f ca="1">AVERAGE(OFFSET($BH$3,0,0,'Données projet'!$E$11+1,1))-AVERAGE(OFFSET($H$3,0,0,'Données projet'!$E$11+1,1))</f>
        <v>344.49457749226184</v>
      </c>
      <c r="BJ73" s="62">
        <f t="shared" si="92"/>
        <v>207.92972431357452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12.875</v>
      </c>
      <c r="BY73" s="13">
        <f>IF('Données projet'!$A$114&gt;35,BY72+BX73-CG72,IF(A73&lt;'Données projet'!$A$114,$BV$205^A73,IF(A73='Données projet'!$A$114,'Données projet'!$B$114,BY72+BX73-CG72)))</f>
        <v>469.50000000000006</v>
      </c>
      <c r="BZ73" s="14">
        <f>BY73*VLOOKUP('Données projet'!$B$12,Paramètres!$A$1:$I$89,3,0)*VLOOKUP('Données projet'!$B$12,Paramètres!$A$1:$I$89,5,0)</f>
        <v>280.76100000000002</v>
      </c>
      <c r="CA73" s="14">
        <f t="shared" si="93"/>
        <v>67.12780464438184</v>
      </c>
      <c r="CB73" s="22">
        <f t="shared" si="64"/>
        <v>605.90633475563175</v>
      </c>
      <c r="CC73" s="62">
        <f t="shared" si="65"/>
        <v>899.23966808896512</v>
      </c>
      <c r="CD73" s="62">
        <f ca="1">AVERAGE(OFFSET($CC$3,0,0,'Données projet'!$E$12+1,1))-AVERAGE(OFFSET($H$3,0,0,'Données projet'!$E$12+1,1))</f>
        <v>287.69656598881124</v>
      </c>
      <c r="CE73" s="62">
        <f t="shared" si="94"/>
        <v>221.9773436301067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3.6357859171806766</v>
      </c>
      <c r="CL73" s="23">
        <f>EXP(-LN(2)/25)*CL72+(1-EXP(-LN(2)/25))/(LN(2)/25)*Calculateur!CG73*Calculateur!CI73*VLOOKUP('Données projet'!$B$12,Paramètres!$A$1:$I$89,3,0)*0.475*44/12</f>
        <v>2.2808046985142196</v>
      </c>
      <c r="CM73" s="23">
        <f>EXP(-LN(2)/2)*CM72+(1-EXP(-LN(2)/2))/(LN(2)/2)*CG73*CJ73*VLOOKUP('Données projet'!$B$12,Paramètres!$A$1:$I$89,3,0)*0.475*44/12</f>
        <v>6.490551058299019E-6</v>
      </c>
      <c r="CN73" s="24">
        <f t="shared" si="66"/>
        <v>5.9165971062459546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565</v>
      </c>
      <c r="CR73" s="13">
        <f>VLOOKUP(A73,'Données projet'!$A$139:$I$159,9,0)</f>
        <v>15.5</v>
      </c>
      <c r="CS73" s="13">
        <f t="array" ref="CS73">INDEX(CR:CR,MIN(IF(ISNUMBER(CR73:CR269),ROW(CR73:CR269),"")))</f>
        <v>15.5</v>
      </c>
      <c r="CT73" s="13">
        <f>IF('Données projet'!$A$140&gt;35,CT72+CS73-DB72,IF(A73&lt;'Données projet'!$A$140,$CQ$205^A73,IF(A73='Données projet'!$A$140,'Données projet'!$B$140,CT72+CS73-DB72)))</f>
        <v>564.99999999999989</v>
      </c>
      <c r="CU73" s="18">
        <f>CT73*VLOOKUP('Données projet'!$B$13,Paramètres!$A$1:$I$89,3,0)*VLOOKUP('Données projet'!$B$13,Paramètres!$A$1:$I$89,5,0)</f>
        <v>264.41999999999996</v>
      </c>
      <c r="CV73" s="14">
        <f t="shared" si="95"/>
        <v>63.663617006208391</v>
      </c>
      <c r="CW73" s="22">
        <f t="shared" si="67"/>
        <v>571.41229961914621</v>
      </c>
      <c r="CX73" s="62">
        <f t="shared" si="68"/>
        <v>864.74563295247958</v>
      </c>
      <c r="CY73" s="62">
        <f ca="1">AVERAGE(OFFSET($CX$3,0,0,'Données projet'!$E$13+1,1))-AVERAGE(OFFSET($H$3,0,0,'Données projet'!$E$13+1,1))</f>
        <v>310.95287409903602</v>
      </c>
      <c r="CZ73" s="62">
        <f t="shared" si="96"/>
        <v>224.10083380795163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113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1.738044375088066E-13</v>
      </c>
      <c r="P74" s="14">
        <f t="shared" si="87"/>
        <v>2.4483293633950478E-12</v>
      </c>
      <c r="Q74" s="22">
        <f t="shared" si="54"/>
        <v>4.566883036574213E-12</v>
      </c>
      <c r="R74" s="62">
        <f t="shared" si="55"/>
        <v>293.33333333333786</v>
      </c>
      <c r="S74" s="62">
        <f ca="1">AVERAGE(OFFSET($R$3,0,0,'Données projet'!$E$9+1,1))-AVERAGE(OFFSET($H$3,0,0,'Données projet'!$E$9+1,1))</f>
        <v>253.73326067725128</v>
      </c>
      <c r="T74" s="62">
        <f t="shared" si="88"/>
        <v>317.76427047458026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2.0280830655351738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2.3477652906278036E-5</v>
      </c>
      <c r="AC74" s="24">
        <f t="shared" si="57"/>
        <v>2.02810654318808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294.32832000000002</v>
      </c>
      <c r="AK74" s="14">
        <f t="shared" si="89"/>
        <v>69.986143932791848</v>
      </c>
      <c r="AL74" s="22">
        <f t="shared" si="58"/>
        <v>634.51435801627906</v>
      </c>
      <c r="AM74" s="62">
        <f t="shared" si="59"/>
        <v>927.84769134961243</v>
      </c>
      <c r="AN74" s="62">
        <f ca="1">AVERAGE(OFFSET($AM$3,0,0,'Données projet'!$E$10+1,1))-AVERAGE(OFFSET($H$3,0,0,'Données projet'!$E$10+1,1))</f>
        <v>406.17572122067492</v>
      </c>
      <c r="AO74" s="62">
        <f t="shared" si="90"/>
        <v>244.4332618279085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844.40110880221437</v>
      </c>
      <c r="BI74" s="62">
        <f ca="1">AVERAGE(OFFSET($BH$3,0,0,'Données projet'!$E$11+1,1))-AVERAGE(OFFSET($H$3,0,0,'Données projet'!$E$11+1,1))</f>
        <v>344.49457749226184</v>
      </c>
      <c r="BJ74" s="62">
        <f t="shared" si="92"/>
        <v>207.92972431357452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12.875</v>
      </c>
      <c r="BY74" s="13">
        <f>IF('Données projet'!$A$114&gt;35,BY73+BX74-CG73,IF(A74&lt;'Données projet'!$A$114,$BV$205^A74,IF(A74='Données projet'!$A$114,'Données projet'!$B$114,BY73+BX74-CG73)))</f>
        <v>482.37500000000006</v>
      </c>
      <c r="BZ74" s="14">
        <f>BY74*VLOOKUP('Données projet'!$B$12,Paramètres!$A$1:$I$89,3,0)*VLOOKUP('Données projet'!$B$12,Paramètres!$A$1:$I$89,5,0)</f>
        <v>288.46025000000009</v>
      </c>
      <c r="CA74" s="14">
        <f t="shared" si="93"/>
        <v>68.75179365327233</v>
      </c>
      <c r="CB74" s="22">
        <f t="shared" si="64"/>
        <v>622.14430936278279</v>
      </c>
      <c r="CC74" s="62">
        <f t="shared" si="65"/>
        <v>915.47764269611616</v>
      </c>
      <c r="CD74" s="62">
        <f ca="1">AVERAGE(OFFSET($CC$3,0,0,'Données projet'!$E$12+1,1))-AVERAGE(OFFSET($H$3,0,0,'Données projet'!$E$12+1,1))</f>
        <v>287.69656598881124</v>
      </c>
      <c r="CE74" s="62">
        <f t="shared" si="94"/>
        <v>221.9773436301067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3.564490372955202</v>
      </c>
      <c r="CL74" s="23">
        <f>EXP(-LN(2)/25)*CL73+(1-EXP(-LN(2)/25))/(LN(2)/25)*Calculateur!CG74*Calculateur!CI74*VLOOKUP('Données projet'!$B$12,Paramètres!$A$1:$I$89,3,0)*0.475*44/12</f>
        <v>2.218435974091042</v>
      </c>
      <c r="CM74" s="23">
        <f>EXP(-LN(2)/2)*CM73+(1-EXP(-LN(2)/2))/(LN(2)/2)*CG74*CJ74*VLOOKUP('Données projet'!$B$12,Paramètres!$A$1:$I$89,3,0)*0.475*44/12</f>
        <v>4.5895126669607588E-6</v>
      </c>
      <c r="CN74" s="24">
        <f t="shared" si="66"/>
        <v>5.7829309365589108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17</v>
      </c>
      <c r="CT74" s="13">
        <f>IF('Données projet'!$A$140&gt;35,CT73+CS74-DB73,IF(A74&lt;'Données projet'!$A$140,$CQ$205^A74,IF(A74='Données projet'!$A$140,'Données projet'!$B$140,CT73+CS74-DB73)))</f>
        <v>468.99999999999989</v>
      </c>
      <c r="CU74" s="18">
        <f>CT74*VLOOKUP('Données projet'!$B$13,Paramètres!$A$1:$I$89,3,0)*VLOOKUP('Données projet'!$B$13,Paramètres!$A$1:$I$89,5,0)</f>
        <v>219.49199999999993</v>
      </c>
      <c r="CV74" s="14">
        <f t="shared" si="95"/>
        <v>54.004459579686618</v>
      </c>
      <c r="CW74" s="22">
        <f t="shared" si="67"/>
        <v>476.33966710128726</v>
      </c>
      <c r="CX74" s="62">
        <f t="shared" si="68"/>
        <v>769.67300043462058</v>
      </c>
      <c r="CY74" s="62">
        <f ca="1">AVERAGE(OFFSET($CX$3,0,0,'Données projet'!$E$13+1,1))-AVERAGE(OFFSET($H$3,0,0,'Données projet'!$E$13+1,1))</f>
        <v>310.95287409903602</v>
      </c>
      <c r="CZ74" s="62">
        <f t="shared" si="96"/>
        <v>224.10083380795163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1.738044375088066E-13</v>
      </c>
      <c r="P75" s="14">
        <f t="shared" si="87"/>
        <v>2.4483293633950478E-12</v>
      </c>
      <c r="Q75" s="22">
        <f t="shared" si="54"/>
        <v>4.566883036574213E-12</v>
      </c>
      <c r="R75" s="62">
        <f t="shared" si="55"/>
        <v>293.33333333333786</v>
      </c>
      <c r="S75" s="62">
        <f ca="1">AVERAGE(OFFSET($R$3,0,0,'Données projet'!$E$9+1,1))-AVERAGE(OFFSET($H$3,0,0,'Données projet'!$E$9+1,1))</f>
        <v>253.73326067725128</v>
      </c>
      <c r="T75" s="62">
        <f t="shared" si="88"/>
        <v>317.76427047458026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1.9883135936285545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1.6601207576373254E-5</v>
      </c>
      <c r="AC75" s="24">
        <f t="shared" si="57"/>
        <v>1.9883301948361309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302.27184000000005</v>
      </c>
      <c r="AK75" s="14">
        <f t="shared" si="89"/>
        <v>71.652519083649182</v>
      </c>
      <c r="AL75" s="22">
        <f t="shared" si="58"/>
        <v>651.25159207068907</v>
      </c>
      <c r="AM75" s="62">
        <f t="shared" si="59"/>
        <v>944.58492540402244</v>
      </c>
      <c r="AN75" s="62">
        <f ca="1">AVERAGE(OFFSET($AM$3,0,0,'Données projet'!$E$10+1,1))-AVERAGE(OFFSET($H$3,0,0,'Données projet'!$E$10+1,1))</f>
        <v>406.17572122067492</v>
      </c>
      <c r="AO75" s="62">
        <f t="shared" si="90"/>
        <v>244.4332618279085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858.93259888961916</v>
      </c>
      <c r="BI75" s="62">
        <f ca="1">AVERAGE(OFFSET($BH$3,0,0,'Données projet'!$E$11+1,1))-AVERAGE(OFFSET($H$3,0,0,'Données projet'!$E$11+1,1))</f>
        <v>344.49457749226184</v>
      </c>
      <c r="BJ75" s="62">
        <f t="shared" si="92"/>
        <v>207.92972431357452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12.875</v>
      </c>
      <c r="BY75" s="13">
        <f>IF('Données projet'!$A$114&gt;35,BY74+BX75-CG74,IF(A75&lt;'Données projet'!$A$114,$BV$205^A75,IF(A75='Données projet'!$A$114,'Données projet'!$B$114,BY74+BX75-CG74)))</f>
        <v>495.25000000000006</v>
      </c>
      <c r="BZ75" s="14">
        <f>BY75*VLOOKUP('Données projet'!$B$12,Paramètres!$A$1:$I$89,3,0)*VLOOKUP('Données projet'!$B$12,Paramètres!$A$1:$I$89,5,0)</f>
        <v>296.15950000000004</v>
      </c>
      <c r="CA75" s="14">
        <f t="shared" si="93"/>
        <v>70.370744425720076</v>
      </c>
      <c r="CB75" s="22">
        <f t="shared" si="64"/>
        <v>638.37350904146251</v>
      </c>
      <c r="CC75" s="62">
        <f t="shared" si="65"/>
        <v>931.70684237479577</v>
      </c>
      <c r="CD75" s="62">
        <f ca="1">AVERAGE(OFFSET($CC$3,0,0,'Données projet'!$E$12+1,1))-AVERAGE(OFFSET($H$3,0,0,'Données projet'!$E$12+1,1))</f>
        <v>287.69656598881124</v>
      </c>
      <c r="CE75" s="62">
        <f t="shared" si="94"/>
        <v>221.9773436301067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3.4945928908660009</v>
      </c>
      <c r="CL75" s="23">
        <f>EXP(-LN(2)/25)*CL74+(1-EXP(-LN(2)/25))/(LN(2)/25)*Calculateur!CG75*Calculateur!CI75*VLOOKUP('Données projet'!$B$12,Paramètres!$A$1:$I$89,3,0)*0.475*44/12</f>
        <v>2.1577727257170447</v>
      </c>
      <c r="CM75" s="23">
        <f>EXP(-LN(2)/2)*CM74+(1-EXP(-LN(2)/2))/(LN(2)/2)*CG75*CJ75*VLOOKUP('Données projet'!$B$12,Paramètres!$A$1:$I$89,3,0)*0.475*44/12</f>
        <v>3.2452755291495095E-6</v>
      </c>
      <c r="CN75" s="24">
        <f t="shared" si="66"/>
        <v>5.6523688618585748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17</v>
      </c>
      <c r="CT75" s="13">
        <f>IF('Données projet'!$A$140&gt;35,CT74+CS75-DB74,IF(A75&lt;'Données projet'!$A$140,$CQ$205^A75,IF(A75='Données projet'!$A$140,'Données projet'!$B$140,CT74+CS75-DB74)))</f>
        <v>485.99999999999989</v>
      </c>
      <c r="CU75" s="18">
        <f>CT75*VLOOKUP('Données projet'!$B$13,Paramètres!$A$1:$I$89,3,0)*VLOOKUP('Données projet'!$B$13,Paramètres!$A$1:$I$89,5,0)</f>
        <v>227.44799999999995</v>
      </c>
      <c r="CV75" s="14">
        <f t="shared" si="95"/>
        <v>55.730521649800686</v>
      </c>
      <c r="CW75" s="22">
        <f t="shared" si="67"/>
        <v>493.20259187340275</v>
      </c>
      <c r="CX75" s="62">
        <f t="shared" si="68"/>
        <v>786.53592520673601</v>
      </c>
      <c r="CY75" s="62">
        <f ca="1">AVERAGE(OFFSET($CX$3,0,0,'Données projet'!$E$13+1,1))-AVERAGE(OFFSET($H$3,0,0,'Données projet'!$E$13+1,1))</f>
        <v>310.95287409903602</v>
      </c>
      <c r="CZ75" s="62">
        <f t="shared" si="96"/>
        <v>224.10083380795163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1.738044375088066E-13</v>
      </c>
      <c r="P76" s="14">
        <f t="shared" si="87"/>
        <v>2.4483293633950478E-12</v>
      </c>
      <c r="Q76" s="22">
        <f t="shared" si="54"/>
        <v>4.566883036574213E-12</v>
      </c>
      <c r="R76" s="62">
        <f t="shared" si="55"/>
        <v>293.33333333333786</v>
      </c>
      <c r="S76" s="62">
        <f ca="1">AVERAGE(OFFSET($R$3,0,0,'Données projet'!$E$9+1,1))-AVERAGE(OFFSET($H$3,0,0,'Données projet'!$E$9+1,1))</f>
        <v>253.73326067725128</v>
      </c>
      <c r="T76" s="62">
        <f t="shared" si="88"/>
        <v>317.76427047458026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1.9493239768090413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1.1738826453139018E-5</v>
      </c>
      <c r="AC76" s="24">
        <f t="shared" si="57"/>
        <v>1.9493357156354945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310.21536000000003</v>
      </c>
      <c r="AK76" s="14">
        <f t="shared" si="89"/>
        <v>73.313804093351081</v>
      </c>
      <c r="AL76" s="22">
        <f t="shared" si="58"/>
        <v>667.97996079591985</v>
      </c>
      <c r="AM76" s="62">
        <f t="shared" si="59"/>
        <v>961.31329412925311</v>
      </c>
      <c r="AN76" s="62">
        <f ca="1">AVERAGE(OFFSET($AM$3,0,0,'Données projet'!$E$10+1,1))-AVERAGE(OFFSET($H$3,0,0,'Données projet'!$E$10+1,1))</f>
        <v>406.17572122067492</v>
      </c>
      <c r="AO76" s="62">
        <f t="shared" si="90"/>
        <v>244.4332618279085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873.45628456578811</v>
      </c>
      <c r="BI76" s="62">
        <f ca="1">AVERAGE(OFFSET($BH$3,0,0,'Données projet'!$E$11+1,1))-AVERAGE(OFFSET($H$3,0,0,'Données projet'!$E$11+1,1))</f>
        <v>344.49457749226184</v>
      </c>
      <c r="BJ76" s="62">
        <f t="shared" si="92"/>
        <v>207.92972431357452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12.875</v>
      </c>
      <c r="BY76" s="13">
        <f>IF('Données projet'!$A$114&gt;35,BY75+BX76-CG75,IF(A76&lt;'Données projet'!$A$114,$BV$205^A76,IF(A76='Données projet'!$A$114,'Données projet'!$B$114,BY75+BX76-CG75)))</f>
        <v>508.12500000000006</v>
      </c>
      <c r="BZ76" s="14">
        <f>BY76*VLOOKUP('Données projet'!$B$12,Paramètres!$A$1:$I$89,3,0)*VLOOKUP('Données projet'!$B$12,Paramètres!$A$1:$I$89,5,0)</f>
        <v>303.85875000000004</v>
      </c>
      <c r="CA76" s="14">
        <f t="shared" si="93"/>
        <v>71.984802998830631</v>
      </c>
      <c r="CB76" s="22">
        <f t="shared" si="64"/>
        <v>654.59418813963009</v>
      </c>
      <c r="CC76" s="62">
        <f t="shared" si="65"/>
        <v>947.92752147296346</v>
      </c>
      <c r="CD76" s="62">
        <f ca="1">AVERAGE(OFFSET($CC$3,0,0,'Données projet'!$E$12+1,1))-AVERAGE(OFFSET($H$3,0,0,'Données projet'!$E$12+1,1))</f>
        <v>287.69656598881124</v>
      </c>
      <c r="CE76" s="62">
        <f t="shared" si="94"/>
        <v>221.9773436301067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3.4260660557673148</v>
      </c>
      <c r="CL76" s="23">
        <f>EXP(-LN(2)/25)*CL75+(1-EXP(-LN(2)/25))/(LN(2)/25)*Calculateur!CG76*Calculateur!CI76*VLOOKUP('Données projet'!$B$12,Paramètres!$A$1:$I$89,3,0)*0.475*44/12</f>
        <v>2.0987683170599762</v>
      </c>
      <c r="CM76" s="23">
        <f>EXP(-LN(2)/2)*CM75+(1-EXP(-LN(2)/2))/(LN(2)/2)*CG76*CJ76*VLOOKUP('Données projet'!$B$12,Paramètres!$A$1:$I$89,3,0)*0.475*44/12</f>
        <v>2.2947563334803794E-6</v>
      </c>
      <c r="CN76" s="24">
        <f t="shared" si="66"/>
        <v>5.5248366675836245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17</v>
      </c>
      <c r="CT76" s="13">
        <f>IF('Données projet'!$A$140&gt;35,CT75+CS76-DB75,IF(A76&lt;'Données projet'!$A$140,$CQ$205^A76,IF(A76='Données projet'!$A$140,'Données projet'!$B$140,CT75+CS76-DB75)))</f>
        <v>502.99999999999989</v>
      </c>
      <c r="CU76" s="18">
        <f>CT76*VLOOKUP('Données projet'!$B$13,Paramètres!$A$1:$I$89,3,0)*VLOOKUP('Données projet'!$B$13,Paramètres!$A$1:$I$89,5,0)</f>
        <v>235.40399999999994</v>
      </c>
      <c r="CV76" s="14">
        <f t="shared" si="95"/>
        <v>57.449568653781753</v>
      </c>
      <c r="CW76" s="22">
        <f t="shared" si="67"/>
        <v>510.05329873866975</v>
      </c>
      <c r="CX76" s="62">
        <f t="shared" si="68"/>
        <v>803.38663207200307</v>
      </c>
      <c r="CY76" s="62">
        <f ca="1">AVERAGE(OFFSET($CX$3,0,0,'Données projet'!$E$13+1,1))-AVERAGE(OFFSET($H$3,0,0,'Données projet'!$E$13+1,1))</f>
        <v>310.95287409903602</v>
      </c>
      <c r="CZ76" s="62">
        <f t="shared" si="96"/>
        <v>224.10083380795163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1.738044375088066E-13</v>
      </c>
      <c r="P77" s="14">
        <f t="shared" si="87"/>
        <v>2.4483293633950478E-12</v>
      </c>
      <c r="Q77" s="22">
        <f t="shared" si="54"/>
        <v>4.566883036574213E-12</v>
      </c>
      <c r="R77" s="62">
        <f t="shared" si="55"/>
        <v>293.33333333333786</v>
      </c>
      <c r="S77" s="62">
        <f ca="1">AVERAGE(OFFSET($R$3,0,0,'Données projet'!$E$9+1,1))-AVERAGE(OFFSET($H$3,0,0,'Données projet'!$E$9+1,1))</f>
        <v>253.73326067725128</v>
      </c>
      <c r="T77" s="62">
        <f t="shared" si="88"/>
        <v>317.76427047458026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1.9110989225940409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8.3006037881866272E-6</v>
      </c>
      <c r="AC77" s="24">
        <f t="shared" si="57"/>
        <v>1.911107223197829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318.15888000000007</v>
      </c>
      <c r="AK77" s="14">
        <f t="shared" si="89"/>
        <v>74.970144289575373</v>
      </c>
      <c r="AL77" s="22">
        <f t="shared" si="58"/>
        <v>684.69971730434384</v>
      </c>
      <c r="AM77" s="62">
        <f t="shared" si="59"/>
        <v>978.03305063767721</v>
      </c>
      <c r="AN77" s="62">
        <f ca="1">AVERAGE(OFFSET($AM$3,0,0,'Données projet'!$E$10+1,1))-AVERAGE(OFFSET($H$3,0,0,'Données projet'!$E$10+1,1))</f>
        <v>406.17572122067492</v>
      </c>
      <c r="AO77" s="62">
        <f t="shared" si="90"/>
        <v>244.4332618279085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887.97238865302188</v>
      </c>
      <c r="BI77" s="62">
        <f ca="1">AVERAGE(OFFSET($BH$3,0,0,'Données projet'!$E$11+1,1))-AVERAGE(OFFSET($H$3,0,0,'Données projet'!$E$11+1,1))</f>
        <v>344.49457749226184</v>
      </c>
      <c r="BJ77" s="62">
        <f t="shared" si="92"/>
        <v>207.92972431357452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521</v>
      </c>
      <c r="BW77" s="13">
        <f>VLOOKUP(A77,'Données projet'!$A$113:$I$133,9,0)</f>
        <v>12.875</v>
      </c>
      <c r="BX77" s="13">
        <f t="array" ref="BX77">INDEX(BW:BW,MIN(IF(ISNUMBER(BW77:BW273),ROW(BW77:BW273),"")))</f>
        <v>12.875</v>
      </c>
      <c r="BY77" s="13">
        <f>IF('Données projet'!$A$114&gt;35,BY76+BX77-CG76,IF(A77&lt;'Données projet'!$A$114,$BV$205^A77,IF(A77='Données projet'!$A$114,'Données projet'!$B$114,BY76+BX77-CG76)))</f>
        <v>521</v>
      </c>
      <c r="BZ77" s="14">
        <f>BY77*VLOOKUP('Données projet'!$B$12,Paramètres!$A$1:$I$89,3,0)*VLOOKUP('Données projet'!$B$12,Paramètres!$A$1:$I$89,5,0)</f>
        <v>311.55799999999999</v>
      </c>
      <c r="CA77" s="14">
        <f t="shared" si="93"/>
        <v>73.594107587354372</v>
      </c>
      <c r="CB77" s="22">
        <f t="shared" si="64"/>
        <v>670.80658738130876</v>
      </c>
      <c r="CC77" s="62">
        <f t="shared" si="65"/>
        <v>964.13992071464213</v>
      </c>
      <c r="CD77" s="62">
        <f ca="1">AVERAGE(OFFSET($CC$3,0,0,'Données projet'!$E$12+1,1))-AVERAGE(OFFSET($H$3,0,0,'Données projet'!$E$12+1,1))</f>
        <v>287.69656598881124</v>
      </c>
      <c r="CE77" s="62">
        <f t="shared" si="94"/>
        <v>221.9773436301067</v>
      </c>
      <c r="CF77" s="16">
        <f>IF(ISNA(VLOOKUP(A77,'Données projet'!$A$113:$I$133,3,0)),0,VLOOKUP(A77,'Données projet'!$A$113:$I$133,3,0))</f>
        <v>10</v>
      </c>
      <c r="CG77" s="16">
        <f>IF(ISNA(VLOOKUP(A77,'Données projet'!$A$113:$I$133,4,0)),0,VLOOKUP(A77,'Données projet'!$A$113:$I$133,4,0))</f>
        <v>37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3.3588829901076718</v>
      </c>
      <c r="CL77" s="23">
        <f>EXP(-LN(2)/25)*CL76+(1-EXP(-LN(2)/25))/(LN(2)/25)*Calculateur!CG77*Calculateur!CI77*VLOOKUP('Données projet'!$B$12,Paramètres!$A$1:$I$89,3,0)*0.475*44/12</f>
        <v>2.0413773870605421</v>
      </c>
      <c r="CM77" s="23">
        <f>EXP(-LN(2)/2)*CM76+(1-EXP(-LN(2)/2))/(LN(2)/2)*CG77*CJ77*VLOOKUP('Données projet'!$B$12,Paramètres!$A$1:$I$89,3,0)*0.475*44/12</f>
        <v>1.6226377645747548E-6</v>
      </c>
      <c r="CN77" s="24">
        <f t="shared" si="66"/>
        <v>5.4002619998059789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17</v>
      </c>
      <c r="CT77" s="13">
        <f>IF('Données projet'!$A$140&gt;35,CT76+CS77-DB76,IF(A77&lt;'Données projet'!$A$140,$CQ$205^A77,IF(A77='Données projet'!$A$140,'Données projet'!$B$140,CT76+CS77-DB76)))</f>
        <v>519.99999999999989</v>
      </c>
      <c r="CU77" s="18">
        <f>CT77*VLOOKUP('Données projet'!$B$13,Paramètres!$A$1:$I$89,3,0)*VLOOKUP('Données projet'!$B$13,Paramètres!$A$1:$I$89,5,0)</f>
        <v>243.35999999999996</v>
      </c>
      <c r="CV77" s="14">
        <f t="shared" si="95"/>
        <v>59.161864860837127</v>
      </c>
      <c r="CW77" s="22">
        <f t="shared" si="67"/>
        <v>526.89224796595784</v>
      </c>
      <c r="CX77" s="62">
        <f t="shared" si="68"/>
        <v>820.22558129929121</v>
      </c>
      <c r="CY77" s="62">
        <f ca="1">AVERAGE(OFFSET($CX$3,0,0,'Données projet'!$E$13+1,1))-AVERAGE(OFFSET($H$3,0,0,'Données projet'!$E$13+1,1))</f>
        <v>310.95287409903602</v>
      </c>
      <c r="CZ77" s="62">
        <f t="shared" si="96"/>
        <v>224.10083380795163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1.738044375088066E-13</v>
      </c>
      <c r="P78" s="14">
        <f t="shared" si="87"/>
        <v>2.4483293633950478E-12</v>
      </c>
      <c r="Q78" s="22">
        <f t="shared" si="54"/>
        <v>4.566883036574213E-12</v>
      </c>
      <c r="R78" s="62">
        <f t="shared" si="55"/>
        <v>293.33333333333786</v>
      </c>
      <c r="S78" s="62">
        <f ca="1">AVERAGE(OFFSET($R$3,0,0,'Données projet'!$E$9+1,1))-AVERAGE(OFFSET($H$3,0,0,'Données projet'!$E$9+1,1))</f>
        <v>253.73326067725128</v>
      </c>
      <c r="T78" s="62">
        <f t="shared" si="88"/>
        <v>317.76427047458026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1.8736234383772157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5.8694132265695089E-6</v>
      </c>
      <c r="AC78" s="24">
        <f t="shared" si="57"/>
        <v>1.8736293077904422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326.1024000000001</v>
      </c>
      <c r="AK78" s="14">
        <f t="shared" si="89"/>
        <v>76.621677329562345</v>
      </c>
      <c r="AL78" s="22">
        <f t="shared" si="58"/>
        <v>701.41110134898781</v>
      </c>
      <c r="AM78" s="62">
        <f t="shared" si="59"/>
        <v>994.74443468232107</v>
      </c>
      <c r="AN78" s="62">
        <f ca="1">AVERAGE(OFFSET($AM$3,0,0,'Données projet'!$E$10+1,1))-AVERAGE(OFFSET($H$3,0,0,'Données projet'!$E$10+1,1))</f>
        <v>406.17572122067492</v>
      </c>
      <c r="AO78" s="62">
        <f t="shared" si="90"/>
        <v>244.4332618279085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902.4811222129938</v>
      </c>
      <c r="BI78" s="62">
        <f ca="1">AVERAGE(OFFSET($BH$3,0,0,'Données projet'!$E$11+1,1))-AVERAGE(OFFSET($H$3,0,0,'Données projet'!$E$11+1,1))</f>
        <v>344.49457749226184</v>
      </c>
      <c r="BJ78" s="62">
        <f t="shared" si="92"/>
        <v>207.92972431357452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8.875</v>
      </c>
      <c r="BY78" s="13">
        <f>IF('Données projet'!$A$114&gt;35,BY77+BX78-CG77,IF(A78&lt;'Données projet'!$A$114,$BV$205^A78,IF(A78='Données projet'!$A$114,'Données projet'!$B$114,BY77+BX78-CG77)))</f>
        <v>492.875</v>
      </c>
      <c r="BZ78" s="14">
        <f>BY78*VLOOKUP('Données projet'!$B$12,Paramètres!$A$1:$I$89,3,0)*VLOOKUP('Données projet'!$B$12,Paramètres!$A$1:$I$89,5,0)</f>
        <v>294.73925000000003</v>
      </c>
      <c r="CA78" s="14">
        <f t="shared" si="93"/>
        <v>70.072475236035828</v>
      </c>
      <c r="CB78" s="22">
        <f t="shared" si="64"/>
        <v>635.38042145276233</v>
      </c>
      <c r="CC78" s="62">
        <f t="shared" si="65"/>
        <v>928.71375478609571</v>
      </c>
      <c r="CD78" s="62">
        <f ca="1">AVERAGE(OFFSET($CC$3,0,0,'Données projet'!$E$12+1,1))-AVERAGE(OFFSET($H$3,0,0,'Données projet'!$E$12+1,1))</f>
        <v>287.69656598881124</v>
      </c>
      <c r="CE78" s="62">
        <f t="shared" si="94"/>
        <v>221.9773436301067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3.2930173433879903</v>
      </c>
      <c r="CL78" s="23">
        <f>EXP(-LN(2)/25)*CL77+(1-EXP(-LN(2)/25))/(LN(2)/25)*Calculateur!CG78*Calculateur!CI78*VLOOKUP('Données projet'!$B$12,Paramètres!$A$1:$I$89,3,0)*0.475*44/12</f>
        <v>1.9855558150600003</v>
      </c>
      <c r="CM78" s="23">
        <f>EXP(-LN(2)/2)*CM77+(1-EXP(-LN(2)/2))/(LN(2)/2)*CG78*CJ78*VLOOKUP('Données projet'!$B$12,Paramètres!$A$1:$I$89,3,0)*0.475*44/12</f>
        <v>1.1473781667401897E-6</v>
      </c>
      <c r="CN78" s="24">
        <f t="shared" si="66"/>
        <v>5.2785743058261572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17</v>
      </c>
      <c r="CT78" s="13">
        <f>IF('Données projet'!$A$140&gt;35,CT77+CS78-DB77,IF(A78&lt;'Données projet'!$A$140,$CQ$205^A78,IF(A78='Données projet'!$A$140,'Données projet'!$B$140,CT77+CS78-DB77)))</f>
        <v>536.99999999999989</v>
      </c>
      <c r="CU78" s="18">
        <f>CT78*VLOOKUP('Données projet'!$B$13,Paramètres!$A$1:$I$89,3,0)*VLOOKUP('Données projet'!$B$13,Paramètres!$A$1:$I$89,5,0)</f>
        <v>251.31599999999997</v>
      </c>
      <c r="CV78" s="14">
        <f t="shared" si="95"/>
        <v>60.86765628024984</v>
      </c>
      <c r="CW78" s="22">
        <f t="shared" si="67"/>
        <v>543.71986802143499</v>
      </c>
      <c r="CX78" s="62">
        <f t="shared" si="68"/>
        <v>837.05320135476836</v>
      </c>
      <c r="CY78" s="62">
        <f ca="1">AVERAGE(OFFSET($CX$3,0,0,'Données projet'!$E$13+1,1))-AVERAGE(OFFSET($H$3,0,0,'Données projet'!$E$13+1,1))</f>
        <v>310.95287409903602</v>
      </c>
      <c r="CZ78" s="62">
        <f t="shared" si="96"/>
        <v>224.10083380795163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1.738044375088066E-13</v>
      </c>
      <c r="P79" s="14">
        <f t="shared" si="87"/>
        <v>2.4483293633950478E-12</v>
      </c>
      <c r="Q79" s="22">
        <f t="shared" si="54"/>
        <v>4.566883036574213E-12</v>
      </c>
      <c r="R79" s="62">
        <f t="shared" si="55"/>
        <v>293.33333333333786</v>
      </c>
      <c r="S79" s="62">
        <f ca="1">AVERAGE(OFFSET($R$3,0,0,'Données projet'!$E$9+1,1))-AVERAGE(OFFSET($H$3,0,0,'Données projet'!$E$9+1,1))</f>
        <v>253.73326067725128</v>
      </c>
      <c r="T79" s="62">
        <f t="shared" si="88"/>
        <v>317.76427047458026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1.836882825548094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4.1503018940933136E-6</v>
      </c>
      <c r="AC79" s="24">
        <f t="shared" si="57"/>
        <v>1.8368869758499882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304.3622400000001</v>
      </c>
      <c r="AK79" s="14">
        <f t="shared" si="89"/>
        <v>72.090186778763311</v>
      </c>
      <c r="AL79" s="22">
        <f t="shared" si="58"/>
        <v>655.65464330634632</v>
      </c>
      <c r="AM79" s="62">
        <f t="shared" si="59"/>
        <v>948.98797663967957</v>
      </c>
      <c r="AN79" s="62">
        <f ca="1">AVERAGE(OFFSET($AM$3,0,0,'Données projet'!$E$10+1,1))-AVERAGE(OFFSET($H$3,0,0,'Données projet'!$E$10+1,1))</f>
        <v>406.17572122067492</v>
      </c>
      <c r="AO79" s="62">
        <f t="shared" si="90"/>
        <v>244.4332618279085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862.75536878254502</v>
      </c>
      <c r="BI79" s="62">
        <f ca="1">AVERAGE(OFFSET($BH$3,0,0,'Données projet'!$E$11+1,1))-AVERAGE(OFFSET($H$3,0,0,'Données projet'!$E$11+1,1))</f>
        <v>344.49457749226184</v>
      </c>
      <c r="BJ79" s="62">
        <f t="shared" si="92"/>
        <v>207.92972431357452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8.875</v>
      </c>
      <c r="BY79" s="13">
        <f>IF('Données projet'!$A$114&gt;35,BY78+BX79-CG78,IF(A79&lt;'Données projet'!$A$114,$BV$205^A79,IF(A79='Données projet'!$A$114,'Données projet'!$B$114,BY78+BX79-CG78)))</f>
        <v>501.75</v>
      </c>
      <c r="BZ79" s="14">
        <f>BY79*VLOOKUP('Données projet'!$B$12,Paramètres!$A$1:$I$89,3,0)*VLOOKUP('Données projet'!$B$12,Paramètres!$A$1:$I$89,5,0)</f>
        <v>300.04650000000004</v>
      </c>
      <c r="CA79" s="14">
        <f t="shared" si="93"/>
        <v>71.186211573839699</v>
      </c>
      <c r="CB79" s="22">
        <f t="shared" si="64"/>
        <v>646.56363932443753</v>
      </c>
      <c r="CC79" s="62">
        <f t="shared" si="65"/>
        <v>939.8969726577709</v>
      </c>
      <c r="CD79" s="62">
        <f ca="1">AVERAGE(OFFSET($CC$3,0,0,'Données projet'!$E$12+1,1))-AVERAGE(OFFSET($H$3,0,0,'Données projet'!$E$12+1,1))</f>
        <v>287.69656598881124</v>
      </c>
      <c r="CE79" s="62">
        <f t="shared" si="94"/>
        <v>221.9773436301067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3.2284432818264044</v>
      </c>
      <c r="CL79" s="23">
        <f>EXP(-LN(2)/25)*CL78+(1-EXP(-LN(2)/25))/(LN(2)/25)*Calculateur!CG79*Calculateur!CI79*VLOOKUP('Données projet'!$B$12,Paramètres!$A$1:$I$89,3,0)*0.475*44/12</f>
        <v>1.9312606868813424</v>
      </c>
      <c r="CM79" s="23">
        <f>EXP(-LN(2)/2)*CM78+(1-EXP(-LN(2)/2))/(LN(2)/2)*CG79*CJ79*VLOOKUP('Données projet'!$B$12,Paramètres!$A$1:$I$89,3,0)*0.475*44/12</f>
        <v>8.1131888228737738E-7</v>
      </c>
      <c r="CN79" s="24">
        <f t="shared" si="66"/>
        <v>5.1597047800266296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17</v>
      </c>
      <c r="CT79" s="13">
        <f>IF('Données projet'!$A$140&gt;35,CT78+CS79-DB78,IF(A79&lt;'Données projet'!$A$140,$CQ$205^A79,IF(A79='Données projet'!$A$140,'Données projet'!$B$140,CT78+CS79-DB78)))</f>
        <v>553.99999999999989</v>
      </c>
      <c r="CU79" s="18">
        <f>CT79*VLOOKUP('Données projet'!$B$13,Paramètres!$A$1:$I$89,3,0)*VLOOKUP('Données projet'!$B$13,Paramètres!$A$1:$I$89,5,0)</f>
        <v>259.27199999999993</v>
      </c>
      <c r="CV79" s="14">
        <f t="shared" si="95"/>
        <v>62.567172460757938</v>
      </c>
      <c r="CW79" s="22">
        <f t="shared" si="67"/>
        <v>560.53655870248667</v>
      </c>
      <c r="CX79" s="62">
        <f t="shared" si="68"/>
        <v>853.86989203581993</v>
      </c>
      <c r="CY79" s="62">
        <f ca="1">AVERAGE(OFFSET($CX$3,0,0,'Données projet'!$E$13+1,1))-AVERAGE(OFFSET($H$3,0,0,'Données projet'!$E$13+1,1))</f>
        <v>310.95287409903602</v>
      </c>
      <c r="CZ79" s="62">
        <f t="shared" si="96"/>
        <v>224.10083380795163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1.738044375088066E-13</v>
      </c>
      <c r="P80" s="14">
        <f t="shared" si="87"/>
        <v>2.4483293633950478E-12</v>
      </c>
      <c r="Q80" s="22">
        <f t="shared" si="54"/>
        <v>4.566883036574213E-12</v>
      </c>
      <c r="R80" s="62">
        <f t="shared" si="55"/>
        <v>293.33333333333786</v>
      </c>
      <c r="S80" s="62">
        <f ca="1">AVERAGE(OFFSET($R$3,0,0,'Données projet'!$E$9+1,1))-AVERAGE(OFFSET($H$3,0,0,'Données projet'!$E$9+1,1))</f>
        <v>253.73326067725128</v>
      </c>
      <c r="T80" s="62">
        <f t="shared" si="88"/>
        <v>317.76427047458026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1.8008626737269904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2.9347066132847545E-6</v>
      </c>
      <c r="AC80" s="24">
        <f t="shared" si="57"/>
        <v>1.8008656084336037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311.88768000000005</v>
      </c>
      <c r="AK80" s="14">
        <f t="shared" si="89"/>
        <v>73.662913491858973</v>
      </c>
      <c r="AL80" s="22">
        <f t="shared" si="58"/>
        <v>671.50061699832099</v>
      </c>
      <c r="AM80" s="62">
        <f t="shared" si="59"/>
        <v>964.83395033165425</v>
      </c>
      <c r="AN80" s="62">
        <f ca="1">AVERAGE(OFFSET($AM$3,0,0,'Données projet'!$E$10+1,1))-AVERAGE(OFFSET($H$3,0,0,'Données projet'!$E$10+1,1))</f>
        <v>406.17572122067492</v>
      </c>
      <c r="AO80" s="62">
        <f t="shared" si="90"/>
        <v>244.4332618279085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876.51292928016551</v>
      </c>
      <c r="BI80" s="62">
        <f ca="1">AVERAGE(OFFSET($BH$3,0,0,'Données projet'!$E$11+1,1))-AVERAGE(OFFSET($H$3,0,0,'Données projet'!$E$11+1,1))</f>
        <v>344.49457749226184</v>
      </c>
      <c r="BJ80" s="62">
        <f t="shared" si="92"/>
        <v>207.92972431357452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8.875</v>
      </c>
      <c r="BY80" s="13">
        <f>IF('Données projet'!$A$114&gt;35,BY79+BX80-CG79,IF(A80&lt;'Données projet'!$A$114,$BV$205^A80,IF(A80='Données projet'!$A$114,'Données projet'!$B$114,BY79+BX80-CG79)))</f>
        <v>510.625</v>
      </c>
      <c r="BZ80" s="14">
        <f>BY80*VLOOKUP('Données projet'!$B$12,Paramètres!$A$1:$I$89,3,0)*VLOOKUP('Données projet'!$B$12,Paramètres!$A$1:$I$89,5,0)</f>
        <v>305.35375000000005</v>
      </c>
      <c r="CA80" s="14">
        <f t="shared" si="93"/>
        <v>72.297657079406008</v>
      </c>
      <c r="CB80" s="22">
        <f t="shared" si="64"/>
        <v>657.74286732996552</v>
      </c>
      <c r="CC80" s="62">
        <f t="shared" si="65"/>
        <v>951.07620066329878</v>
      </c>
      <c r="CD80" s="62">
        <f ca="1">AVERAGE(OFFSET($CC$3,0,0,'Données projet'!$E$12+1,1))-AVERAGE(OFFSET($H$3,0,0,'Données projet'!$E$12+1,1))</f>
        <v>287.69656598881124</v>
      </c>
      <c r="CE80" s="62">
        <f t="shared" si="94"/>
        <v>221.9773436301067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3.1651354782257526</v>
      </c>
      <c r="CL80" s="23">
        <f>EXP(-LN(2)/25)*CL79+(1-EXP(-LN(2)/25))/(LN(2)/25)*Calculateur!CG80*Calculateur!CI80*VLOOKUP('Données projet'!$B$12,Paramètres!$A$1:$I$89,3,0)*0.475*44/12</f>
        <v>1.8784502618379866</v>
      </c>
      <c r="CM80" s="23">
        <f>EXP(-LN(2)/2)*CM79+(1-EXP(-LN(2)/2))/(LN(2)/2)*CG80*CJ80*VLOOKUP('Données projet'!$B$12,Paramètres!$A$1:$I$89,3,0)*0.475*44/12</f>
        <v>5.7368908337009485E-7</v>
      </c>
      <c r="CN80" s="24">
        <f t="shared" si="66"/>
        <v>5.0435863137528232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17</v>
      </c>
      <c r="CT80" s="13">
        <f>IF('Données projet'!$A$140&gt;35,CT79+CS80-DB79,IF(A80&lt;'Données projet'!$A$140,$CQ$205^A80,IF(A80='Données projet'!$A$140,'Données projet'!$B$140,CT79+CS80-DB79)))</f>
        <v>570.99999999999989</v>
      </c>
      <c r="CU80" s="18">
        <f>CT80*VLOOKUP('Données projet'!$B$13,Paramètres!$A$1:$I$89,3,0)*VLOOKUP('Données projet'!$B$13,Paramètres!$A$1:$I$89,5,0)</f>
        <v>267.22799999999995</v>
      </c>
      <c r="CV80" s="14">
        <f t="shared" si="95"/>
        <v>64.260628062866161</v>
      </c>
      <c r="CW80" s="22">
        <f t="shared" si="67"/>
        <v>577.34269387615848</v>
      </c>
      <c r="CX80" s="62">
        <f t="shared" si="68"/>
        <v>870.67602720949185</v>
      </c>
      <c r="CY80" s="62">
        <f ca="1">AVERAGE(OFFSET($CX$3,0,0,'Données projet'!$E$13+1,1))-AVERAGE(OFFSET($H$3,0,0,'Données projet'!$E$13+1,1))</f>
        <v>310.95287409903602</v>
      </c>
      <c r="CZ80" s="62">
        <f t="shared" si="96"/>
        <v>224.10083380795163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1.738044375088066E-13</v>
      </c>
      <c r="P81" s="14">
        <f t="shared" si="87"/>
        <v>2.4483293633950478E-12</v>
      </c>
      <c r="Q81" s="22">
        <f t="shared" si="54"/>
        <v>4.566883036574213E-12</v>
      </c>
      <c r="R81" s="62">
        <f t="shared" si="55"/>
        <v>293.33333333333786</v>
      </c>
      <c r="S81" s="62">
        <f ca="1">AVERAGE(OFFSET($R$3,0,0,'Données projet'!$E$9+1,1))-AVERAGE(OFFSET($H$3,0,0,'Données projet'!$E$9+1,1))</f>
        <v>253.73326067725128</v>
      </c>
      <c r="T81" s="62">
        <f t="shared" si="88"/>
        <v>317.76427047458026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1.7655488551129754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2.0751509470466568E-6</v>
      </c>
      <c r="AC81" s="24">
        <f t="shared" si="57"/>
        <v>1.7655509302639225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319.41312000000005</v>
      </c>
      <c r="AK81" s="14">
        <f t="shared" si="89"/>
        <v>75.231228822332341</v>
      </c>
      <c r="AL81" s="22">
        <f t="shared" si="58"/>
        <v>687.33890753222886</v>
      </c>
      <c r="AM81" s="62">
        <f t="shared" si="59"/>
        <v>980.67224086556212</v>
      </c>
      <c r="AN81" s="62">
        <f ca="1">AVERAGE(OFFSET($AM$3,0,0,'Données projet'!$E$10+1,1))-AVERAGE(OFFSET($H$3,0,0,'Données projet'!$E$10+1,1))</f>
        <v>406.17572122067492</v>
      </c>
      <c r="AO81" s="62">
        <f t="shared" si="90"/>
        <v>244.4332618279085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890.26372606671134</v>
      </c>
      <c r="BI81" s="62">
        <f ca="1">AVERAGE(OFFSET($BH$3,0,0,'Données projet'!$E$11+1,1))-AVERAGE(OFFSET($H$3,0,0,'Données projet'!$E$11+1,1))</f>
        <v>344.49457749226184</v>
      </c>
      <c r="BJ81" s="62">
        <f t="shared" si="92"/>
        <v>207.92972431357452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8.875</v>
      </c>
      <c r="BY81" s="13">
        <f>IF('Données projet'!$A$114&gt;35,BY80+BX81-CG80,IF(A81&lt;'Données projet'!$A$114,$BV$205^A81,IF(A81='Données projet'!$A$114,'Données projet'!$B$114,BY80+BX81-CG80)))</f>
        <v>519.5</v>
      </c>
      <c r="BZ81" s="14">
        <f>BY81*VLOOKUP('Données projet'!$B$12,Paramètres!$A$1:$I$89,3,0)*VLOOKUP('Données projet'!$B$12,Paramètres!$A$1:$I$89,5,0)</f>
        <v>310.661</v>
      </c>
      <c r="CA81" s="14">
        <f t="shared" si="93"/>
        <v>73.406856163089444</v>
      </c>
      <c r="CB81" s="22">
        <f t="shared" si="64"/>
        <v>668.91818281738085</v>
      </c>
      <c r="CC81" s="62">
        <f t="shared" si="65"/>
        <v>962.25151615071422</v>
      </c>
      <c r="CD81" s="62">
        <f ca="1">AVERAGE(OFFSET($CC$3,0,0,'Données projet'!$E$12+1,1))-AVERAGE(OFFSET($H$3,0,0,'Données projet'!$E$12+1,1))</f>
        <v>287.69656598881124</v>
      </c>
      <c r="CE81" s="62">
        <f t="shared" si="94"/>
        <v>221.9773436301067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3.1030691020397621</v>
      </c>
      <c r="CL81" s="23">
        <f>EXP(-LN(2)/25)*CL80+(1-EXP(-LN(2)/25))/(LN(2)/25)*Calculateur!CG81*Calculateur!CI81*VLOOKUP('Données projet'!$B$12,Paramètres!$A$1:$I$89,3,0)*0.475*44/12</f>
        <v>1.8270839406446209</v>
      </c>
      <c r="CM81" s="23">
        <f>EXP(-LN(2)/2)*CM80+(1-EXP(-LN(2)/2))/(LN(2)/2)*CG81*CJ81*VLOOKUP('Données projet'!$B$12,Paramètres!$A$1:$I$89,3,0)*0.475*44/12</f>
        <v>4.0565944114368869E-7</v>
      </c>
      <c r="CN81" s="24">
        <f t="shared" si="66"/>
        <v>4.9301534483438241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17</v>
      </c>
      <c r="CT81" s="13">
        <f>IF('Données projet'!$A$140&gt;35,CT80+CS81-DB80,IF(A81&lt;'Données projet'!$A$140,$CQ$205^A81,IF(A81='Données projet'!$A$140,'Données projet'!$B$140,CT80+CS81-DB80)))</f>
        <v>587.99999999999989</v>
      </c>
      <c r="CU81" s="18">
        <f>CT81*VLOOKUP('Données projet'!$B$13,Paramètres!$A$1:$I$89,3,0)*VLOOKUP('Données projet'!$B$13,Paramètres!$A$1:$I$89,5,0)</f>
        <v>275.18399999999997</v>
      </c>
      <c r="CV81" s="14">
        <f t="shared" si="95"/>
        <v>65.948224238651079</v>
      </c>
      <c r="CW81" s="22">
        <f t="shared" si="67"/>
        <v>594.13862388231712</v>
      </c>
      <c r="CX81" s="62">
        <f t="shared" si="68"/>
        <v>887.47195721565049</v>
      </c>
      <c r="CY81" s="62">
        <f ca="1">AVERAGE(OFFSET($CX$3,0,0,'Données projet'!$E$13+1,1))-AVERAGE(OFFSET($H$3,0,0,'Données projet'!$E$13+1,1))</f>
        <v>310.95287409903602</v>
      </c>
      <c r="CZ81" s="62">
        <f t="shared" si="96"/>
        <v>224.10083380795163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1.738044375088066E-13</v>
      </c>
      <c r="P82" s="14">
        <f t="shared" si="87"/>
        <v>2.4483293633950478E-12</v>
      </c>
      <c r="Q82" s="22">
        <f t="shared" si="54"/>
        <v>4.566883036574213E-12</v>
      </c>
      <c r="R82" s="62">
        <f t="shared" si="55"/>
        <v>293.33333333333786</v>
      </c>
      <c r="S82" s="62">
        <f ca="1">AVERAGE(OFFSET($R$3,0,0,'Données projet'!$E$9+1,1))-AVERAGE(OFFSET($H$3,0,0,'Données projet'!$E$9+1,1))</f>
        <v>253.73326067725128</v>
      </c>
      <c r="T82" s="62">
        <f t="shared" si="88"/>
        <v>317.76427047458026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1.7309275189426787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1.4673533066423772E-6</v>
      </c>
      <c r="AC82" s="24">
        <f t="shared" si="57"/>
        <v>1.7309289862959854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326.93856000000005</v>
      </c>
      <c r="AK82" s="14">
        <f t="shared" si="89"/>
        <v>76.795248663813325</v>
      </c>
      <c r="AL82" s="22">
        <f t="shared" si="58"/>
        <v>703.16971675614161</v>
      </c>
      <c r="AM82" s="62">
        <f t="shared" si="59"/>
        <v>996.50305008947498</v>
      </c>
      <c r="AN82" s="62">
        <f ca="1">AVERAGE(OFFSET($AM$3,0,0,'Données projet'!$E$10+1,1))-AVERAGE(OFFSET($H$3,0,0,'Données projet'!$E$10+1,1))</f>
        <v>406.17572122067492</v>
      </c>
      <c r="AO82" s="62">
        <f t="shared" si="90"/>
        <v>244.4332618279085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904.00793683500501</v>
      </c>
      <c r="BI82" s="62">
        <f ca="1">AVERAGE(OFFSET($BH$3,0,0,'Données projet'!$E$11+1,1))-AVERAGE(OFFSET($H$3,0,0,'Données projet'!$E$11+1,1))</f>
        <v>344.49457749226184</v>
      </c>
      <c r="BJ82" s="62">
        <f t="shared" si="92"/>
        <v>207.92972431357452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8.875</v>
      </c>
      <c r="BY82" s="13">
        <f>IF('Données projet'!$A$114&gt;35,BY81+BX82-CG81,IF(A82&lt;'Données projet'!$A$114,$BV$205^A82,IF(A82='Données projet'!$A$114,'Données projet'!$B$114,BY81+BX82-CG81)))</f>
        <v>528.375</v>
      </c>
      <c r="BZ82" s="14">
        <f>BY82*VLOOKUP('Données projet'!$B$12,Paramètres!$A$1:$I$89,3,0)*VLOOKUP('Données projet'!$B$12,Paramètres!$A$1:$I$89,5,0)</f>
        <v>315.96825000000001</v>
      </c>
      <c r="CA82" s="14">
        <f t="shared" si="93"/>
        <v>74.513851630905478</v>
      </c>
      <c r="CB82" s="22">
        <f t="shared" si="64"/>
        <v>680.08966034049365</v>
      </c>
      <c r="CC82" s="62">
        <f t="shared" si="65"/>
        <v>973.42299367382702</v>
      </c>
      <c r="CD82" s="62">
        <f ca="1">AVERAGE(OFFSET($CC$3,0,0,'Données projet'!$E$12+1,1))-AVERAGE(OFFSET($H$3,0,0,'Données projet'!$E$12+1,1))</f>
        <v>287.69656598881124</v>
      </c>
      <c r="CE82" s="62">
        <f t="shared" si="94"/>
        <v>221.9773436301067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3.0422198096340276</v>
      </c>
      <c r="CL82" s="23">
        <f>EXP(-LN(2)/25)*CL81+(1-EXP(-LN(2)/25))/(LN(2)/25)*Calculateur!CG82*Calculateur!CI82*VLOOKUP('Données projet'!$B$12,Paramètres!$A$1:$I$89,3,0)*0.475*44/12</f>
        <v>1.7771222342055251</v>
      </c>
      <c r="CM82" s="23">
        <f>EXP(-LN(2)/2)*CM81+(1-EXP(-LN(2)/2))/(LN(2)/2)*CG82*CJ82*VLOOKUP('Données projet'!$B$12,Paramètres!$A$1:$I$89,3,0)*0.475*44/12</f>
        <v>2.8684454168504743E-7</v>
      </c>
      <c r="CN82" s="24">
        <f t="shared" si="66"/>
        <v>4.819342330684095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17</v>
      </c>
      <c r="CT82" s="13">
        <f>IF('Données projet'!$A$140&gt;35,CT81+CS82-DB81,IF(A82&lt;'Données projet'!$A$140,$CQ$205^A82,IF(A82='Données projet'!$A$140,'Données projet'!$B$140,CT81+CS82-DB81)))</f>
        <v>604.99999999999989</v>
      </c>
      <c r="CU82" s="18">
        <f>CT82*VLOOKUP('Données projet'!$B$13,Paramètres!$A$1:$I$89,3,0)*VLOOKUP('Données projet'!$B$13,Paramètres!$A$1:$I$89,5,0)</f>
        <v>283.13999999999993</v>
      </c>
      <c r="CV82" s="14">
        <f t="shared" si="95"/>
        <v>67.630149847511944</v>
      </c>
      <c r="CW82" s="22">
        <f t="shared" si="67"/>
        <v>610.92467765108313</v>
      </c>
      <c r="CX82" s="62">
        <f t="shared" si="68"/>
        <v>904.25801098441639</v>
      </c>
      <c r="CY82" s="62">
        <f ca="1">AVERAGE(OFFSET($CX$3,0,0,'Données projet'!$E$13+1,1))-AVERAGE(OFFSET($H$3,0,0,'Données projet'!$E$13+1,1))</f>
        <v>310.95287409903602</v>
      </c>
      <c r="CZ82" s="62">
        <f t="shared" si="96"/>
        <v>224.10083380795163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1.738044375088066E-13</v>
      </c>
      <c r="P83" s="14">
        <f t="shared" si="87"/>
        <v>2.4483293633950478E-12</v>
      </c>
      <c r="Q83" s="22">
        <f t="shared" si="54"/>
        <v>4.566883036574213E-12</v>
      </c>
      <c r="R83" s="62">
        <f t="shared" si="55"/>
        <v>293.33333333333786</v>
      </c>
      <c r="S83" s="62">
        <f ca="1">AVERAGE(OFFSET($R$3,0,0,'Données projet'!$E$9+1,1))-AVERAGE(OFFSET($H$3,0,0,'Données projet'!$E$9+1,1))</f>
        <v>253.73326067725128</v>
      </c>
      <c r="T83" s="62">
        <f t="shared" si="88"/>
        <v>317.76427047458026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1.6969850860577516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1.0375754735233284E-6</v>
      </c>
      <c r="AC83" s="24">
        <f t="shared" si="57"/>
        <v>1.6969861236332251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334.464</v>
      </c>
      <c r="AK83" s="14">
        <f t="shared" si="89"/>
        <v>78.355083270221414</v>
      </c>
      <c r="AL83" s="22">
        <f t="shared" si="58"/>
        <v>718.99323669563557</v>
      </c>
      <c r="AM83" s="62">
        <f t="shared" si="59"/>
        <v>1012.3265700289689</v>
      </c>
      <c r="AN83" s="62">
        <f ca="1">AVERAGE(OFFSET($AM$3,0,0,'Données projet'!$E$10+1,1))-AVERAGE(OFFSET($H$3,0,0,'Données projet'!$E$10+1,1))</f>
        <v>406.17572122067492</v>
      </c>
      <c r="AO83" s="62">
        <f t="shared" si="90"/>
        <v>244.4332618279085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917.74573063083562</v>
      </c>
      <c r="BI83" s="62">
        <f ca="1">AVERAGE(OFFSET($BH$3,0,0,'Données projet'!$E$11+1,1))-AVERAGE(OFFSET($H$3,0,0,'Données projet'!$E$11+1,1))</f>
        <v>344.49457749226184</v>
      </c>
      <c r="BJ83" s="62">
        <f t="shared" si="92"/>
        <v>207.92972431357452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8.875</v>
      </c>
      <c r="BY83" s="13">
        <f>IF('Données projet'!$A$114&gt;35,BY82+BX83-CG82,IF(A83&lt;'Données projet'!$A$114,$BV$205^A83,IF(A83='Données projet'!$A$114,'Données projet'!$B$114,BY82+BX83-CG82)))</f>
        <v>537.25</v>
      </c>
      <c r="BZ83" s="14">
        <f>BY83*VLOOKUP('Données projet'!$B$12,Paramètres!$A$1:$I$89,3,0)*VLOOKUP('Données projet'!$B$12,Paramètres!$A$1:$I$89,5,0)</f>
        <v>321.27550000000002</v>
      </c>
      <c r="CA83" s="14">
        <f t="shared" si="93"/>
        <v>75.618684768443416</v>
      </c>
      <c r="CB83" s="22">
        <f t="shared" si="64"/>
        <v>691.25737180503893</v>
      </c>
      <c r="CC83" s="62">
        <f t="shared" si="65"/>
        <v>984.59070513837219</v>
      </c>
      <c r="CD83" s="62">
        <f ca="1">AVERAGE(OFFSET($CC$3,0,0,'Données projet'!$E$12+1,1))-AVERAGE(OFFSET($H$3,0,0,'Données projet'!$E$12+1,1))</f>
        <v>287.69656598881124</v>
      </c>
      <c r="CE83" s="62">
        <f t="shared" si="94"/>
        <v>221.9773436301067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2.9825637347379659</v>
      </c>
      <c r="CL83" s="23">
        <f>EXP(-LN(2)/25)*CL82+(1-EXP(-LN(2)/25))/(LN(2)/25)*Calculateur!CG83*Calculateur!CI83*VLOOKUP('Données projet'!$B$12,Paramètres!$A$1:$I$89,3,0)*0.475*44/12</f>
        <v>1.7285267332563783</v>
      </c>
      <c r="CM83" s="23">
        <f>EXP(-LN(2)/2)*CM82+(1-EXP(-LN(2)/2))/(LN(2)/2)*CG83*CJ83*VLOOKUP('Données projet'!$B$12,Paramètres!$A$1:$I$89,3,0)*0.475*44/12</f>
        <v>2.0282972057184434E-7</v>
      </c>
      <c r="CN83" s="24">
        <f t="shared" si="66"/>
        <v>4.7110906708240643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622</v>
      </c>
      <c r="CR83" s="13">
        <f>VLOOKUP(A83,'Données projet'!$A$139:$I$159,9,0)</f>
        <v>17</v>
      </c>
      <c r="CS83" s="13">
        <f t="array" ref="CS83">INDEX(CR:CR,MIN(IF(ISNUMBER(CR83:CR279),ROW(CR83:CR279),"")))</f>
        <v>17</v>
      </c>
      <c r="CT83" s="13">
        <f>IF('Données projet'!$A$140&gt;35,CT82+CS83-DB82,IF(A83&lt;'Données projet'!$A$140,$CQ$205^A83,IF(A83='Données projet'!$A$140,'Données projet'!$B$140,CT82+CS83-DB82)))</f>
        <v>621.99999999999989</v>
      </c>
      <c r="CU83" s="18">
        <f>CT83*VLOOKUP('Données projet'!$B$13,Paramètres!$A$1:$I$89,3,0)*VLOOKUP('Données projet'!$B$13,Paramètres!$A$1:$I$89,5,0)</f>
        <v>291.09599999999995</v>
      </c>
      <c r="CV83" s="14">
        <f t="shared" si="95"/>
        <v>69.306582531434373</v>
      </c>
      <c r="CW83" s="22">
        <f t="shared" si="67"/>
        <v>627.7011645755814</v>
      </c>
      <c r="CX83" s="62">
        <f t="shared" si="68"/>
        <v>921.03449790891477</v>
      </c>
      <c r="CY83" s="62">
        <f ca="1">AVERAGE(OFFSET($CX$3,0,0,'Données projet'!$E$13+1,1))-AVERAGE(OFFSET($H$3,0,0,'Données projet'!$E$13+1,1))</f>
        <v>310.95287409903602</v>
      </c>
      <c r="CZ83" s="62">
        <f t="shared" si="96"/>
        <v>224.10083380795163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124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1.738044375088066E-13</v>
      </c>
      <c r="P84" s="14">
        <f t="shared" si="87"/>
        <v>2.4483293633950478E-12</v>
      </c>
      <c r="Q84" s="22">
        <f t="shared" si="54"/>
        <v>4.566883036574213E-12</v>
      </c>
      <c r="R84" s="62">
        <f t="shared" si="55"/>
        <v>293.33333333333786</v>
      </c>
      <c r="S84" s="62">
        <f ca="1">AVERAGE(OFFSET($R$3,0,0,'Données projet'!$E$9+1,1))-AVERAGE(OFFSET($H$3,0,0,'Données projet'!$E$9+1,1))</f>
        <v>253.73326067725128</v>
      </c>
      <c r="T84" s="62">
        <f t="shared" si="88"/>
        <v>317.76427047458026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1.6637082435788579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7.3367665332118862E-7</v>
      </c>
      <c r="AC84" s="24">
        <f t="shared" si="57"/>
        <v>1.6637089772555114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312.30576000000008</v>
      </c>
      <c r="AK84" s="14">
        <f t="shared" si="89"/>
        <v>73.750156755852004</v>
      </c>
      <c r="AL84" s="22">
        <f t="shared" si="58"/>
        <v>672.38072168310896</v>
      </c>
      <c r="AM84" s="62">
        <f t="shared" si="59"/>
        <v>965.71405501644222</v>
      </c>
      <c r="AN84" s="62">
        <f ca="1">AVERAGE(OFFSET($AM$3,0,0,'Données projet'!$E$10+1,1))-AVERAGE(OFFSET($H$3,0,0,'Données projet'!$E$10+1,1))</f>
        <v>406.17572122067492</v>
      </c>
      <c r="AO84" s="62">
        <f t="shared" si="90"/>
        <v>244.4332618279085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270.35424</v>
      </c>
      <c r="BF84" s="14">
        <f t="shared" si="91"/>
        <v>64.924442218534367</v>
      </c>
      <c r="BG84" s="22">
        <f t="shared" si="61"/>
        <v>583.94370486394735</v>
      </c>
      <c r="BH84" s="62">
        <f t="shared" si="62"/>
        <v>877.27703819728072</v>
      </c>
      <c r="BI84" s="62">
        <f ca="1">AVERAGE(OFFSET($BH$3,0,0,'Données projet'!$E$11+1,1))-AVERAGE(OFFSET($H$3,0,0,'Données projet'!$E$11+1,1))</f>
        <v>344.49457749226184</v>
      </c>
      <c r="BJ84" s="62">
        <f t="shared" si="92"/>
        <v>207.92972431357452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8.875</v>
      </c>
      <c r="BY84" s="13">
        <f>IF('Données projet'!$A$114&gt;35,BY83+BX84-CG83,IF(A84&lt;'Données projet'!$A$114,$BV$205^A84,IF(A84='Données projet'!$A$114,'Données projet'!$B$114,BY83+BX84-CG83)))</f>
        <v>546.125</v>
      </c>
      <c r="BZ84" s="14">
        <f>BY84*VLOOKUP('Données projet'!$B$12,Paramètres!$A$1:$I$89,3,0)*VLOOKUP('Données projet'!$B$12,Paramètres!$A$1:$I$89,5,0)</f>
        <v>326.58275000000003</v>
      </c>
      <c r="CA84" s="14">
        <f t="shared" si="93"/>
        <v>76.72139541907876</v>
      </c>
      <c r="CB84" s="22">
        <f t="shared" si="64"/>
        <v>702.42138660489547</v>
      </c>
      <c r="CC84" s="62">
        <f t="shared" si="65"/>
        <v>995.75471993822885</v>
      </c>
      <c r="CD84" s="62">
        <f ca="1">AVERAGE(OFFSET($CC$3,0,0,'Données projet'!$E$12+1,1))-AVERAGE(OFFSET($H$3,0,0,'Données projet'!$E$12+1,1))</f>
        <v>287.69656598881124</v>
      </c>
      <c r="CE84" s="62">
        <f t="shared" si="94"/>
        <v>221.9773436301067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2.9240774790840032</v>
      </c>
      <c r="CL84" s="23">
        <f>EXP(-LN(2)/25)*CL83+(1-EXP(-LN(2)/25))/(LN(2)/25)*Calculateur!CG84*Calculateur!CI84*VLOOKUP('Données projet'!$B$12,Paramètres!$A$1:$I$89,3,0)*0.475*44/12</f>
        <v>1.6812600788362124</v>
      </c>
      <c r="CM84" s="23">
        <f>EXP(-LN(2)/2)*CM83+(1-EXP(-LN(2)/2))/(LN(2)/2)*CG84*CJ84*VLOOKUP('Données projet'!$B$12,Paramètres!$A$1:$I$89,3,0)*0.475*44/12</f>
        <v>1.4342227084252371E-7</v>
      </c>
      <c r="CN84" s="24">
        <f t="shared" si="66"/>
        <v>4.6053377013424859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17.5</v>
      </c>
      <c r="CT84" s="13">
        <f>IF('Données projet'!$A$140&gt;35,CT83+CS84-DB83,IF(A84&lt;'Données projet'!$A$140,$CQ$205^A84,IF(A84='Données projet'!$A$140,'Données projet'!$B$140,CT83+CS84-DB83)))</f>
        <v>515.49999999999989</v>
      </c>
      <c r="CU84" s="18">
        <f>CT84*VLOOKUP('Données projet'!$B$13,Paramètres!$A$1:$I$89,3,0)*VLOOKUP('Données projet'!$B$13,Paramètres!$A$1:$I$89,5,0)</f>
        <v>241.25399999999996</v>
      </c>
      <c r="CV84" s="14">
        <f t="shared" si="95"/>
        <v>58.70925280391986</v>
      </c>
      <c r="CW84" s="22">
        <f t="shared" si="67"/>
        <v>522.43599863349357</v>
      </c>
      <c r="CX84" s="62">
        <f t="shared" si="68"/>
        <v>815.76933196682694</v>
      </c>
      <c r="CY84" s="62">
        <f ca="1">AVERAGE(OFFSET($CX$3,0,0,'Données projet'!$E$13+1,1))-AVERAGE(OFFSET($H$3,0,0,'Données projet'!$E$13+1,1))</f>
        <v>310.95287409903602</v>
      </c>
      <c r="CZ84" s="62">
        <f t="shared" si="96"/>
        <v>224.10083380795163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1.738044375088066E-13</v>
      </c>
      <c r="P85" s="14">
        <f t="shared" si="87"/>
        <v>2.4483293633950478E-12</v>
      </c>
      <c r="Q85" s="22">
        <f t="shared" si="54"/>
        <v>4.566883036574213E-12</v>
      </c>
      <c r="R85" s="62">
        <f t="shared" si="55"/>
        <v>293.33333333333786</v>
      </c>
      <c r="S85" s="62">
        <f ca="1">AVERAGE(OFFSET($R$3,0,0,'Données projet'!$E$9+1,1))-AVERAGE(OFFSET($H$3,0,0,'Données projet'!$E$9+1,1))</f>
        <v>253.73326067725128</v>
      </c>
      <c r="T85" s="62">
        <f t="shared" si="88"/>
        <v>317.76427047458026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1.6310839396841057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5.187877367616642E-7</v>
      </c>
      <c r="AC85" s="24">
        <f t="shared" si="57"/>
        <v>1.6310844584718425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319.41312000000005</v>
      </c>
      <c r="AK85" s="14">
        <f t="shared" si="89"/>
        <v>75.231228822332341</v>
      </c>
      <c r="AL85" s="22">
        <f t="shared" si="58"/>
        <v>687.33890753222886</v>
      </c>
      <c r="AM85" s="62">
        <f t="shared" si="59"/>
        <v>980.67224086556212</v>
      </c>
      <c r="AN85" s="62">
        <f ca="1">AVERAGE(OFFSET($AM$3,0,0,'Données projet'!$E$10+1,1))-AVERAGE(OFFSET($H$3,0,0,'Données projet'!$E$10+1,1))</f>
        <v>406.17572122067492</v>
      </c>
      <c r="AO85" s="62">
        <f t="shared" si="90"/>
        <v>244.4332618279085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276.50687999999997</v>
      </c>
      <c r="BF85" s="14">
        <f t="shared" si="91"/>
        <v>66.228273722513677</v>
      </c>
      <c r="BG85" s="22">
        <f t="shared" si="61"/>
        <v>596.93039273337797</v>
      </c>
      <c r="BH85" s="62">
        <f t="shared" si="62"/>
        <v>890.26372606671134</v>
      </c>
      <c r="BI85" s="62">
        <f ca="1">AVERAGE(OFFSET($BH$3,0,0,'Données projet'!$E$11+1,1))-AVERAGE(OFFSET($H$3,0,0,'Données projet'!$E$11+1,1))</f>
        <v>344.49457749226184</v>
      </c>
      <c r="BJ85" s="62">
        <f t="shared" si="92"/>
        <v>207.92972431357452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>
        <f>VLOOKUP(A85,'Données projet'!$A$113:$I$133,2,0)</f>
        <v>555</v>
      </c>
      <c r="BW85" s="13">
        <f>VLOOKUP(A85,'Données projet'!$A$113:$I$133,9,0)</f>
        <v>8.875</v>
      </c>
      <c r="BX85" s="13">
        <f t="array" ref="BX85">INDEX(BW:BW,MIN(IF(ISNUMBER(BW85:BW281),ROW(BW85:BW281),"")))</f>
        <v>8.875</v>
      </c>
      <c r="BY85" s="13">
        <f>IF('Données projet'!$A$114&gt;35,BY84+BX85-CG84,IF(A85&lt;'Données projet'!$A$114,$BV$205^A85,IF(A85='Données projet'!$A$114,'Données projet'!$B$114,BY84+BX85-CG84)))</f>
        <v>555</v>
      </c>
      <c r="BZ85" s="14">
        <f>BY85*VLOOKUP('Données projet'!$B$12,Paramètres!$A$1:$I$89,3,0)*VLOOKUP('Données projet'!$B$12,Paramètres!$A$1:$I$89,5,0)</f>
        <v>331.89000000000004</v>
      </c>
      <c r="CA85" s="14">
        <f t="shared" si="93"/>
        <v>77.822022056956186</v>
      </c>
      <c r="CB85" s="22">
        <f t="shared" si="64"/>
        <v>713.58177174919865</v>
      </c>
      <c r="CC85" s="62">
        <f t="shared" si="65"/>
        <v>1006.9151050825319</v>
      </c>
      <c r="CD85" s="62">
        <f ca="1">AVERAGE(OFFSET($CC$3,0,0,'Données projet'!$E$12+1,1))-AVERAGE(OFFSET($H$3,0,0,'Données projet'!$E$12+1,1))</f>
        <v>287.69656598881124</v>
      </c>
      <c r="CE85" s="62">
        <f t="shared" si="94"/>
        <v>221.9773436301067</v>
      </c>
      <c r="CF85" s="16">
        <f>IF(ISNA(VLOOKUP(A85,'Données projet'!$A$113:$I$133,3,0)),0,VLOOKUP(A85,'Données projet'!$A$113:$I$133,3,0))</f>
        <v>11</v>
      </c>
      <c r="CG85" s="16">
        <f>IF(ISNA(VLOOKUP(A85,'Données projet'!$A$113:$I$133,4,0)),0,VLOOKUP(A85,'Données projet'!$A$113:$I$133,4,0))</f>
        <v>555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2.866738103230321</v>
      </c>
      <c r="CL85" s="23">
        <f>EXP(-LN(2)/25)*CL84+(1-EXP(-LN(2)/25))/(LN(2)/25)*Calculateur!CG85*Calculateur!CI85*VLOOKUP('Données projet'!$B$12,Paramètres!$A$1:$I$89,3,0)*0.475*44/12</f>
        <v>1.6352859335668113</v>
      </c>
      <c r="CM85" s="23">
        <f>EXP(-LN(2)/2)*CM84+(1-EXP(-LN(2)/2))/(LN(2)/2)*CG85*CJ85*VLOOKUP('Données projet'!$B$12,Paramètres!$A$1:$I$89,3,0)*0.475*44/12</f>
        <v>1.0141486028592217E-7</v>
      </c>
      <c r="CN85" s="24">
        <f t="shared" si="66"/>
        <v>4.5020241382119925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17.5</v>
      </c>
      <c r="CT85" s="13">
        <f>IF('Données projet'!$A$140&gt;35,CT84+CS85-DB84,IF(A85&lt;'Données projet'!$A$140,$CQ$205^A85,IF(A85='Données projet'!$A$140,'Données projet'!$B$140,CT84+CS85-DB84)))</f>
        <v>532.99999999999989</v>
      </c>
      <c r="CU85" s="18">
        <f>CT85*VLOOKUP('Données projet'!$B$13,Paramètres!$A$1:$I$89,3,0)*VLOOKUP('Données projet'!$B$13,Paramètres!$A$1:$I$89,5,0)</f>
        <v>249.44399999999993</v>
      </c>
      <c r="CV85" s="14">
        <f t="shared" si="95"/>
        <v>60.466866397117599</v>
      </c>
      <c r="CW85" s="22">
        <f t="shared" si="67"/>
        <v>539.76142564164627</v>
      </c>
      <c r="CX85" s="62">
        <f t="shared" si="68"/>
        <v>833.09475897497964</v>
      </c>
      <c r="CY85" s="62">
        <f ca="1">AVERAGE(OFFSET($CX$3,0,0,'Données projet'!$E$13+1,1))-AVERAGE(OFFSET($H$3,0,0,'Données projet'!$E$13+1,1))</f>
        <v>310.95287409903602</v>
      </c>
      <c r="CZ85" s="62">
        <f t="shared" si="96"/>
        <v>224.10083380795163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1.738044375088066E-13</v>
      </c>
      <c r="P86" s="14">
        <f t="shared" si="87"/>
        <v>2.4483293633950478E-12</v>
      </c>
      <c r="Q86" s="22">
        <f t="shared" si="54"/>
        <v>4.566883036574213E-12</v>
      </c>
      <c r="R86" s="62">
        <f t="shared" si="55"/>
        <v>293.33333333333786</v>
      </c>
      <c r="S86" s="62">
        <f ca="1">AVERAGE(OFFSET($R$3,0,0,'Données projet'!$E$9+1,1))-AVERAGE(OFFSET($H$3,0,0,'Données projet'!$E$9+1,1))</f>
        <v>253.73326067725128</v>
      </c>
      <c r="T86" s="62">
        <f t="shared" si="88"/>
        <v>317.76427047458026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1.599099378489869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3.6683832666059431E-7</v>
      </c>
      <c r="AC86" s="24">
        <f t="shared" si="57"/>
        <v>1.5990997453281957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326.52048000000002</v>
      </c>
      <c r="AK86" s="14">
        <f t="shared" si="89"/>
        <v>76.708469463944212</v>
      </c>
      <c r="AL86" s="22">
        <f t="shared" si="58"/>
        <v>702.29042031636936</v>
      </c>
      <c r="AM86" s="62">
        <f t="shared" si="59"/>
        <v>995.62375364970262</v>
      </c>
      <c r="AN86" s="62">
        <f ca="1">AVERAGE(OFFSET($AM$3,0,0,'Données projet'!$E$10+1,1))-AVERAGE(OFFSET($H$3,0,0,'Données projet'!$E$10+1,1))</f>
        <v>406.17572122067492</v>
      </c>
      <c r="AO86" s="62">
        <f t="shared" si="90"/>
        <v>244.4332618279085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282.65952000000004</v>
      </c>
      <c r="BF86" s="14">
        <f t="shared" si="91"/>
        <v>67.528732309967324</v>
      </c>
      <c r="BG86" s="22">
        <f t="shared" si="61"/>
        <v>609.91120610652649</v>
      </c>
      <c r="BH86" s="62">
        <f t="shared" si="62"/>
        <v>903.24453943985986</v>
      </c>
      <c r="BI86" s="62">
        <f ca="1">AVERAGE(OFFSET($BH$3,0,0,'Données projet'!$E$11+1,1))-AVERAGE(OFFSET($H$3,0,0,'Données projet'!$E$11+1,1))</f>
        <v>344.49457749226184</v>
      </c>
      <c r="BJ86" s="62">
        <f t="shared" si="92"/>
        <v>207.92972431357452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287.69656598881124</v>
      </c>
      <c r="CE86" s="62">
        <f t="shared" si="94"/>
        <v>221.9773436301067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2.8105231175635637</v>
      </c>
      <c r="CL86" s="23">
        <f>EXP(-LN(2)/25)*CL85+(1-EXP(-LN(2)/25))/(LN(2)/25)*Calculateur!CG86*Calculateur!CI86*VLOOKUP('Données projet'!$B$12,Paramètres!$A$1:$I$89,3,0)*0.475*44/12</f>
        <v>1.590568953717477</v>
      </c>
      <c r="CM86" s="23">
        <f>EXP(-LN(2)/2)*CM85+(1-EXP(-LN(2)/2))/(LN(2)/2)*CG86*CJ86*VLOOKUP('Données projet'!$B$12,Paramètres!$A$1:$I$89,3,0)*0.475*44/12</f>
        <v>7.1711135421261857E-8</v>
      </c>
      <c r="CN86" s="24">
        <f t="shared" si="66"/>
        <v>4.4010921429921765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17.5</v>
      </c>
      <c r="CT86" s="13">
        <f>IF('Données projet'!$A$140&gt;35,CT85+CS86-DB85,IF(A86&lt;'Données projet'!$A$140,$CQ$205^A86,IF(A86='Données projet'!$A$140,'Données projet'!$B$140,CT85+CS86-DB85)))</f>
        <v>550.49999999999989</v>
      </c>
      <c r="CU86" s="18">
        <f>CT86*VLOOKUP('Données projet'!$B$13,Paramètres!$A$1:$I$89,3,0)*VLOOKUP('Données projet'!$B$13,Paramètres!$A$1:$I$89,5,0)</f>
        <v>257.63399999999996</v>
      </c>
      <c r="CV86" s="14">
        <f t="shared" si="95"/>
        <v>62.217774353261795</v>
      </c>
      <c r="CW86" s="22">
        <f t="shared" si="67"/>
        <v>557.07517366526417</v>
      </c>
      <c r="CX86" s="62">
        <f t="shared" si="68"/>
        <v>850.40850699859743</v>
      </c>
      <c r="CY86" s="62">
        <f ca="1">AVERAGE(OFFSET($CX$3,0,0,'Données projet'!$E$13+1,1))-AVERAGE(OFFSET($H$3,0,0,'Données projet'!$E$13+1,1))</f>
        <v>310.95287409903602</v>
      </c>
      <c r="CZ86" s="62">
        <f t="shared" si="96"/>
        <v>224.10083380795163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1.738044375088066E-13</v>
      </c>
      <c r="P87" s="14">
        <f t="shared" si="87"/>
        <v>2.4483293633950478E-12</v>
      </c>
      <c r="Q87" s="22">
        <f t="shared" si="54"/>
        <v>4.566883036574213E-12</v>
      </c>
      <c r="R87" s="62">
        <f t="shared" si="55"/>
        <v>293.33333333333786</v>
      </c>
      <c r="S87" s="62">
        <f ca="1">AVERAGE(OFFSET($R$3,0,0,'Données projet'!$E$9+1,1))-AVERAGE(OFFSET($H$3,0,0,'Données projet'!$E$9+1,1))</f>
        <v>253.73326067725128</v>
      </c>
      <c r="T87" s="62">
        <f t="shared" si="88"/>
        <v>317.76427047458026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1.5677420150319954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2.593938683808321E-7</v>
      </c>
      <c r="AC87" s="24">
        <f t="shared" si="57"/>
        <v>1.5677422744258638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333.62784000000005</v>
      </c>
      <c r="AK87" s="14">
        <f t="shared" si="89"/>
        <v>78.181971683748671</v>
      </c>
      <c r="AL87" s="22">
        <f t="shared" si="58"/>
        <v>717.23542201586224</v>
      </c>
      <c r="AM87" s="62">
        <f t="shared" si="59"/>
        <v>1010.5687553491955</v>
      </c>
      <c r="AN87" s="62">
        <f ca="1">AVERAGE(OFFSET($AM$3,0,0,'Données projet'!$E$10+1,1))-AVERAGE(OFFSET($H$3,0,0,'Données projet'!$E$10+1,1))</f>
        <v>406.17572122067492</v>
      </c>
      <c r="AO87" s="62">
        <f t="shared" si="90"/>
        <v>244.4332618279085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288.81216000000006</v>
      </c>
      <c r="BF87" s="14">
        <f t="shared" si="91"/>
        <v>68.825899854238159</v>
      </c>
      <c r="BG87" s="22">
        <f t="shared" si="61"/>
        <v>622.88628757946492</v>
      </c>
      <c r="BH87" s="62">
        <f t="shared" si="62"/>
        <v>916.21962091279829</v>
      </c>
      <c r="BI87" s="62">
        <f ca="1">AVERAGE(OFFSET($BH$3,0,0,'Données projet'!$E$11+1,1))-AVERAGE(OFFSET($H$3,0,0,'Données projet'!$E$11+1,1))</f>
        <v>344.49457749226184</v>
      </c>
      <c r="BJ87" s="62">
        <f t="shared" si="92"/>
        <v>207.92972431357452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287.69656598881124</v>
      </c>
      <c r="CE87" s="62">
        <f t="shared" si="94"/>
        <v>221.9773436301067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2.7554104734779759</v>
      </c>
      <c r="CL87" s="23">
        <f>EXP(-LN(2)/25)*CL86+(1-EXP(-LN(2)/25))/(LN(2)/25)*Calculateur!CG87*Calculateur!CI87*VLOOKUP('Données projet'!$B$12,Paramètres!$A$1:$I$89,3,0)*0.475*44/12</f>
        <v>1.5470747620336867</v>
      </c>
      <c r="CM87" s="23">
        <f>EXP(-LN(2)/2)*CM86+(1-EXP(-LN(2)/2))/(LN(2)/2)*CG87*CJ87*VLOOKUP('Données projet'!$B$12,Paramètres!$A$1:$I$89,3,0)*0.475*44/12</f>
        <v>5.0707430142961086E-8</v>
      </c>
      <c r="CN87" s="24">
        <f t="shared" si="66"/>
        <v>4.3024852862190928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17.5</v>
      </c>
      <c r="CT87" s="13">
        <f>IF('Données projet'!$A$140&gt;35,CT86+CS87-DB86,IF(A87&lt;'Données projet'!$A$140,$CQ$205^A87,IF(A87='Données projet'!$A$140,'Données projet'!$B$140,CT86+CS87-DB86)))</f>
        <v>567.99999999999989</v>
      </c>
      <c r="CU87" s="18">
        <f>CT87*VLOOKUP('Données projet'!$B$13,Paramètres!$A$1:$I$89,3,0)*VLOOKUP('Données projet'!$B$13,Paramètres!$A$1:$I$89,5,0)</f>
        <v>265.82399999999996</v>
      </c>
      <c r="CV87" s="14">
        <f t="shared" si="95"/>
        <v>63.962214293903529</v>
      </c>
      <c r="CW87" s="22">
        <f t="shared" si="67"/>
        <v>574.37765656188185</v>
      </c>
      <c r="CX87" s="62">
        <f t="shared" si="68"/>
        <v>867.71098989521511</v>
      </c>
      <c r="CY87" s="62">
        <f ca="1">AVERAGE(OFFSET($CX$3,0,0,'Données projet'!$E$13+1,1))-AVERAGE(OFFSET($H$3,0,0,'Données projet'!$E$13+1,1))</f>
        <v>310.95287409903602</v>
      </c>
      <c r="CZ87" s="62">
        <f t="shared" si="96"/>
        <v>224.10083380795163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1.738044375088066E-13</v>
      </c>
      <c r="P88" s="14">
        <f t="shared" si="87"/>
        <v>2.4483293633950478E-12</v>
      </c>
      <c r="Q88" s="22">
        <f t="shared" si="54"/>
        <v>4.566883036574213E-12</v>
      </c>
      <c r="R88" s="62">
        <f t="shared" si="55"/>
        <v>293.33333333333786</v>
      </c>
      <c r="S88" s="62">
        <f ca="1">AVERAGE(OFFSET($R$3,0,0,'Données projet'!$E$9+1,1))-AVERAGE(OFFSET($H$3,0,0,'Données projet'!$E$9+1,1))</f>
        <v>253.73326067725128</v>
      </c>
      <c r="T88" s="62">
        <f t="shared" si="88"/>
        <v>317.76427047458026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1.5369995503454275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1.8341916333029715E-7</v>
      </c>
      <c r="AC88" s="24">
        <f t="shared" si="57"/>
        <v>1.5369997337645909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340.73520000000008</v>
      </c>
      <c r="AK88" s="14">
        <f t="shared" si="89"/>
        <v>79.651824295893803</v>
      </c>
      <c r="AL88" s="22">
        <f t="shared" si="58"/>
        <v>732.17406731534845</v>
      </c>
      <c r="AM88" s="62">
        <f t="shared" si="59"/>
        <v>1025.5074006486818</v>
      </c>
      <c r="AN88" s="62">
        <f ca="1">AVERAGE(OFFSET($AM$3,0,0,'Données projet'!$E$10+1,1))-AVERAGE(OFFSET($H$3,0,0,'Données projet'!$E$10+1,1))</f>
        <v>406.17572122067492</v>
      </c>
      <c r="AO88" s="62">
        <f t="shared" si="90"/>
        <v>244.4332618279085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294.96480000000003</v>
      </c>
      <c r="BF88" s="14">
        <f t="shared" si="91"/>
        <v>70.119854541045001</v>
      </c>
      <c r="BG88" s="22">
        <f t="shared" si="61"/>
        <v>635.85577332565333</v>
      </c>
      <c r="BH88" s="62">
        <f t="shared" si="62"/>
        <v>929.1891066589867</v>
      </c>
      <c r="BI88" s="62">
        <f ca="1">AVERAGE(OFFSET($BH$3,0,0,'Données projet'!$E$11+1,1))-AVERAGE(OFFSET($H$3,0,0,'Données projet'!$E$11+1,1))</f>
        <v>344.49457749226184</v>
      </c>
      <c r="BJ88" s="62">
        <f t="shared" si="92"/>
        <v>207.92972431357452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287.69656598881124</v>
      </c>
      <c r="CE88" s="62">
        <f t="shared" si="94"/>
        <v>221.9773436301067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2.7013785547275129</v>
      </c>
      <c r="CL88" s="23">
        <f>EXP(-LN(2)/25)*CL87+(1-EXP(-LN(2)/25))/(LN(2)/25)*Calculateur!CG88*Calculateur!CI88*VLOOKUP('Données projet'!$B$12,Paramètres!$A$1:$I$89,3,0)*0.475*44/12</f>
        <v>1.5047699213087495</v>
      </c>
      <c r="CM88" s="23">
        <f>EXP(-LN(2)/2)*CM87+(1-EXP(-LN(2)/2))/(LN(2)/2)*CG88*CJ88*VLOOKUP('Données projet'!$B$12,Paramètres!$A$1:$I$89,3,0)*0.475*44/12</f>
        <v>3.5855567710630928E-8</v>
      </c>
      <c r="CN88" s="24">
        <f t="shared" si="66"/>
        <v>4.20614851189183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17.5</v>
      </c>
      <c r="CT88" s="13">
        <f>IF('Données projet'!$A$140&gt;35,CT87+CS88-DB87,IF(A88&lt;'Données projet'!$A$140,$CQ$205^A88,IF(A88='Données projet'!$A$140,'Données projet'!$B$140,CT87+CS88-DB87)))</f>
        <v>585.49999999999989</v>
      </c>
      <c r="CU88" s="18">
        <f>CT88*VLOOKUP('Données projet'!$B$13,Paramètres!$A$1:$I$89,3,0)*VLOOKUP('Données projet'!$B$13,Paramètres!$A$1:$I$89,5,0)</f>
        <v>274.01399999999995</v>
      </c>
      <c r="CV88" s="14">
        <f t="shared" si="95"/>
        <v>65.700408366571935</v>
      </c>
      <c r="CW88" s="22">
        <f t="shared" si="67"/>
        <v>591.66926123844598</v>
      </c>
      <c r="CX88" s="62">
        <f t="shared" si="68"/>
        <v>885.00259457177935</v>
      </c>
      <c r="CY88" s="62">
        <f ca="1">AVERAGE(OFFSET($CX$3,0,0,'Données projet'!$E$13+1,1))-AVERAGE(OFFSET($H$3,0,0,'Données projet'!$E$13+1,1))</f>
        <v>310.95287409903602</v>
      </c>
      <c r="CZ88" s="62">
        <f t="shared" si="96"/>
        <v>224.10083380795163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1.738044375088066E-13</v>
      </c>
      <c r="P89" s="14">
        <f t="shared" si="87"/>
        <v>2.4483293633950478E-12</v>
      </c>
      <c r="Q89" s="22">
        <f t="shared" si="54"/>
        <v>4.566883036574213E-12</v>
      </c>
      <c r="R89" s="62">
        <f t="shared" si="55"/>
        <v>293.33333333333786</v>
      </c>
      <c r="S89" s="62">
        <f ca="1">AVERAGE(OFFSET($R$3,0,0,'Données projet'!$E$9+1,1))-AVERAGE(OFFSET($H$3,0,0,'Données projet'!$E$9+1,1))</f>
        <v>253.73326067725128</v>
      </c>
      <c r="T89" s="62">
        <f t="shared" si="88"/>
        <v>317.76427047458026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1.5068599266403111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1.2969693419041605E-7</v>
      </c>
      <c r="AC89" s="24">
        <f t="shared" si="57"/>
        <v>1.5068600563372452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318.15888000000007</v>
      </c>
      <c r="AK89" s="14">
        <f t="shared" si="89"/>
        <v>74.970144289575373</v>
      </c>
      <c r="AL89" s="22">
        <f t="shared" si="58"/>
        <v>684.69971730434384</v>
      </c>
      <c r="AM89" s="62">
        <f t="shared" si="59"/>
        <v>978.03305063767721</v>
      </c>
      <c r="AN89" s="62">
        <f ca="1">AVERAGE(OFFSET($AM$3,0,0,'Données projet'!$E$10+1,1))-AVERAGE(OFFSET($H$3,0,0,'Données projet'!$E$10+1,1))</f>
        <v>406.17572122067492</v>
      </c>
      <c r="AO89" s="62">
        <f t="shared" si="90"/>
        <v>244.4332618279085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275.42112000000003</v>
      </c>
      <c r="BF89" s="14">
        <f t="shared" si="91"/>
        <v>65.998433293601067</v>
      </c>
      <c r="BG89" s="22">
        <f t="shared" si="61"/>
        <v>594.63905531968851</v>
      </c>
      <c r="BH89" s="62">
        <f t="shared" si="62"/>
        <v>887.97238865302188</v>
      </c>
      <c r="BI89" s="62">
        <f ca="1">AVERAGE(OFFSET($BH$3,0,0,'Données projet'!$E$11+1,1))-AVERAGE(OFFSET($H$3,0,0,'Données projet'!$E$11+1,1))</f>
        <v>344.49457749226184</v>
      </c>
      <c r="BJ89" s="62">
        <f t="shared" si="92"/>
        <v>207.92972431357452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287.69656598881124</v>
      </c>
      <c r="CE89" s="62">
        <f t="shared" si="94"/>
        <v>221.9773436301067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2.6484061689475302</v>
      </c>
      <c r="CL89" s="23">
        <f>EXP(-LN(2)/25)*CL88+(1-EXP(-LN(2)/25))/(LN(2)/25)*Calculateur!CG89*Calculateur!CI89*VLOOKUP('Données projet'!$B$12,Paramètres!$A$1:$I$89,3,0)*0.475*44/12</f>
        <v>1.4636219086781508</v>
      </c>
      <c r="CM89" s="23">
        <f>EXP(-LN(2)/2)*CM88+(1-EXP(-LN(2)/2))/(LN(2)/2)*CG89*CJ89*VLOOKUP('Données projet'!$B$12,Paramètres!$A$1:$I$89,3,0)*0.475*44/12</f>
        <v>2.5353715071480543E-8</v>
      </c>
      <c r="CN89" s="24">
        <f t="shared" si="66"/>
        <v>4.1120281029793952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17.5</v>
      </c>
      <c r="CT89" s="13">
        <f>IF('Données projet'!$A$140&gt;35,CT88+CS89-DB88,IF(A89&lt;'Données projet'!$A$140,$CQ$205^A89,IF(A89='Données projet'!$A$140,'Données projet'!$B$140,CT88+CS89-DB88)))</f>
        <v>602.99999999999989</v>
      </c>
      <c r="CU89" s="18">
        <f>CT89*VLOOKUP('Données projet'!$B$13,Paramètres!$A$1:$I$89,3,0)*VLOOKUP('Données projet'!$B$13,Paramètres!$A$1:$I$89,5,0)</f>
        <v>282.20399999999995</v>
      </c>
      <c r="CV89" s="14">
        <f t="shared" si="95"/>
        <v>67.432564684485186</v>
      </c>
      <c r="CW89" s="22">
        <f t="shared" si="67"/>
        <v>608.9503501588116</v>
      </c>
      <c r="CX89" s="62">
        <f t="shared" si="68"/>
        <v>902.28368349214497</v>
      </c>
      <c r="CY89" s="62">
        <f ca="1">AVERAGE(OFFSET($CX$3,0,0,'Données projet'!$E$13+1,1))-AVERAGE(OFFSET($H$3,0,0,'Données projet'!$E$13+1,1))</f>
        <v>310.95287409903602</v>
      </c>
      <c r="CZ89" s="62">
        <f t="shared" si="96"/>
        <v>224.10083380795163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1.738044375088066E-13</v>
      </c>
      <c r="P90" s="14">
        <f t="shared" si="87"/>
        <v>2.4483293633950478E-12</v>
      </c>
      <c r="Q90" s="22">
        <f t="shared" si="54"/>
        <v>4.566883036574213E-12</v>
      </c>
      <c r="R90" s="62">
        <f t="shared" si="55"/>
        <v>293.33333333333786</v>
      </c>
      <c r="S90" s="62">
        <f ca="1">AVERAGE(OFFSET($R$3,0,0,'Données projet'!$E$9+1,1))-AVERAGE(OFFSET($H$3,0,0,'Données projet'!$E$9+1,1))</f>
        <v>253.73326067725128</v>
      </c>
      <c r="T90" s="62">
        <f t="shared" si="88"/>
        <v>317.76427047458026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1.4773113225726968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9.1709581665148577E-8</v>
      </c>
      <c r="AC90" s="24">
        <f t="shared" si="57"/>
        <v>1.4773114142822785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324.84816000000006</v>
      </c>
      <c r="AK90" s="14">
        <f t="shared" si="89"/>
        <v>76.361223133944222</v>
      </c>
      <c r="AL90" s="22">
        <f t="shared" si="58"/>
        <v>698.77300895828614</v>
      </c>
      <c r="AM90" s="62">
        <f t="shared" si="59"/>
        <v>992.10634229161951</v>
      </c>
      <c r="AN90" s="62">
        <f ca="1">AVERAGE(OFFSET($AM$3,0,0,'Données projet'!$E$10+1,1))-AVERAGE(OFFSET($H$3,0,0,'Données projet'!$E$10+1,1))</f>
        <v>406.17572122067492</v>
      </c>
      <c r="AO90" s="62">
        <f t="shared" si="90"/>
        <v>244.4332618279085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281.21184</v>
      </c>
      <c r="BF90" s="14">
        <f t="shared" si="91"/>
        <v>67.22304110496664</v>
      </c>
      <c r="BG90" s="22">
        <f t="shared" si="61"/>
        <v>606.85741792448357</v>
      </c>
      <c r="BH90" s="62">
        <f t="shared" si="62"/>
        <v>900.19075125781683</v>
      </c>
      <c r="BI90" s="62">
        <f ca="1">AVERAGE(OFFSET($BH$3,0,0,'Données projet'!$E$11+1,1))-AVERAGE(OFFSET($H$3,0,0,'Données projet'!$E$11+1,1))</f>
        <v>344.49457749226184</v>
      </c>
      <c r="BJ90" s="62">
        <f t="shared" si="92"/>
        <v>207.92972431357452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287.69656598881124</v>
      </c>
      <c r="CE90" s="62">
        <f t="shared" si="94"/>
        <v>221.9773436301067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2.5964725393427277</v>
      </c>
      <c r="CL90" s="23">
        <f>EXP(-LN(2)/25)*CL89+(1-EXP(-LN(2)/25))/(LN(2)/25)*Calculateur!CG90*Calculateur!CI90*VLOOKUP('Données projet'!$B$12,Paramètres!$A$1:$I$89,3,0)*0.475*44/12</f>
        <v>1.4235990906168157</v>
      </c>
      <c r="CM90" s="23">
        <f>EXP(-LN(2)/2)*CM89+(1-EXP(-LN(2)/2))/(LN(2)/2)*CG90*CJ90*VLOOKUP('Données projet'!$B$12,Paramètres!$A$1:$I$89,3,0)*0.475*44/12</f>
        <v>1.7927783855315464E-8</v>
      </c>
      <c r="CN90" s="24">
        <f t="shared" si="66"/>
        <v>4.0200716478873275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17.5</v>
      </c>
      <c r="CT90" s="13">
        <f>IF('Données projet'!$A$140&gt;35,CT89+CS90-DB89,IF(A90&lt;'Données projet'!$A$140,$CQ$205^A90,IF(A90='Données projet'!$A$140,'Données projet'!$B$140,CT89+CS90-DB89)))</f>
        <v>620.49999999999989</v>
      </c>
      <c r="CU90" s="18">
        <f>CT90*VLOOKUP('Données projet'!$B$13,Paramètres!$A$1:$I$89,3,0)*VLOOKUP('Données projet'!$B$13,Paramètres!$A$1:$I$89,5,0)</f>
        <v>290.39399999999995</v>
      </c>
      <c r="CV90" s="14">
        <f t="shared" si="95"/>
        <v>69.158878594433091</v>
      </c>
      <c r="CW90" s="22">
        <f t="shared" si="67"/>
        <v>626.22126355197076</v>
      </c>
      <c r="CX90" s="62">
        <f t="shared" si="68"/>
        <v>919.55459688530414</v>
      </c>
      <c r="CY90" s="62">
        <f ca="1">AVERAGE(OFFSET($CX$3,0,0,'Données projet'!$E$13+1,1))-AVERAGE(OFFSET($H$3,0,0,'Données projet'!$E$13+1,1))</f>
        <v>310.95287409903602</v>
      </c>
      <c r="CZ90" s="62">
        <f t="shared" si="96"/>
        <v>224.10083380795163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1.738044375088066E-13</v>
      </c>
      <c r="P91" s="14">
        <f t="shared" si="87"/>
        <v>2.4483293633950478E-12</v>
      </c>
      <c r="Q91" s="22">
        <f t="shared" si="54"/>
        <v>4.566883036574213E-12</v>
      </c>
      <c r="R91" s="62">
        <f t="shared" si="55"/>
        <v>293.33333333333786</v>
      </c>
      <c r="S91" s="62">
        <f ca="1">AVERAGE(OFFSET($R$3,0,0,'Données projet'!$E$9+1,1))-AVERAGE(OFFSET($H$3,0,0,'Données projet'!$E$9+1,1))</f>
        <v>253.73326067725128</v>
      </c>
      <c r="T91" s="62">
        <f t="shared" si="88"/>
        <v>317.76427047458026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1.4483421486079797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6.4848467095208025E-8</v>
      </c>
      <c r="AC91" s="24">
        <f t="shared" si="57"/>
        <v>1.4483422134564468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331.53744</v>
      </c>
      <c r="AK91" s="14">
        <f t="shared" si="89"/>
        <v>77.748971429863658</v>
      </c>
      <c r="AL91" s="22">
        <f t="shared" si="58"/>
        <v>712.8404999070126</v>
      </c>
      <c r="AM91" s="62">
        <f t="shared" si="59"/>
        <v>1006.1738332403459</v>
      </c>
      <c r="AN91" s="62">
        <f ca="1">AVERAGE(OFFSET($AM$3,0,0,'Données projet'!$E$10+1,1))-AVERAGE(OFFSET($H$3,0,0,'Données projet'!$E$10+1,1))</f>
        <v>406.17572122067492</v>
      </c>
      <c r="AO91" s="62">
        <f t="shared" si="90"/>
        <v>244.4332618279085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287.00255999999996</v>
      </c>
      <c r="BF91" s="14">
        <f t="shared" si="91"/>
        <v>68.444716936118553</v>
      </c>
      <c r="BG91" s="22">
        <f t="shared" si="61"/>
        <v>619.07067399707296</v>
      </c>
      <c r="BH91" s="62">
        <f t="shared" si="62"/>
        <v>912.40400733040633</v>
      </c>
      <c r="BI91" s="62">
        <f ca="1">AVERAGE(OFFSET($BH$3,0,0,'Données projet'!$E$11+1,1))-AVERAGE(OFFSET($H$3,0,0,'Données projet'!$E$11+1,1))</f>
        <v>344.49457749226184</v>
      </c>
      <c r="BJ91" s="62">
        <f t="shared" si="92"/>
        <v>207.92972431357452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287.69656598881124</v>
      </c>
      <c r="CE91" s="62">
        <f t="shared" si="94"/>
        <v>221.9773436301067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2.5455572965380893</v>
      </c>
      <c r="CL91" s="23">
        <f>EXP(-LN(2)/25)*CL90+(1-EXP(-LN(2)/25))/(LN(2)/25)*Calculateur!CG91*Calculateur!CI91*VLOOKUP('Données projet'!$B$12,Paramètres!$A$1:$I$89,3,0)*0.475*44/12</f>
        <v>1.3846706986200763</v>
      </c>
      <c r="CM91" s="23">
        <f>EXP(-LN(2)/2)*CM90+(1-EXP(-LN(2)/2))/(LN(2)/2)*CG91*CJ91*VLOOKUP('Données projet'!$B$12,Paramètres!$A$1:$I$89,3,0)*0.475*44/12</f>
        <v>1.2676857535740272E-8</v>
      </c>
      <c r="CN91" s="24">
        <f t="shared" si="66"/>
        <v>3.9302280078350229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17.5</v>
      </c>
      <c r="CT91" s="13">
        <f>IF('Données projet'!$A$140&gt;35,CT90+CS91-DB90,IF(A91&lt;'Données projet'!$A$140,$CQ$205^A91,IF(A91='Données projet'!$A$140,'Données projet'!$B$140,CT90+CS91-DB90)))</f>
        <v>637.99999999999989</v>
      </c>
      <c r="CU91" s="18">
        <f>CT91*VLOOKUP('Données projet'!$B$13,Paramètres!$A$1:$I$89,3,0)*VLOOKUP('Données projet'!$B$13,Paramètres!$A$1:$I$89,5,0)</f>
        <v>298.58399999999995</v>
      </c>
      <c r="CV91" s="14">
        <f t="shared" si="95"/>
        <v>70.879533797607607</v>
      </c>
      <c r="CW91" s="22">
        <f t="shared" si="67"/>
        <v>643.48232136416652</v>
      </c>
      <c r="CX91" s="62">
        <f t="shared" si="68"/>
        <v>936.81565469749989</v>
      </c>
      <c r="CY91" s="62">
        <f ca="1">AVERAGE(OFFSET($CX$3,0,0,'Données projet'!$E$13+1,1))-AVERAGE(OFFSET($H$3,0,0,'Données projet'!$E$13+1,1))</f>
        <v>310.95287409903602</v>
      </c>
      <c r="CZ91" s="62">
        <f t="shared" si="96"/>
        <v>224.10083380795163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1.738044375088066E-13</v>
      </c>
      <c r="P92" s="14">
        <f t="shared" si="87"/>
        <v>2.4483293633950478E-12</v>
      </c>
      <c r="Q92" s="22">
        <f t="shared" si="54"/>
        <v>4.566883036574213E-12</v>
      </c>
      <c r="R92" s="62">
        <f t="shared" si="55"/>
        <v>293.33333333333786</v>
      </c>
      <c r="S92" s="62">
        <f ca="1">AVERAGE(OFFSET($R$3,0,0,'Données projet'!$E$9+1,1))-AVERAGE(OFFSET($H$3,0,0,'Données projet'!$E$9+1,1))</f>
        <v>253.73326067725128</v>
      </c>
      <c r="T92" s="62">
        <f t="shared" si="88"/>
        <v>317.76427047458026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1.4199410424752592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4.5854790832574289E-8</v>
      </c>
      <c r="AC92" s="24">
        <f t="shared" si="57"/>
        <v>1.4199410883300501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338.22672</v>
      </c>
      <c r="AK92" s="14">
        <f t="shared" si="89"/>
        <v>79.133464120489521</v>
      </c>
      <c r="AL92" s="22">
        <f t="shared" si="58"/>
        <v>726.90232067651914</v>
      </c>
      <c r="AM92" s="62">
        <f t="shared" si="59"/>
        <v>1020.2356540098524</v>
      </c>
      <c r="AN92" s="62">
        <f ca="1">AVERAGE(OFFSET($AM$3,0,0,'Données projet'!$E$10+1,1))-AVERAGE(OFFSET($H$3,0,0,'Données projet'!$E$10+1,1))</f>
        <v>406.17572122067492</v>
      </c>
      <c r="AO92" s="62">
        <f t="shared" si="90"/>
        <v>244.4332618279085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292.79327999999992</v>
      </c>
      <c r="BF92" s="14">
        <f t="shared" si="91"/>
        <v>69.663526761731433</v>
      </c>
      <c r="BG92" s="22">
        <f t="shared" si="61"/>
        <v>631.27893844334869</v>
      </c>
      <c r="BH92" s="62">
        <f t="shared" si="62"/>
        <v>924.61227177668206</v>
      </c>
      <c r="BI92" s="62">
        <f ca="1">AVERAGE(OFFSET($BH$3,0,0,'Données projet'!$E$11+1,1))-AVERAGE(OFFSET($H$3,0,0,'Données projet'!$E$11+1,1))</f>
        <v>344.49457749226184</v>
      </c>
      <c r="BJ92" s="62">
        <f t="shared" si="92"/>
        <v>207.92972431357452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287.69656598881124</v>
      </c>
      <c r="CE92" s="62">
        <f t="shared" si="94"/>
        <v>221.9773436301067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2.4956404705896182</v>
      </c>
      <c r="CL92" s="23">
        <f>EXP(-LN(2)/25)*CL91+(1-EXP(-LN(2)/25))/(LN(2)/25)*Calculateur!CG92*Calculateur!CI92*VLOOKUP('Données projet'!$B$12,Paramètres!$A$1:$I$89,3,0)*0.475*44/12</f>
        <v>1.3468068055496429</v>
      </c>
      <c r="CM92" s="23">
        <f>EXP(-LN(2)/2)*CM91+(1-EXP(-LN(2)/2))/(LN(2)/2)*CG92*CJ92*VLOOKUP('Données projet'!$B$12,Paramètres!$A$1:$I$89,3,0)*0.475*44/12</f>
        <v>8.9638919276577321E-9</v>
      </c>
      <c r="CN92" s="24">
        <f t="shared" si="66"/>
        <v>3.842447285103153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17.5</v>
      </c>
      <c r="CT92" s="13">
        <f>IF('Données projet'!$A$140&gt;35,CT91+CS92-DB91,IF(A92&lt;'Données projet'!$A$140,$CQ$205^A92,IF(A92='Données projet'!$A$140,'Données projet'!$B$140,CT91+CS92-DB91)))</f>
        <v>655.49999999999989</v>
      </c>
      <c r="CU92" s="18">
        <f>CT92*VLOOKUP('Données projet'!$B$13,Paramètres!$A$1:$I$89,3,0)*VLOOKUP('Données projet'!$B$13,Paramètres!$A$1:$I$89,5,0)</f>
        <v>306.77399999999994</v>
      </c>
      <c r="CV92" s="14">
        <f t="shared" si="95"/>
        <v>72.594703343999058</v>
      </c>
      <c r="CW92" s="22">
        <f t="shared" si="67"/>
        <v>660.73382499079833</v>
      </c>
      <c r="CX92" s="62">
        <f t="shared" si="68"/>
        <v>954.0671583241317</v>
      </c>
      <c r="CY92" s="62">
        <f ca="1">AVERAGE(OFFSET($CX$3,0,0,'Données projet'!$E$13+1,1))-AVERAGE(OFFSET($H$3,0,0,'Données projet'!$E$13+1,1))</f>
        <v>310.95287409903602</v>
      </c>
      <c r="CZ92" s="62">
        <f t="shared" si="96"/>
        <v>224.10083380795163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1.738044375088066E-13</v>
      </c>
      <c r="P93" s="14">
        <f t="shared" si="87"/>
        <v>2.4483293633950478E-12</v>
      </c>
      <c r="Q93" s="22">
        <f t="shared" si="54"/>
        <v>4.566883036574213E-12</v>
      </c>
      <c r="R93" s="62">
        <f t="shared" si="55"/>
        <v>293.33333333333786</v>
      </c>
      <c r="S93" s="62">
        <f ca="1">AVERAGE(OFFSET($R$3,0,0,'Données projet'!$E$9+1,1))-AVERAGE(OFFSET($H$3,0,0,'Données projet'!$E$9+1,1))</f>
        <v>253.73326067725128</v>
      </c>
      <c r="T93" s="62">
        <f t="shared" si="88"/>
        <v>317.76427047458026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1.3920968647108372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3.2424233547604012E-8</v>
      </c>
      <c r="AC93" s="24">
        <f t="shared" si="57"/>
        <v>1.3920968971350707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344.91599999999994</v>
      </c>
      <c r="AK93" s="14">
        <f t="shared" si="89"/>
        <v>80.51477301506921</v>
      </c>
      <c r="AL93" s="22">
        <f t="shared" si="58"/>
        <v>740.9585963345786</v>
      </c>
      <c r="AM93" s="62">
        <f t="shared" si="59"/>
        <v>1034.291929667912</v>
      </c>
      <c r="AN93" s="62">
        <f ca="1">AVERAGE(OFFSET($AM$3,0,0,'Données projet'!$E$10+1,1))-AVERAGE(OFFSET($H$3,0,0,'Données projet'!$E$10+1,1))</f>
        <v>406.17572122067492</v>
      </c>
      <c r="AO93" s="62">
        <f t="shared" si="90"/>
        <v>244.4332618279085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298.58399999999995</v>
      </c>
      <c r="BF93" s="14">
        <f t="shared" si="91"/>
        <v>70.879533797607607</v>
      </c>
      <c r="BG93" s="22">
        <f t="shared" si="61"/>
        <v>643.48232136416652</v>
      </c>
      <c r="BH93" s="62">
        <f t="shared" si="62"/>
        <v>936.81565469749989</v>
      </c>
      <c r="BI93" s="62">
        <f ca="1">AVERAGE(OFFSET($BH$3,0,0,'Données projet'!$E$11+1,1))-AVERAGE(OFFSET($H$3,0,0,'Données projet'!$E$11+1,1))</f>
        <v>344.49457749226184</v>
      </c>
      <c r="BJ93" s="62">
        <f t="shared" si="92"/>
        <v>207.92972431357452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287.69656598881124</v>
      </c>
      <c r="CE93" s="62">
        <f t="shared" si="94"/>
        <v>221.9773436301067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2.4467024831517392</v>
      </c>
      <c r="CL93" s="23">
        <f>EXP(-LN(2)/25)*CL92+(1-EXP(-LN(2)/25))/(LN(2)/25)*Calculateur!CG93*Calculateur!CI93*VLOOKUP('Données projet'!$B$12,Paramètres!$A$1:$I$89,3,0)*0.475*44/12</f>
        <v>1.3099783026263963</v>
      </c>
      <c r="CM93" s="23">
        <f>EXP(-LN(2)/2)*CM92+(1-EXP(-LN(2)/2))/(LN(2)/2)*CG93*CJ93*VLOOKUP('Données projet'!$B$12,Paramètres!$A$1:$I$89,3,0)*0.475*44/12</f>
        <v>6.3384287678701358E-9</v>
      </c>
      <c r="CN93" s="24">
        <f t="shared" si="66"/>
        <v>3.7566807921165641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673</v>
      </c>
      <c r="CR93" s="13">
        <f>VLOOKUP(A93,'Données projet'!$A$139:$I$159,9,0)</f>
        <v>17.5</v>
      </c>
      <c r="CS93" s="13">
        <f t="array" ref="CS93">INDEX(CR:CR,MIN(IF(ISNUMBER(CR93:CR289),ROW(CR93:CR289),"")))</f>
        <v>17.5</v>
      </c>
      <c r="CT93" s="13">
        <f>IF('Données projet'!$A$140&gt;35,CT92+CS93-DB92,IF(A93&lt;'Données projet'!$A$140,$CQ$205^A93,IF(A93='Données projet'!$A$140,'Données projet'!$B$140,CT92+CS93-DB92)))</f>
        <v>672.99999999999989</v>
      </c>
      <c r="CU93" s="18">
        <f>CT93*VLOOKUP('Données projet'!$B$13,Paramètres!$A$1:$I$89,3,0)*VLOOKUP('Données projet'!$B$13,Paramètres!$A$1:$I$89,5,0)</f>
        <v>314.96399999999994</v>
      </c>
      <c r="CV93" s="14">
        <f t="shared" si="95"/>
        <v>74.304550517616548</v>
      </c>
      <c r="CW93" s="22">
        <f t="shared" si="67"/>
        <v>677.97605881818208</v>
      </c>
      <c r="CX93" s="62">
        <f t="shared" si="68"/>
        <v>971.30939215151534</v>
      </c>
      <c r="CY93" s="62">
        <f ca="1">AVERAGE(OFFSET($CX$3,0,0,'Données projet'!$E$13+1,1))-AVERAGE(OFFSET($H$3,0,0,'Données projet'!$E$13+1,1))</f>
        <v>310.95287409903602</v>
      </c>
      <c r="CZ93" s="62">
        <f t="shared" si="96"/>
        <v>224.10083380795163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135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1.738044375088066E-13</v>
      </c>
      <c r="P94" s="14">
        <f t="shared" si="87"/>
        <v>2.4483293633950478E-12</v>
      </c>
      <c r="Q94" s="22">
        <f t="shared" si="54"/>
        <v>4.566883036574213E-12</v>
      </c>
      <c r="R94" s="62">
        <f t="shared" si="55"/>
        <v>293.33333333333786</v>
      </c>
      <c r="S94" s="62">
        <f ca="1">AVERAGE(OFFSET($R$3,0,0,'Données projet'!$E$9+1,1))-AVERAGE(OFFSET($H$3,0,0,'Données projet'!$E$9+1,1))</f>
        <v>253.73326067725128</v>
      </c>
      <c r="T94" s="62">
        <f t="shared" si="88"/>
        <v>317.76427047458026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1.3647986942891039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2.2927395416287144E-8</v>
      </c>
      <c r="AC94" s="24">
        <f t="shared" si="57"/>
        <v>1.3647987172164993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308.19999999999993</v>
      </c>
      <c r="AJ94" s="14">
        <f>AI94*VLOOKUP('Données projet'!$B$10,Paramètres!$A$1:$I$89,3,0)*VLOOKUP('Données projet'!$B$10,Paramètres!$A$1:$I$89,5,0)</f>
        <v>322.13063999999997</v>
      </c>
      <c r="AK94" s="14">
        <f t="shared" si="89"/>
        <v>75.7965033838355</v>
      </c>
      <c r="AL94" s="22">
        <f t="shared" si="58"/>
        <v>693.05644139351341</v>
      </c>
      <c r="AM94" s="62">
        <f t="shared" si="59"/>
        <v>986.38977472684678</v>
      </c>
      <c r="AN94" s="62">
        <f ca="1">AVERAGE(OFFSET($AM$3,0,0,'Données projet'!$E$10+1,1))-AVERAGE(OFFSET($H$3,0,0,'Données projet'!$E$10+1,1))</f>
        <v>406.17572122067492</v>
      </c>
      <c r="AO94" s="62">
        <f t="shared" si="90"/>
        <v>244.4332618279085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6.2</v>
      </c>
      <c r="BD94" s="13">
        <f>IF('Données projet'!$A$88&gt;35,BD93+BC94-BL93,IF(A94&lt;'Données projet'!$A$88,$BA$205^A94,IF(A94='Données projet'!$A$88,'Données projet'!$B$88,BD93+BC94-BL93)))</f>
        <v>308.19999999999993</v>
      </c>
      <c r="BE94" s="14">
        <f>BD94*VLOOKUP('Données projet'!$B$11,Paramètres!$A$1:$I$89,3,0)*VLOOKUP('Données projet'!$B$11,Paramètres!$A$1:$I$89,5,0)</f>
        <v>278.85935999999992</v>
      </c>
      <c r="BF94" s="14">
        <f t="shared" si="91"/>
        <v>66.725901622172387</v>
      </c>
      <c r="BG94" s="22">
        <f t="shared" si="61"/>
        <v>601.8943306586167</v>
      </c>
      <c r="BH94" s="62">
        <f t="shared" si="62"/>
        <v>895.22766399195007</v>
      </c>
      <c r="BI94" s="62">
        <f ca="1">AVERAGE(OFFSET($BH$3,0,0,'Données projet'!$E$11+1,1))-AVERAGE(OFFSET($H$3,0,0,'Données projet'!$E$11+1,1))</f>
        <v>344.49457749226184</v>
      </c>
      <c r="BJ94" s="62">
        <f t="shared" si="92"/>
        <v>207.92972431357452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287.69656598881124</v>
      </c>
      <c r="CE94" s="62">
        <f t="shared" si="94"/>
        <v>221.9773436301067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2.3987241397982917</v>
      </c>
      <c r="CL94" s="23">
        <f>EXP(-LN(2)/25)*CL93+(1-EXP(-LN(2)/25))/(LN(2)/25)*Calculateur!CG94*Calculateur!CI94*VLOOKUP('Données projet'!$B$12,Paramètres!$A$1:$I$89,3,0)*0.475*44/12</f>
        <v>1.2741568770523124</v>
      </c>
      <c r="CM94" s="23">
        <f>EXP(-LN(2)/2)*CM93+(1-EXP(-LN(2)/2))/(LN(2)/2)*CG94*CJ94*VLOOKUP('Données projet'!$B$12,Paramètres!$A$1:$I$89,3,0)*0.475*44/12</f>
        <v>4.481945963828866E-9</v>
      </c>
      <c r="CN94" s="24">
        <f t="shared" si="66"/>
        <v>3.6728810213325498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18.5</v>
      </c>
      <c r="CT94" s="13">
        <f>IF('Données projet'!$A$140&gt;35,CT93+CS94-DB93,IF(A94&lt;'Données projet'!$A$140,$CQ$205^A94,IF(A94='Données projet'!$A$140,'Données projet'!$B$140,CT93+CS94-DB93)))</f>
        <v>556.49999999999989</v>
      </c>
      <c r="CU94" s="18">
        <f>CT94*VLOOKUP('Données projet'!$B$13,Paramètres!$A$1:$I$89,3,0)*VLOOKUP('Données projet'!$B$13,Paramètres!$A$1:$I$89,5,0)</f>
        <v>260.44199999999995</v>
      </c>
      <c r="CV94" s="14">
        <f t="shared" si="95"/>
        <v>62.816585178645781</v>
      </c>
      <c r="CW94" s="22">
        <f t="shared" si="67"/>
        <v>563.00870251947458</v>
      </c>
      <c r="CX94" s="62">
        <f t="shared" si="68"/>
        <v>856.34203585280784</v>
      </c>
      <c r="CY94" s="62">
        <f ca="1">AVERAGE(OFFSET($CX$3,0,0,'Données projet'!$E$13+1,1))-AVERAGE(OFFSET($H$3,0,0,'Données projet'!$E$13+1,1))</f>
        <v>310.95287409903602</v>
      </c>
      <c r="CZ94" s="62">
        <f t="shared" si="96"/>
        <v>224.10083380795163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1.738044375088066E-13</v>
      </c>
      <c r="P95" s="14">
        <f t="shared" si="87"/>
        <v>2.4483293633950478E-12</v>
      </c>
      <c r="Q95" s="22">
        <f t="shared" si="54"/>
        <v>4.566883036574213E-12</v>
      </c>
      <c r="R95" s="62">
        <f t="shared" si="55"/>
        <v>293.33333333333786</v>
      </c>
      <c r="S95" s="62">
        <f ca="1">AVERAGE(OFFSET($R$3,0,0,'Données projet'!$E$9+1,1))-AVERAGE(OFFSET($H$3,0,0,'Données projet'!$E$9+1,1))</f>
        <v>253.73326067725128</v>
      </c>
      <c r="T95" s="62">
        <f t="shared" si="88"/>
        <v>317.76427047458026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1.3380358243391011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1.6212116773802006E-8</v>
      </c>
      <c r="AC95" s="24">
        <f t="shared" si="57"/>
        <v>1.3380358405512178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314.39999999999992</v>
      </c>
      <c r="AJ95" s="14">
        <f>AI95*VLOOKUP('Données projet'!$B$10,Paramètres!$A$1:$I$89,3,0)*VLOOKUP('Données projet'!$B$10,Paramètres!$A$1:$I$89,5,0)</f>
        <v>328.61087999999995</v>
      </c>
      <c r="AK95" s="14">
        <f t="shared" si="89"/>
        <v>77.142236486697911</v>
      </c>
      <c r="AL95" s="22">
        <f t="shared" si="58"/>
        <v>706.68667788099867</v>
      </c>
      <c r="AM95" s="62">
        <f t="shared" si="59"/>
        <v>1000.020011214332</v>
      </c>
      <c r="AN95" s="62">
        <f ca="1">AVERAGE(OFFSET($AM$3,0,0,'Données projet'!$E$10+1,1))-AVERAGE(OFFSET($H$3,0,0,'Données projet'!$E$10+1,1))</f>
        <v>406.17572122067492</v>
      </c>
      <c r="AO95" s="62">
        <f t="shared" si="90"/>
        <v>244.4332618279085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6.2</v>
      </c>
      <c r="BD95" s="13">
        <f>IF('Données projet'!$A$88&gt;35,BD94+BC95-BL94,IF(A95&lt;'Données projet'!$A$88,$BA$205^A95,IF(A95='Données projet'!$A$88,'Données projet'!$B$88,BD94+BC95-BL94)))</f>
        <v>314.39999999999992</v>
      </c>
      <c r="BE95" s="14">
        <f>BD95*VLOOKUP('Données projet'!$B$11,Paramètres!$A$1:$I$89,3,0)*VLOOKUP('Données projet'!$B$11,Paramètres!$A$1:$I$89,5,0)</f>
        <v>284.46911999999992</v>
      </c>
      <c r="BF95" s="14">
        <f t="shared" si="91"/>
        <v>67.91059023737904</v>
      </c>
      <c r="BG95" s="22">
        <f t="shared" si="61"/>
        <v>613.72799533010163</v>
      </c>
      <c r="BH95" s="62">
        <f t="shared" si="62"/>
        <v>907.06132866343501</v>
      </c>
      <c r="BI95" s="62">
        <f ca="1">AVERAGE(OFFSET($BH$3,0,0,'Données projet'!$E$11+1,1))-AVERAGE(OFFSET($H$3,0,0,'Données projet'!$E$11+1,1))</f>
        <v>344.49457749226184</v>
      </c>
      <c r="BJ95" s="62">
        <f t="shared" si="92"/>
        <v>207.92972431357452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287.69656598881124</v>
      </c>
      <c r="CE95" s="62">
        <f t="shared" si="94"/>
        <v>221.9773436301067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2.3516866224941055</v>
      </c>
      <c r="CL95" s="23">
        <f>EXP(-LN(2)/25)*CL94+(1-EXP(-LN(2)/25))/(LN(2)/25)*Calculateur!CG95*Calculateur!CI95*VLOOKUP('Données projet'!$B$12,Paramètres!$A$1:$I$89,3,0)*0.475*44/12</f>
        <v>1.2393149902443188</v>
      </c>
      <c r="CM95" s="23">
        <f>EXP(-LN(2)/2)*CM94+(1-EXP(-LN(2)/2))/(LN(2)/2)*CG95*CJ95*VLOOKUP('Données projet'!$B$12,Paramètres!$A$1:$I$89,3,0)*0.475*44/12</f>
        <v>3.1692143839350679E-9</v>
      </c>
      <c r="CN95" s="24">
        <f t="shared" si="66"/>
        <v>3.5910016159076386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18.5</v>
      </c>
      <c r="CT95" s="13">
        <f>IF('Données projet'!$A$140&gt;35,CT94+CS95-DB94,IF(A95&lt;'Données projet'!$A$140,$CQ$205^A95,IF(A95='Données projet'!$A$140,'Données projet'!$B$140,CT94+CS95-DB94)))</f>
        <v>574.99999999999989</v>
      </c>
      <c r="CU95" s="18">
        <f>CT95*VLOOKUP('Données projet'!$B$13,Paramètres!$A$1:$I$89,3,0)*VLOOKUP('Données projet'!$B$13,Paramètres!$A$1:$I$89,5,0)</f>
        <v>269.09999999999991</v>
      </c>
      <c r="CV95" s="14">
        <f t="shared" si="95"/>
        <v>64.658229472790993</v>
      </c>
      <c r="CW95" s="22">
        <f t="shared" si="67"/>
        <v>581.29558299844405</v>
      </c>
      <c r="CX95" s="62">
        <f t="shared" si="68"/>
        <v>874.62891633177742</v>
      </c>
      <c r="CY95" s="62">
        <f ca="1">AVERAGE(OFFSET($CX$3,0,0,'Données projet'!$E$13+1,1))-AVERAGE(OFFSET($H$3,0,0,'Données projet'!$E$13+1,1))</f>
        <v>310.95287409903602</v>
      </c>
      <c r="CZ95" s="62">
        <f t="shared" si="96"/>
        <v>224.10083380795163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1.738044375088066E-13</v>
      </c>
      <c r="P96" s="14">
        <f t="shared" si="87"/>
        <v>2.4483293633950478E-12</v>
      </c>
      <c r="Q96" s="22">
        <f t="shared" si="54"/>
        <v>4.566883036574213E-12</v>
      </c>
      <c r="R96" s="62">
        <f t="shared" si="55"/>
        <v>293.33333333333786</v>
      </c>
      <c r="S96" s="62">
        <f ca="1">AVERAGE(OFFSET($R$3,0,0,'Données projet'!$E$9+1,1))-AVERAGE(OFFSET($H$3,0,0,'Données projet'!$E$9+1,1))</f>
        <v>253.73326067725128</v>
      </c>
      <c r="T96" s="62">
        <f t="shared" si="88"/>
        <v>317.76427047458026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1.3117977579450788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1.1463697708143572E-8</v>
      </c>
      <c r="AC96" s="24">
        <f t="shared" si="57"/>
        <v>1.3117977694087766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320.59999999999991</v>
      </c>
      <c r="AJ96" s="14">
        <f>AI96*VLOOKUP('Données projet'!$B$10,Paramètres!$A$1:$I$89,3,0)*VLOOKUP('Données projet'!$B$10,Paramètres!$A$1:$I$89,5,0)</f>
        <v>335.09111999999993</v>
      </c>
      <c r="AK96" s="14">
        <f t="shared" si="89"/>
        <v>78.484883898265551</v>
      </c>
      <c r="AL96" s="22">
        <f t="shared" si="58"/>
        <v>720.3115401228124</v>
      </c>
      <c r="AM96" s="62">
        <f t="shared" si="59"/>
        <v>1013.6448734561457</v>
      </c>
      <c r="AN96" s="62">
        <f ca="1">AVERAGE(OFFSET($AM$3,0,0,'Données projet'!$E$10+1,1))-AVERAGE(OFFSET($H$3,0,0,'Données projet'!$E$10+1,1))</f>
        <v>406.17572122067492</v>
      </c>
      <c r="AO96" s="62">
        <f t="shared" si="90"/>
        <v>244.4332618279085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6.2</v>
      </c>
      <c r="BD96" s="13">
        <f>IF('Données projet'!$A$88&gt;35,BD95+BC96-BL95,IF(A96&lt;'Données projet'!$A$88,$BA$205^A96,IF(A96='Données projet'!$A$88,'Données projet'!$B$88,BD95+BC96-BL95)))</f>
        <v>320.59999999999991</v>
      </c>
      <c r="BE96" s="14">
        <f>BD96*VLOOKUP('Données projet'!$B$11,Paramètres!$A$1:$I$89,3,0)*VLOOKUP('Données projet'!$B$11,Paramètres!$A$1:$I$89,5,0)</f>
        <v>290.07887999999991</v>
      </c>
      <c r="BF96" s="14">
        <f t="shared" si="91"/>
        <v>69.092562427360406</v>
      </c>
      <c r="BG96" s="22">
        <f t="shared" si="61"/>
        <v>625.55692889431919</v>
      </c>
      <c r="BH96" s="62">
        <f t="shared" si="62"/>
        <v>918.89026222765256</v>
      </c>
      <c r="BI96" s="62">
        <f ca="1">AVERAGE(OFFSET($BH$3,0,0,'Données projet'!$E$11+1,1))-AVERAGE(OFFSET($H$3,0,0,'Données projet'!$E$11+1,1))</f>
        <v>344.49457749226184</v>
      </c>
      <c r="BJ96" s="62">
        <f t="shared" si="92"/>
        <v>207.92972431357452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287.69656598881124</v>
      </c>
      <c r="CE96" s="62">
        <f t="shared" si="94"/>
        <v>221.9773436301067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2.3055714822142019</v>
      </c>
      <c r="CL96" s="23">
        <f>EXP(-LN(2)/25)*CL95+(1-EXP(-LN(2)/25))/(LN(2)/25)*Calculateur!CG96*Calculateur!CI96*VLOOKUP('Données projet'!$B$12,Paramètres!$A$1:$I$89,3,0)*0.475*44/12</f>
        <v>1.2054258566633451</v>
      </c>
      <c r="CM96" s="23">
        <f>EXP(-LN(2)/2)*CM95+(1-EXP(-LN(2)/2))/(LN(2)/2)*CG96*CJ96*VLOOKUP('Données projet'!$B$12,Paramètres!$A$1:$I$89,3,0)*0.475*44/12</f>
        <v>2.240972981914433E-9</v>
      </c>
      <c r="CN96" s="24">
        <f t="shared" si="66"/>
        <v>3.5109973411185202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18.5</v>
      </c>
      <c r="CT96" s="13">
        <f>IF('Données projet'!$A$140&gt;35,CT95+CS96-DB95,IF(A96&lt;'Données projet'!$A$140,$CQ$205^A96,IF(A96='Données projet'!$A$140,'Données projet'!$B$140,CT95+CS96-DB95)))</f>
        <v>593.49999999999989</v>
      </c>
      <c r="CU96" s="18">
        <f>CT96*VLOOKUP('Données projet'!$B$13,Paramètres!$A$1:$I$89,3,0)*VLOOKUP('Données projet'!$B$13,Paramètres!$A$1:$I$89,5,0)</f>
        <v>277.75799999999992</v>
      </c>
      <c r="CV96" s="14">
        <f t="shared" si="95"/>
        <v>66.492988372715388</v>
      </c>
      <c r="CW96" s="22">
        <f t="shared" si="67"/>
        <v>599.57047141581245</v>
      </c>
      <c r="CX96" s="62">
        <f t="shared" si="68"/>
        <v>892.90380474914582</v>
      </c>
      <c r="CY96" s="62">
        <f ca="1">AVERAGE(OFFSET($CX$3,0,0,'Données projet'!$E$13+1,1))-AVERAGE(OFFSET($H$3,0,0,'Données projet'!$E$13+1,1))</f>
        <v>310.95287409903602</v>
      </c>
      <c r="CZ96" s="62">
        <f t="shared" si="96"/>
        <v>224.10083380795163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1.738044375088066E-13</v>
      </c>
      <c r="P97" s="14">
        <f t="shared" si="87"/>
        <v>2.4483293633950478E-12</v>
      </c>
      <c r="Q97" s="22">
        <f t="shared" si="54"/>
        <v>4.566883036574213E-12</v>
      </c>
      <c r="R97" s="62">
        <f t="shared" si="55"/>
        <v>293.33333333333786</v>
      </c>
      <c r="S97" s="62">
        <f ca="1">AVERAGE(OFFSET($R$3,0,0,'Données projet'!$E$9+1,1))-AVERAGE(OFFSET($H$3,0,0,'Données projet'!$E$9+1,1))</f>
        <v>253.73326067725128</v>
      </c>
      <c r="T97" s="62">
        <f t="shared" si="88"/>
        <v>317.76427047458026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1.2860742040294031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8.1060583869010031E-9</v>
      </c>
      <c r="AC97" s="24">
        <f t="shared" si="57"/>
        <v>1.2860742121354616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326.7999999999999</v>
      </c>
      <c r="AJ97" s="14">
        <f>AI97*VLOOKUP('Données projet'!$B$10,Paramètres!$A$1:$I$89,3,0)*VLOOKUP('Données projet'!$B$10,Paramètres!$A$1:$I$89,5,0)</f>
        <v>341.57135999999991</v>
      </c>
      <c r="AK97" s="14">
        <f t="shared" si="89"/>
        <v>79.824512171345944</v>
      </c>
      <c r="AL97" s="22">
        <f t="shared" si="58"/>
        <v>733.9311440317606</v>
      </c>
      <c r="AM97" s="62">
        <f t="shared" si="59"/>
        <v>1027.2644773650939</v>
      </c>
      <c r="AN97" s="62">
        <f ca="1">AVERAGE(OFFSET($AM$3,0,0,'Données projet'!$E$10+1,1))-AVERAGE(OFFSET($H$3,0,0,'Données projet'!$E$10+1,1))</f>
        <v>406.17572122067492</v>
      </c>
      <c r="AO97" s="62">
        <f t="shared" si="90"/>
        <v>244.4332618279085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6.2</v>
      </c>
      <c r="BD97" s="13">
        <f>IF('Données projet'!$A$88&gt;35,BD96+BC97-BL96,IF(A97&lt;'Données projet'!$A$88,$BA$205^A97,IF(A97='Données projet'!$A$88,'Données projet'!$B$88,BD96+BC97-BL96)))</f>
        <v>326.7999999999999</v>
      </c>
      <c r="BE97" s="14">
        <f>BD97*VLOOKUP('Données projet'!$B$11,Paramètres!$A$1:$I$89,3,0)*VLOOKUP('Données projet'!$B$11,Paramètres!$A$1:$I$89,5,0)</f>
        <v>295.68863999999991</v>
      </c>
      <c r="BF97" s="14">
        <f t="shared" si="91"/>
        <v>70.271876780519747</v>
      </c>
      <c r="BG97" s="22">
        <f t="shared" si="61"/>
        <v>637.3812333927383</v>
      </c>
      <c r="BH97" s="62">
        <f t="shared" si="62"/>
        <v>930.71456672607155</v>
      </c>
      <c r="BI97" s="62">
        <f ca="1">AVERAGE(OFFSET($BH$3,0,0,'Données projet'!$E$11+1,1))-AVERAGE(OFFSET($H$3,0,0,'Données projet'!$E$11+1,1))</f>
        <v>344.49457749226184</v>
      </c>
      <c r="BJ97" s="62">
        <f t="shared" si="92"/>
        <v>207.92972431357452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287.69656598881124</v>
      </c>
      <c r="CE97" s="62">
        <f t="shared" si="94"/>
        <v>221.9773436301067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2.2603606317077292</v>
      </c>
      <c r="CL97" s="23">
        <f>EXP(-LN(2)/25)*CL96+(1-EXP(-LN(2)/25))/(LN(2)/25)*Calculateur!CG97*Calculateur!CI97*VLOOKUP('Données projet'!$B$12,Paramètres!$A$1:$I$89,3,0)*0.475*44/12</f>
        <v>1.1724634232222952</v>
      </c>
      <c r="CM97" s="23">
        <f>EXP(-LN(2)/2)*CM96+(1-EXP(-LN(2)/2))/(LN(2)/2)*CG97*CJ97*VLOOKUP('Données projet'!$B$12,Paramètres!$A$1:$I$89,3,0)*0.475*44/12</f>
        <v>1.5846071919675339E-9</v>
      </c>
      <c r="CN97" s="24">
        <f t="shared" si="66"/>
        <v>3.4328240565146313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18.5</v>
      </c>
      <c r="CT97" s="13">
        <f>IF('Données projet'!$A$140&gt;35,CT96+CS97-DB96,IF(A97&lt;'Données projet'!$A$140,$CQ$205^A97,IF(A97='Données projet'!$A$140,'Données projet'!$B$140,CT96+CS97-DB96)))</f>
        <v>611.99999999999989</v>
      </c>
      <c r="CU97" s="18">
        <f>CT97*VLOOKUP('Données projet'!$B$13,Paramètres!$A$1:$I$89,3,0)*VLOOKUP('Données projet'!$B$13,Paramètres!$A$1:$I$89,5,0)</f>
        <v>286.41599999999994</v>
      </c>
      <c r="CV97" s="14">
        <f t="shared" si="95"/>
        <v>68.321101129951188</v>
      </c>
      <c r="CW97" s="22">
        <f t="shared" si="67"/>
        <v>617.83378446799827</v>
      </c>
      <c r="CX97" s="62">
        <f t="shared" si="68"/>
        <v>911.16711780133164</v>
      </c>
      <c r="CY97" s="62">
        <f ca="1">AVERAGE(OFFSET($CX$3,0,0,'Données projet'!$E$13+1,1))-AVERAGE(OFFSET($H$3,0,0,'Données projet'!$E$13+1,1))</f>
        <v>310.95287409903602</v>
      </c>
      <c r="CZ97" s="62">
        <f t="shared" si="96"/>
        <v>224.10083380795163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1.738044375088066E-13</v>
      </c>
      <c r="P98" s="14">
        <f t="shared" si="87"/>
        <v>2.4483293633950478E-12</v>
      </c>
      <c r="Q98" s="22">
        <f t="shared" si="54"/>
        <v>4.566883036574213E-12</v>
      </c>
      <c r="R98" s="62">
        <f t="shared" si="55"/>
        <v>293.33333333333786</v>
      </c>
      <c r="S98" s="62">
        <f ca="1">AVERAGE(OFFSET($R$3,0,0,'Données projet'!$E$9+1,1))-AVERAGE(OFFSET($H$3,0,0,'Données projet'!$E$9+1,1))</f>
        <v>253.73326067725128</v>
      </c>
      <c r="T98" s="62">
        <f t="shared" si="88"/>
        <v>317.76427047458026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1.2608550733161952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5.7318488540717861E-9</v>
      </c>
      <c r="AC98" s="24">
        <f t="shared" si="57"/>
        <v>1.2608550790480439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333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332.99999999999989</v>
      </c>
      <c r="AJ98" s="14">
        <f>AI98*VLOOKUP('Données projet'!$B$10,Paramètres!$A$1:$I$89,3,0)*VLOOKUP('Données projet'!$B$10,Paramètres!$A$1:$I$89,5,0)</f>
        <v>348.05159999999989</v>
      </c>
      <c r="AK98" s="14">
        <f t="shared" si="89"/>
        <v>81.161185188985755</v>
      </c>
      <c r="AL98" s="22">
        <f t="shared" si="58"/>
        <v>747.54560087081666</v>
      </c>
      <c r="AM98" s="62">
        <f t="shared" si="59"/>
        <v>1040.87893420415</v>
      </c>
      <c r="AN98" s="62">
        <f ca="1">AVERAGE(OFFSET($AM$3,0,0,'Données projet'!$E$10+1,1))-AVERAGE(OFFSET($H$3,0,0,'Données projet'!$E$10+1,1))</f>
        <v>406.17572122067492</v>
      </c>
      <c r="AO98" s="62">
        <f t="shared" si="90"/>
        <v>244.4332618279085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333</v>
      </c>
      <c r="BB98" s="13">
        <f>VLOOKUP(A98,'Données projet'!$A$87:$I$107,9,0)</f>
        <v>6.2</v>
      </c>
      <c r="BC98" s="13">
        <f t="array" ref="BC98">INDEX(BB:BB,MIN(IF(ISNUMBER(BB98:BB294),ROW(BB98:BB294),"")))</f>
        <v>6.2</v>
      </c>
      <c r="BD98" s="13">
        <f>IF('Données projet'!$A$88&gt;35,BD97+BC98-BL97,IF(A98&lt;'Données projet'!$A$88,$BA$205^A98,IF(A98='Données projet'!$A$88,'Données projet'!$B$88,BD97+BC98-BL97)))</f>
        <v>332.99999999999989</v>
      </c>
      <c r="BE98" s="14">
        <f>BD98*VLOOKUP('Données projet'!$B$11,Paramètres!$A$1:$I$89,3,0)*VLOOKUP('Données projet'!$B$11,Paramètres!$A$1:$I$89,5,0)</f>
        <v>301.2983999999999</v>
      </c>
      <c r="BF98" s="14">
        <f t="shared" si="91"/>
        <v>71.448589534990518</v>
      </c>
      <c r="BG98" s="22">
        <f t="shared" si="61"/>
        <v>649.20100677344158</v>
      </c>
      <c r="BH98" s="62">
        <f t="shared" si="62"/>
        <v>942.53434010677483</v>
      </c>
      <c r="BI98" s="62">
        <f ca="1">AVERAGE(OFFSET($BH$3,0,0,'Données projet'!$E$11+1,1))-AVERAGE(OFFSET($H$3,0,0,'Données projet'!$E$11+1,1))</f>
        <v>344.49457749226184</v>
      </c>
      <c r="BJ98" s="62">
        <f t="shared" si="92"/>
        <v>207.92972431357452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287.69656598881124</v>
      </c>
      <c r="CE98" s="62">
        <f t="shared" si="94"/>
        <v>221.9773436301067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2.216036338403792</v>
      </c>
      <c r="CL98" s="23">
        <f>EXP(-LN(2)/25)*CL97+(1-EXP(-LN(2)/25))/(LN(2)/25)*Calculateur!CG98*Calculateur!CI98*VLOOKUP('Données projet'!$B$12,Paramètres!$A$1:$I$89,3,0)*0.475*44/12</f>
        <v>1.1404023492571098</v>
      </c>
      <c r="CM98" s="23">
        <f>EXP(-LN(2)/2)*CM97+(1-EXP(-LN(2)/2))/(LN(2)/2)*CG98*CJ98*VLOOKUP('Données projet'!$B$12,Paramètres!$A$1:$I$89,3,0)*0.475*44/12</f>
        <v>1.1204864909572165E-9</v>
      </c>
      <c r="CN98" s="24">
        <f t="shared" si="66"/>
        <v>3.3564386887813882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18.5</v>
      </c>
      <c r="CT98" s="13">
        <f>IF('Données projet'!$A$140&gt;35,CT97+CS98-DB97,IF(A98&lt;'Données projet'!$A$140,$CQ$205^A98,IF(A98='Données projet'!$A$140,'Données projet'!$B$140,CT97+CS98-DB97)))</f>
        <v>630.49999999999989</v>
      </c>
      <c r="CU98" s="18">
        <f>CT98*VLOOKUP('Données projet'!$B$13,Paramètres!$A$1:$I$89,3,0)*VLOOKUP('Données projet'!$B$13,Paramètres!$A$1:$I$89,5,0)</f>
        <v>295.07399999999996</v>
      </c>
      <c r="CV98" s="14">
        <f t="shared" si="95"/>
        <v>70.142791709481173</v>
      </c>
      <c r="CW98" s="22">
        <f t="shared" si="67"/>
        <v>636.08591222734628</v>
      </c>
      <c r="CX98" s="62">
        <f t="shared" si="68"/>
        <v>929.41924556067966</v>
      </c>
      <c r="CY98" s="62">
        <f ca="1">AVERAGE(OFFSET($CX$3,0,0,'Données projet'!$E$13+1,1))-AVERAGE(OFFSET($H$3,0,0,'Données projet'!$E$13+1,1))</f>
        <v>310.95287409903602</v>
      </c>
      <c r="CZ98" s="62">
        <f t="shared" si="96"/>
        <v>224.10083380795163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1.738044375088066E-13</v>
      </c>
      <c r="P99" s="14">
        <f t="shared" si="87"/>
        <v>2.4483293633950478E-12</v>
      </c>
      <c r="Q99" s="22">
        <f t="shared" ref="Q99:Q130" si="107">(O99+P99)*0.475*44/12</f>
        <v>4.566883036574213E-12</v>
      </c>
      <c r="R99" s="62">
        <f t="shared" si="55"/>
        <v>293.33333333333786</v>
      </c>
      <c r="S99" s="62">
        <f ca="1">AVERAGE(OFFSET($R$3,0,0,'Données projet'!$E$9+1,1))-AVERAGE(OFFSET($H$3,0,0,'Données projet'!$E$9+1,1))</f>
        <v>253.73326067725128</v>
      </c>
      <c r="T99" s="62">
        <f t="shared" si="88"/>
        <v>317.76427047458026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1.2361304743741224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4.0530291934505015E-9</v>
      </c>
      <c r="AC99" s="24">
        <f t="shared" si="57"/>
        <v>1.2361304784271516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5.6</v>
      </c>
      <c r="AI99" s="14">
        <f>IF('Données projet'!$A$62&gt;35,AI98+AH99-AQ98,IF(A99&lt;'Données projet'!$A$62,$AF$205^A99,IF(A99='Données projet'!$A$62,'Données projet'!$B$62,AI98+AH99-AQ98)))</f>
        <v>310.59999999999991</v>
      </c>
      <c r="AJ99" s="14">
        <f>AI99*VLOOKUP('Données projet'!$B$10,Paramètres!$A$1:$I$89,3,0)*VLOOKUP('Données projet'!$B$10,Paramètres!$A$1:$I$89,5,0)</f>
        <v>324.63911999999993</v>
      </c>
      <c r="AK99" s="14">
        <f t="shared" si="89"/>
        <v>76.317802732181491</v>
      </c>
      <c r="AL99" s="22">
        <f t="shared" si="58"/>
        <v>698.33330709188249</v>
      </c>
      <c r="AM99" s="62">
        <f t="shared" si="59"/>
        <v>991.66664042521575</v>
      </c>
      <c r="AN99" s="62">
        <f ca="1">AVERAGE(OFFSET($AM$3,0,0,'Données projet'!$E$10+1,1))-AVERAGE(OFFSET($H$3,0,0,'Données projet'!$E$10+1,1))</f>
        <v>406.17572122067492</v>
      </c>
      <c r="AO99" s="62">
        <f t="shared" si="90"/>
        <v>244.4332618279085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5.6</v>
      </c>
      <c r="BD99" s="13">
        <f>IF('Données projet'!$A$88&gt;35,BD98+BC99-BL98,IF(A99&lt;'Données projet'!$A$88,$BA$205^A99,IF(A99='Données projet'!$A$88,'Données projet'!$B$88,BD98+BC99-BL98)))</f>
        <v>310.59999999999991</v>
      </c>
      <c r="BE99" s="14">
        <f>BD99*VLOOKUP('Données projet'!$B$11,Paramètres!$A$1:$I$89,3,0)*VLOOKUP('Données projet'!$B$11,Paramètres!$A$1:$I$89,5,0)</f>
        <v>281.03087999999991</v>
      </c>
      <c r="BF99" s="14">
        <f t="shared" si="91"/>
        <v>67.184816842275467</v>
      </c>
      <c r="BG99" s="22">
        <f t="shared" si="61"/>
        <v>606.4756720002963</v>
      </c>
      <c r="BH99" s="62">
        <f t="shared" si="62"/>
        <v>899.80900533362956</v>
      </c>
      <c r="BI99" s="62">
        <f ca="1">AVERAGE(OFFSET($BH$3,0,0,'Données projet'!$E$11+1,1))-AVERAGE(OFFSET($H$3,0,0,'Données projet'!$E$11+1,1))</f>
        <v>344.49457749226184</v>
      </c>
      <c r="BJ99" s="62">
        <f t="shared" si="92"/>
        <v>207.92972431357452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287.69656598881124</v>
      </c>
      <c r="CE99" s="62">
        <f t="shared" si="94"/>
        <v>221.9773436301067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2.1725812174563957</v>
      </c>
      <c r="CL99" s="23">
        <f>EXP(-LN(2)/25)*CL98+(1-EXP(-LN(2)/25))/(LN(2)/25)*Calculateur!CG99*Calculateur!CI99*VLOOKUP('Données projet'!$B$12,Paramètres!$A$1:$I$89,3,0)*0.475*44/12</f>
        <v>1.109217987045521</v>
      </c>
      <c r="CM99" s="23">
        <f>EXP(-LN(2)/2)*CM98+(1-EXP(-LN(2)/2))/(LN(2)/2)*CG99*CJ99*VLOOKUP('Données projet'!$B$12,Paramètres!$A$1:$I$89,3,0)*0.475*44/12</f>
        <v>7.9230359598376697E-10</v>
      </c>
      <c r="CN99" s="24">
        <f t="shared" si="66"/>
        <v>3.2817992052942202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18.5</v>
      </c>
      <c r="CT99" s="13">
        <f>IF('Données projet'!$A$140&gt;35,CT98+CS99-DB98,IF(A99&lt;'Données projet'!$A$140,$CQ$205^A99,IF(A99='Données projet'!$A$140,'Données projet'!$B$140,CT98+CS99-DB98)))</f>
        <v>648.99999999999989</v>
      </c>
      <c r="CU99" s="18">
        <f>CT99*VLOOKUP('Données projet'!$B$13,Paramètres!$A$1:$I$89,3,0)*VLOOKUP('Données projet'!$B$13,Paramètres!$A$1:$I$89,5,0)</f>
        <v>303.73199999999997</v>
      </c>
      <c r="CV99" s="14">
        <f t="shared" si="95"/>
        <v>71.958270185981476</v>
      </c>
      <c r="CW99" s="22">
        <f t="shared" si="67"/>
        <v>654.32722057391766</v>
      </c>
      <c r="CX99" s="62">
        <f t="shared" si="68"/>
        <v>947.66055390725091</v>
      </c>
      <c r="CY99" s="62">
        <f ca="1">AVERAGE(OFFSET($CX$3,0,0,'Données projet'!$E$13+1,1))-AVERAGE(OFFSET($H$3,0,0,'Données projet'!$E$13+1,1))</f>
        <v>310.95287409903602</v>
      </c>
      <c r="CZ99" s="62">
        <f t="shared" si="96"/>
        <v>224.10083380795163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1.738044375088066E-13</v>
      </c>
      <c r="P100" s="14">
        <f t="shared" si="87"/>
        <v>2.4483293633950478E-12</v>
      </c>
      <c r="Q100" s="22">
        <f t="shared" si="107"/>
        <v>4.566883036574213E-12</v>
      </c>
      <c r="R100" s="62">
        <f t="shared" si="55"/>
        <v>293.33333333333786</v>
      </c>
      <c r="S100" s="62">
        <f ca="1">AVERAGE(OFFSET($R$3,0,0,'Données projet'!$E$9+1,1))-AVERAGE(OFFSET($H$3,0,0,'Données projet'!$E$9+1,1))</f>
        <v>253.73326067725128</v>
      </c>
      <c r="T100" s="62">
        <f t="shared" si="88"/>
        <v>317.76427047458026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1.2118907097367873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2.865924427035893E-9</v>
      </c>
      <c r="AC100" s="24">
        <f t="shared" si="57"/>
        <v>1.2118907126027116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5.6</v>
      </c>
      <c r="AI100" s="14">
        <f>IF('Données projet'!$A$62&gt;35,AI99+AH100-AQ99,IF(A100&lt;'Données projet'!$A$62,$AF$205^A100,IF(A100='Données projet'!$A$62,'Données projet'!$B$62,AI99+AH100-AQ99)))</f>
        <v>316.19999999999993</v>
      </c>
      <c r="AJ100" s="14">
        <f>AI100*VLOOKUP('Données projet'!$B$10,Paramètres!$A$1:$I$89,3,0)*VLOOKUP('Données projet'!$B$10,Paramètres!$A$1:$I$89,5,0)</f>
        <v>330.49223999999992</v>
      </c>
      <c r="AK100" s="14">
        <f t="shared" si="89"/>
        <v>77.532352227814187</v>
      </c>
      <c r="AL100" s="22">
        <f t="shared" si="58"/>
        <v>710.6428314634428</v>
      </c>
      <c r="AM100" s="62">
        <f t="shared" si="59"/>
        <v>1003.9761647967762</v>
      </c>
      <c r="AN100" s="62">
        <f ca="1">AVERAGE(OFFSET($AM$3,0,0,'Données projet'!$E$10+1,1))-AVERAGE(OFFSET($H$3,0,0,'Données projet'!$E$10+1,1))</f>
        <v>406.17572122067492</v>
      </c>
      <c r="AO100" s="62">
        <f t="shared" si="90"/>
        <v>244.4332618279085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5.6</v>
      </c>
      <c r="BD100" s="13">
        <f>IF('Données projet'!$A$88&gt;35,BD99+BC100-BL99,IF(A100&lt;'Données projet'!$A$88,$BA$205^A100,IF(A100='Données projet'!$A$88,'Données projet'!$B$88,BD99+BC100-BL99)))</f>
        <v>316.19999999999993</v>
      </c>
      <c r="BE100" s="14">
        <f>BD100*VLOOKUP('Données projet'!$B$11,Paramètres!$A$1:$I$89,3,0)*VLOOKUP('Données projet'!$B$11,Paramètres!$A$1:$I$89,5,0)</f>
        <v>286.09775999999994</v>
      </c>
      <c r="BF100" s="14">
        <f t="shared" si="91"/>
        <v>68.254020651723678</v>
      </c>
      <c r="BG100" s="22">
        <f t="shared" si="61"/>
        <v>617.16268463508527</v>
      </c>
      <c r="BH100" s="62">
        <f t="shared" si="62"/>
        <v>910.49601796841853</v>
      </c>
      <c r="BI100" s="62">
        <f ca="1">AVERAGE(OFFSET($BH$3,0,0,'Données projet'!$E$11+1,1))-AVERAGE(OFFSET($H$3,0,0,'Données projet'!$E$11+1,1))</f>
        <v>344.49457749226184</v>
      </c>
      <c r="BJ100" s="62">
        <f t="shared" si="92"/>
        <v>207.92972431357452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287.69656598881124</v>
      </c>
      <c r="CE100" s="62">
        <f t="shared" si="94"/>
        <v>221.9773436301067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2.1299782249257713</v>
      </c>
      <c r="CL100" s="23">
        <f>EXP(-LN(2)/25)*CL99+(1-EXP(-LN(2)/25))/(LN(2)/25)*Calculateur!CG100*Calculateur!CI100*VLOOKUP('Données projet'!$B$12,Paramètres!$A$1:$I$89,3,0)*0.475*44/12</f>
        <v>1.0788863628585224</v>
      </c>
      <c r="CM100" s="23">
        <f>EXP(-LN(2)/2)*CM99+(1-EXP(-LN(2)/2))/(LN(2)/2)*CG100*CJ100*VLOOKUP('Données projet'!$B$12,Paramètres!$A$1:$I$89,3,0)*0.475*44/12</f>
        <v>5.6024324547860825E-10</v>
      </c>
      <c r="CN100" s="24">
        <f t="shared" si="66"/>
        <v>3.2088645883445368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18.5</v>
      </c>
      <c r="CT100" s="13">
        <f>IF('Données projet'!$A$140&gt;35,CT99+CS100-DB99,IF(A100&lt;'Données projet'!$A$140,$CQ$205^A100,IF(A100='Données projet'!$A$140,'Données projet'!$B$140,CT99+CS100-DB99)))</f>
        <v>667.49999999999989</v>
      </c>
      <c r="CU100" s="18">
        <f>CT100*VLOOKUP('Données projet'!$B$13,Paramètres!$A$1:$I$89,3,0)*VLOOKUP('Données projet'!$B$13,Paramètres!$A$1:$I$89,5,0)</f>
        <v>312.38999999999993</v>
      </c>
      <c r="CV100" s="14">
        <f t="shared" si="95"/>
        <v>73.767733976388286</v>
      </c>
      <c r="CW100" s="22">
        <f t="shared" si="67"/>
        <v>672.55805334220952</v>
      </c>
      <c r="CX100" s="62">
        <f t="shared" si="68"/>
        <v>965.89138667554289</v>
      </c>
      <c r="CY100" s="62">
        <f ca="1">AVERAGE(OFFSET($CX$3,0,0,'Données projet'!$E$13+1,1))-AVERAGE(OFFSET($H$3,0,0,'Données projet'!$E$13+1,1))</f>
        <v>310.95287409903602</v>
      </c>
      <c r="CZ100" s="62">
        <f t="shared" si="96"/>
        <v>224.10083380795163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1.738044375088066E-13</v>
      </c>
      <c r="P101" s="14">
        <f t="shared" si="87"/>
        <v>2.4483293633950478E-12</v>
      </c>
      <c r="Q101" s="22">
        <f t="shared" si="107"/>
        <v>4.566883036574213E-12</v>
      </c>
      <c r="R101" s="62">
        <f t="shared" si="55"/>
        <v>293.33333333333786</v>
      </c>
      <c r="S101" s="62">
        <f ca="1">AVERAGE(OFFSET($R$3,0,0,'Données projet'!$E$9+1,1))-AVERAGE(OFFSET($H$3,0,0,'Données projet'!$E$9+1,1))</f>
        <v>253.73326067725128</v>
      </c>
      <c r="T101" s="62">
        <f t="shared" si="88"/>
        <v>317.76427047458026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1.1881262720991939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2.0265145967252508E-9</v>
      </c>
      <c r="AC101" s="24">
        <f t="shared" si="57"/>
        <v>1.1881262741257084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5.6</v>
      </c>
      <c r="AI101" s="14">
        <f>IF('Données projet'!$A$62&gt;35,AI100+AH101-AQ100,IF(A101&lt;'Données projet'!$A$62,$AF$205^A101,IF(A101='Données projet'!$A$62,'Données projet'!$B$62,AI100+AH101-AQ100)))</f>
        <v>321.79999999999995</v>
      </c>
      <c r="AJ101" s="14">
        <f>AI101*VLOOKUP('Données projet'!$B$10,Paramètres!$A$1:$I$89,3,0)*VLOOKUP('Données projet'!$B$10,Paramètres!$A$1:$I$89,5,0)</f>
        <v>336.34536000000003</v>
      </c>
      <c r="AK101" s="14">
        <f t="shared" si="89"/>
        <v>78.744400394586279</v>
      </c>
      <c r="AL101" s="22">
        <f t="shared" si="58"/>
        <v>722.94799935390438</v>
      </c>
      <c r="AM101" s="62">
        <f t="shared" si="59"/>
        <v>1016.2813326872376</v>
      </c>
      <c r="AN101" s="62">
        <f ca="1">AVERAGE(OFFSET($AM$3,0,0,'Données projet'!$E$10+1,1))-AVERAGE(OFFSET($H$3,0,0,'Données projet'!$E$10+1,1))</f>
        <v>406.17572122067492</v>
      </c>
      <c r="AO101" s="62">
        <f t="shared" si="90"/>
        <v>244.4332618279085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5.6</v>
      </c>
      <c r="BD101" s="13">
        <f>IF('Données projet'!$A$88&gt;35,BD100+BC101-BL100,IF(A101&lt;'Données projet'!$A$88,$BA$205^A101,IF(A101='Données projet'!$A$88,'Données projet'!$B$88,BD100+BC101-BL100)))</f>
        <v>321.79999999999995</v>
      </c>
      <c r="BE101" s="14">
        <f>BD101*VLOOKUP('Données projet'!$B$11,Paramètres!$A$1:$I$89,3,0)*VLOOKUP('Données projet'!$B$11,Paramètres!$A$1:$I$89,5,0)</f>
        <v>291.16463999999991</v>
      </c>
      <c r="BF101" s="14">
        <f t="shared" si="91"/>
        <v>69.321022467464644</v>
      </c>
      <c r="BG101" s="22">
        <f t="shared" si="61"/>
        <v>627.84586213083401</v>
      </c>
      <c r="BH101" s="62">
        <f t="shared" si="62"/>
        <v>921.17919546416738</v>
      </c>
      <c r="BI101" s="62">
        <f ca="1">AVERAGE(OFFSET($BH$3,0,0,'Données projet'!$E$11+1,1))-AVERAGE(OFFSET($H$3,0,0,'Données projet'!$E$11+1,1))</f>
        <v>344.49457749226184</v>
      </c>
      <c r="BJ101" s="62">
        <f t="shared" si="92"/>
        <v>207.92972431357452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287.69656598881124</v>
      </c>
      <c r="CE101" s="62">
        <f t="shared" si="94"/>
        <v>221.9773436301067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2.0882106510934126</v>
      </c>
      <c r="CL101" s="23">
        <f>EXP(-LN(2)/25)*CL100+(1-EXP(-LN(2)/25))/(LN(2)/25)*Calculateur!CG101*Calculateur!CI101*VLOOKUP('Données projet'!$B$12,Paramètres!$A$1:$I$89,3,0)*0.475*44/12</f>
        <v>1.0493841585299881</v>
      </c>
      <c r="CM101" s="23">
        <f>EXP(-LN(2)/2)*CM100+(1-EXP(-LN(2)/2))/(LN(2)/2)*CG101*CJ101*VLOOKUP('Données projet'!$B$12,Paramètres!$A$1:$I$89,3,0)*0.475*44/12</f>
        <v>3.9615179799188348E-10</v>
      </c>
      <c r="CN101" s="24">
        <f t="shared" si="66"/>
        <v>3.1375948100195528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18.5</v>
      </c>
      <c r="CT101" s="13">
        <f>IF('Données projet'!$A$140&gt;35,CT100+CS101-DB100,IF(A101&lt;'Données projet'!$A$140,$CQ$205^A101,IF(A101='Données projet'!$A$140,'Données projet'!$B$140,CT100+CS101-DB100)))</f>
        <v>685.99999999999989</v>
      </c>
      <c r="CU101" s="18">
        <f>CT101*VLOOKUP('Données projet'!$B$13,Paramètres!$A$1:$I$89,3,0)*VLOOKUP('Données projet'!$B$13,Paramètres!$A$1:$I$89,5,0)</f>
        <v>321.04799999999994</v>
      </c>
      <c r="CV101" s="14">
        <f t="shared" si="95"/>
        <v>75.571368931978697</v>
      </c>
      <c r="CW101" s="22">
        <f t="shared" si="67"/>
        <v>690.77873422319624</v>
      </c>
      <c r="CX101" s="62">
        <f t="shared" si="68"/>
        <v>984.11206755652961</v>
      </c>
      <c r="CY101" s="62">
        <f ca="1">AVERAGE(OFFSET($CX$3,0,0,'Données projet'!$E$13+1,1))-AVERAGE(OFFSET($H$3,0,0,'Données projet'!$E$13+1,1))</f>
        <v>310.95287409903602</v>
      </c>
      <c r="CZ101" s="62">
        <f t="shared" si="96"/>
        <v>224.10083380795163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1.738044375088066E-13</v>
      </c>
      <c r="P102" s="14">
        <f t="shared" si="87"/>
        <v>2.4483293633950478E-12</v>
      </c>
      <c r="Q102" s="22">
        <f t="shared" si="107"/>
        <v>4.566883036574213E-12</v>
      </c>
      <c r="R102" s="62">
        <f t="shared" si="55"/>
        <v>293.33333333333786</v>
      </c>
      <c r="S102" s="62">
        <f ca="1">AVERAGE(OFFSET($R$3,0,0,'Données projet'!$E$9+1,1))-AVERAGE(OFFSET($H$3,0,0,'Données projet'!$E$9+1,1))</f>
        <v>253.73326067725128</v>
      </c>
      <c r="T102" s="62">
        <f t="shared" si="88"/>
        <v>317.76427047458026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1.164827840588798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1.4329622135179465E-9</v>
      </c>
      <c r="AC102" s="24">
        <f t="shared" si="57"/>
        <v>1.1648278420217602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5.6</v>
      </c>
      <c r="AI102" s="14">
        <f>IF('Données projet'!$A$62&gt;35,AI101+AH102-AQ101,IF(A102&lt;'Données projet'!$A$62,$AF$205^A102,IF(A102='Données projet'!$A$62,'Données projet'!$B$62,AI101+AH102-AQ101)))</f>
        <v>327.39999999999998</v>
      </c>
      <c r="AJ102" s="14">
        <f>AI102*VLOOKUP('Données projet'!$B$10,Paramètres!$A$1:$I$89,3,0)*VLOOKUP('Données projet'!$B$10,Paramètres!$A$1:$I$89,5,0)</f>
        <v>342.19848000000002</v>
      </c>
      <c r="AK102" s="14">
        <f t="shared" si="89"/>
        <v>79.953995783367915</v>
      </c>
      <c r="AL102" s="22">
        <f t="shared" si="58"/>
        <v>735.24889532269901</v>
      </c>
      <c r="AM102" s="62">
        <f t="shared" si="59"/>
        <v>1028.5822286560324</v>
      </c>
      <c r="AN102" s="62">
        <f ca="1">AVERAGE(OFFSET($AM$3,0,0,'Données projet'!$E$10+1,1))-AVERAGE(OFFSET($H$3,0,0,'Données projet'!$E$10+1,1))</f>
        <v>406.17572122067492</v>
      </c>
      <c r="AO102" s="62">
        <f t="shared" si="90"/>
        <v>244.4332618279085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5.6</v>
      </c>
      <c r="BD102" s="13">
        <f>IF('Données projet'!$A$88&gt;35,BD101+BC102-BL101,IF(A102&lt;'Données projet'!$A$88,$BA$205^A102,IF(A102='Données projet'!$A$88,'Données projet'!$B$88,BD101+BC102-BL101)))</f>
        <v>327.39999999999998</v>
      </c>
      <c r="BE102" s="14">
        <f>BD102*VLOOKUP('Données projet'!$B$11,Paramètres!$A$1:$I$89,3,0)*VLOOKUP('Données projet'!$B$11,Paramètres!$A$1:$I$89,5,0)</f>
        <v>296.23151999999993</v>
      </c>
      <c r="BF102" s="14">
        <f t="shared" si="91"/>
        <v>70.385865030263986</v>
      </c>
      <c r="BG102" s="22">
        <f t="shared" si="61"/>
        <v>638.52527892770956</v>
      </c>
      <c r="BH102" s="62">
        <f t="shared" si="62"/>
        <v>931.85861226104294</v>
      </c>
      <c r="BI102" s="62">
        <f ca="1">AVERAGE(OFFSET($BH$3,0,0,'Données projet'!$E$11+1,1))-AVERAGE(OFFSET($H$3,0,0,'Données projet'!$E$11+1,1))</f>
        <v>344.49457749226184</v>
      </c>
      <c r="BJ102" s="62">
        <f t="shared" si="92"/>
        <v>207.92972431357452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287.69656598881124</v>
      </c>
      <c r="CE102" s="62">
        <f t="shared" si="94"/>
        <v>221.9773436301067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2.0472621139082023</v>
      </c>
      <c r="CL102" s="23">
        <f>EXP(-LN(2)/25)*CL101+(1-EXP(-LN(2)/25))/(LN(2)/25)*Calculateur!CG102*Calculateur!CI102*VLOOKUP('Données projet'!$B$12,Paramètres!$A$1:$I$89,3,0)*0.475*44/12</f>
        <v>1.020688693530271</v>
      </c>
      <c r="CM102" s="23">
        <f>EXP(-LN(2)/2)*CM101+(1-EXP(-LN(2)/2))/(LN(2)/2)*CG102*CJ102*VLOOKUP('Données projet'!$B$12,Paramètres!$A$1:$I$89,3,0)*0.475*44/12</f>
        <v>2.8012162273930413E-10</v>
      </c>
      <c r="CN102" s="24">
        <f t="shared" si="66"/>
        <v>3.0679508077185949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18.5</v>
      </c>
      <c r="CT102" s="13">
        <f>IF('Données projet'!$A$140&gt;35,CT101+CS102-DB101,IF(A102&lt;'Données projet'!$A$140,$CQ$205^A102,IF(A102='Données projet'!$A$140,'Données projet'!$B$140,CT101+CS102-DB101)))</f>
        <v>704.49999999999989</v>
      </c>
      <c r="CU102" s="18">
        <f>CT102*VLOOKUP('Données projet'!$B$13,Paramètres!$A$1:$I$89,3,0)*VLOOKUP('Données projet'!$B$13,Paramètres!$A$1:$I$89,5,0)</f>
        <v>329.70599999999996</v>
      </c>
      <c r="CV102" s="14">
        <f t="shared" si="95"/>
        <v>77.369350309333612</v>
      </c>
      <c r="CW102" s="22">
        <f t="shared" si="67"/>
        <v>708.98956845542261</v>
      </c>
      <c r="CX102" s="62">
        <f t="shared" si="68"/>
        <v>1002.3229017887559</v>
      </c>
      <c r="CY102" s="62">
        <f ca="1">AVERAGE(OFFSET($CX$3,0,0,'Données projet'!$E$13+1,1))-AVERAGE(OFFSET($H$3,0,0,'Données projet'!$E$13+1,1))</f>
        <v>310.95287409903602</v>
      </c>
      <c r="CZ102" s="62">
        <f t="shared" si="96"/>
        <v>224.10083380795163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1.738044375088066E-13</v>
      </c>
      <c r="P103" s="14">
        <f t="shared" si="87"/>
        <v>2.4483293633950478E-12</v>
      </c>
      <c r="Q103" s="22">
        <f t="shared" si="107"/>
        <v>4.566883036574213E-12</v>
      </c>
      <c r="R103" s="62">
        <f t="shared" si="55"/>
        <v>293.33333333333786</v>
      </c>
      <c r="S103" s="62">
        <f ca="1">AVERAGE(OFFSET($R$3,0,0,'Données projet'!$E$9+1,1))-AVERAGE(OFFSET($H$3,0,0,'Données projet'!$E$9+1,1))</f>
        <v>253.73326067725128</v>
      </c>
      <c r="T103" s="62">
        <f t="shared" si="88"/>
        <v>317.76427047458026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1.1419862771096809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1.0132572983626254E-9</v>
      </c>
      <c r="AC103" s="24">
        <f t="shared" si="57"/>
        <v>1.1419862781229382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5.6</v>
      </c>
      <c r="AH103" s="13">
        <f t="array" ref="AH103">INDEX(AG:AG,MIN(IF(ISNUMBER(AG103:AG299),ROW(AG103:AG299),"")))</f>
        <v>5.6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348.05160000000001</v>
      </c>
      <c r="AK103" s="14">
        <f t="shared" si="89"/>
        <v>81.161185188985755</v>
      </c>
      <c r="AL103" s="22">
        <f t="shared" si="58"/>
        <v>747.54560087081688</v>
      </c>
      <c r="AM103" s="62">
        <f t="shared" si="59"/>
        <v>1040.8789342041503</v>
      </c>
      <c r="AN103" s="62">
        <f ca="1">AVERAGE(OFFSET($AM$3,0,0,'Données projet'!$E$10+1,1))-AVERAGE(OFFSET($H$3,0,0,'Données projet'!$E$10+1,1))</f>
        <v>406.17572122067492</v>
      </c>
      <c r="AO103" s="62">
        <f t="shared" si="90"/>
        <v>244.4332618279085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5.6</v>
      </c>
      <c r="BC103" s="13">
        <f t="array" ref="BC103">INDEX(BB:BB,MIN(IF(ISNUMBER(BB103:BB299),ROW(BB103:BB299),"")))</f>
        <v>5.6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301.29840000000002</v>
      </c>
      <c r="BF103" s="14">
        <f t="shared" si="91"/>
        <v>71.448589534990518</v>
      </c>
      <c r="BG103" s="22">
        <f t="shared" si="61"/>
        <v>649.2010067734418</v>
      </c>
      <c r="BH103" s="62">
        <f t="shared" si="62"/>
        <v>942.53434010677506</v>
      </c>
      <c r="BI103" s="62">
        <f ca="1">AVERAGE(OFFSET($BH$3,0,0,'Données projet'!$E$11+1,1))-AVERAGE(OFFSET($H$3,0,0,'Données projet'!$E$11+1,1))</f>
        <v>344.49457749226184</v>
      </c>
      <c r="BJ103" s="62">
        <f t="shared" si="92"/>
        <v>207.92972431357452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287.69656598881124</v>
      </c>
      <c r="CE103" s="62">
        <f t="shared" si="94"/>
        <v>221.9773436301067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2.0071165525610524</v>
      </c>
      <c r="CL103" s="23">
        <f>EXP(-LN(2)/25)*CL102+(1-EXP(-LN(2)/25))/(LN(2)/25)*Calculateur!CG103*Calculateur!CI103*VLOOKUP('Données projet'!$B$12,Paramètres!$A$1:$I$89,3,0)*0.475*44/12</f>
        <v>0.99277790753000017</v>
      </c>
      <c r="CM103" s="23">
        <f>EXP(-LN(2)/2)*CM102+(1-EXP(-LN(2)/2))/(LN(2)/2)*CG103*CJ103*VLOOKUP('Données projet'!$B$12,Paramètres!$A$1:$I$89,3,0)*0.475*44/12</f>
        <v>1.9807589899594174E-10</v>
      </c>
      <c r="CN103" s="24">
        <f t="shared" si="66"/>
        <v>2.9998944602891284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723</v>
      </c>
      <c r="CR103" s="13">
        <f>VLOOKUP(A103,'Données projet'!$A$139:$I$159,9,0)</f>
        <v>18.5</v>
      </c>
      <c r="CS103" s="13">
        <f t="array" ref="CS103">INDEX(CR:CR,MIN(IF(ISNUMBER(CR103:CR299),ROW(CR103:CR299),"")))</f>
        <v>18.5</v>
      </c>
      <c r="CT103" s="13">
        <f>IF('Données projet'!$A$140&gt;35,CT102+CS103-DB102,IF(A103&lt;'Données projet'!$A$140,$CQ$205^A103,IF(A103='Données projet'!$A$140,'Données projet'!$B$140,CT102+CS103-DB102)))</f>
        <v>722.99999999999989</v>
      </c>
      <c r="CU103" s="18">
        <f>CT103*VLOOKUP('Données projet'!$B$13,Paramètres!$A$1:$I$89,3,0)*VLOOKUP('Données projet'!$B$13,Paramètres!$A$1:$I$89,5,0)</f>
        <v>338.36399999999998</v>
      </c>
      <c r="CV103" s="14">
        <f t="shared" si="95"/>
        <v>79.161843636443024</v>
      </c>
      <c r="CW103" s="22">
        <f t="shared" si="67"/>
        <v>727.19084433347155</v>
      </c>
      <c r="CX103" s="62">
        <f t="shared" si="68"/>
        <v>1020.5241776668049</v>
      </c>
      <c r="CY103" s="62">
        <f ca="1">AVERAGE(OFFSET($CX$3,0,0,'Données projet'!$E$13+1,1))-AVERAGE(OFFSET($H$3,0,0,'Données projet'!$E$13+1,1))</f>
        <v>310.95287409903602</v>
      </c>
      <c r="CZ103" s="62">
        <f t="shared" si="96"/>
        <v>224.10083380795163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723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1.738044375088066E-13</v>
      </c>
      <c r="P104" s="14">
        <f t="shared" si="87"/>
        <v>2.4483293633950478E-12</v>
      </c>
      <c r="Q104" s="22">
        <f t="shared" si="107"/>
        <v>4.566883036574213E-12</v>
      </c>
      <c r="R104" s="62">
        <f t="shared" si="55"/>
        <v>293.33333333333786</v>
      </c>
      <c r="S104" s="62">
        <f ca="1">AVERAGE(OFFSET($R$3,0,0,'Données projet'!$E$9+1,1))-AVERAGE(OFFSET($H$3,0,0,'Données projet'!$E$9+1,1))</f>
        <v>253.73326067725128</v>
      </c>
      <c r="T104" s="62">
        <f t="shared" si="88"/>
        <v>317.76427047458026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1.1195926227584112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7.1648110675897326E-10</v>
      </c>
      <c r="AC104" s="24">
        <f t="shared" si="57"/>
        <v>1.1195926234748923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325.47528</v>
      </c>
      <c r="AK104" s="14">
        <f t="shared" si="89"/>
        <v>76.491464835263841</v>
      </c>
      <c r="AL104" s="22">
        <f t="shared" si="58"/>
        <v>700.09208058808451</v>
      </c>
      <c r="AM104" s="62">
        <f t="shared" si="59"/>
        <v>993.42541392141788</v>
      </c>
      <c r="AN104" s="62">
        <f ca="1">AVERAGE(OFFSET($AM$3,0,0,'Données projet'!$E$10+1,1))-AVERAGE(OFFSET($H$3,0,0,'Données projet'!$E$10+1,1))</f>
        <v>406.17572122067492</v>
      </c>
      <c r="AO104" s="62">
        <f t="shared" si="90"/>
        <v>244.4332618279085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281.75471999999996</v>
      </c>
      <c r="BF104" s="14">
        <f t="shared" si="91"/>
        <v>67.337696723120317</v>
      </c>
      <c r="BG104" s="22">
        <f t="shared" si="61"/>
        <v>608.00262579276773</v>
      </c>
      <c r="BH104" s="62">
        <f t="shared" si="62"/>
        <v>901.33595912610099</v>
      </c>
      <c r="BI104" s="62">
        <f ca="1">AVERAGE(OFFSET($BH$3,0,0,'Données projet'!$E$11+1,1))-AVERAGE(OFFSET($H$3,0,0,'Données projet'!$E$11+1,1))</f>
        <v>344.49457749226184</v>
      </c>
      <c r="BJ104" s="62">
        <f t="shared" si="92"/>
        <v>207.92972431357452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287.69656598881124</v>
      </c>
      <c r="CE104" s="62">
        <f t="shared" si="94"/>
        <v>221.9773436301067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1.9677582211855456</v>
      </c>
      <c r="CL104" s="23">
        <f>EXP(-LN(2)/25)*CL103+(1-EXP(-LN(2)/25))/(LN(2)/25)*Calculateur!CG104*Calculateur!CI104*VLOOKUP('Données projet'!$B$12,Paramètres!$A$1:$I$89,3,0)*0.475*44/12</f>
        <v>0.96563034344067122</v>
      </c>
      <c r="CM104" s="23">
        <f>EXP(-LN(2)/2)*CM103+(1-EXP(-LN(2)/2))/(LN(2)/2)*CG104*CJ104*VLOOKUP('Données projet'!$B$12,Paramètres!$A$1:$I$89,3,0)*0.475*44/12</f>
        <v>1.4006081136965206E-10</v>
      </c>
      <c r="CN104" s="24">
        <f t="shared" si="66"/>
        <v>2.9333885647662776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-5.3205440053716299E-14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310.95287409903602</v>
      </c>
      <c r="CZ104" s="62">
        <f t="shared" si="96"/>
        <v>224.10083380795163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1.738044375088066E-13</v>
      </c>
      <c r="P105" s="14">
        <f t="shared" si="87"/>
        <v>2.4483293633950478E-12</v>
      </c>
      <c r="Q105" s="22">
        <f t="shared" si="107"/>
        <v>4.566883036574213E-12</v>
      </c>
      <c r="R105" s="62">
        <f t="shared" si="55"/>
        <v>293.33333333333786</v>
      </c>
      <c r="S105" s="62">
        <f ca="1">AVERAGE(OFFSET($R$3,0,0,'Données projet'!$E$9+1,1))-AVERAGE(OFFSET($H$3,0,0,'Données projet'!$E$9+1,1))</f>
        <v>253.73326067725128</v>
      </c>
      <c r="T105" s="62">
        <f t="shared" si="88"/>
        <v>317.76427047458026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1.0976380943101895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5.0662864918131269E-10</v>
      </c>
      <c r="AC105" s="24">
        <f t="shared" si="57"/>
        <v>1.0976380948168183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331.11935999999997</v>
      </c>
      <c r="AK105" s="14">
        <f t="shared" si="89"/>
        <v>77.662333301878903</v>
      </c>
      <c r="AL105" s="22">
        <f t="shared" si="58"/>
        <v>711.9614491674389</v>
      </c>
      <c r="AM105" s="62">
        <f t="shared" si="59"/>
        <v>1005.2947825007723</v>
      </c>
      <c r="AN105" s="62">
        <f ca="1">AVERAGE(OFFSET($AM$3,0,0,'Données projet'!$E$10+1,1))-AVERAGE(OFFSET($H$3,0,0,'Données projet'!$E$10+1,1))</f>
        <v>406.17572122067492</v>
      </c>
      <c r="AO105" s="62">
        <f t="shared" si="90"/>
        <v>244.4332618279085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286.64063999999996</v>
      </c>
      <c r="BF105" s="14">
        <f t="shared" si="91"/>
        <v>68.368446832003599</v>
      </c>
      <c r="BG105" s="22">
        <f t="shared" si="61"/>
        <v>618.30749289907283</v>
      </c>
      <c r="BH105" s="62">
        <f t="shared" si="62"/>
        <v>911.6408262324062</v>
      </c>
      <c r="BI105" s="62">
        <f ca="1">AVERAGE(OFFSET($BH$3,0,0,'Données projet'!$E$11+1,1))-AVERAGE(OFFSET($H$3,0,0,'Données projet'!$E$11+1,1))</f>
        <v>344.49457749226184</v>
      </c>
      <c r="BJ105" s="62">
        <f t="shared" si="92"/>
        <v>207.92972431357452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287.69656598881124</v>
      </c>
      <c r="CE105" s="62">
        <f t="shared" si="94"/>
        <v>221.9773436301067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1.9291716826821006</v>
      </c>
      <c r="CL105" s="23">
        <f>EXP(-LN(2)/25)*CL104+(1-EXP(-LN(2)/25))/(LN(2)/25)*Calculateur!CG105*Calculateur!CI105*VLOOKUP('Données projet'!$B$12,Paramètres!$A$1:$I$89,3,0)*0.475*44/12</f>
        <v>0.93922513091899329</v>
      </c>
      <c r="CM105" s="23">
        <f>EXP(-LN(2)/2)*CM104+(1-EXP(-LN(2)/2))/(LN(2)/2)*CG105*CJ105*VLOOKUP('Données projet'!$B$12,Paramètres!$A$1:$I$89,3,0)*0.475*44/12</f>
        <v>9.9037949497970871E-11</v>
      </c>
      <c r="CN105" s="24">
        <f t="shared" si="66"/>
        <v>2.8683968137001319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-5.3205440053716299E-14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310.95287409903602</v>
      </c>
      <c r="CZ105" s="62">
        <f t="shared" si="96"/>
        <v>224.10083380795163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1.738044375088066E-13</v>
      </c>
      <c r="P106" s="14">
        <f t="shared" si="87"/>
        <v>2.4483293633950478E-12</v>
      </c>
      <c r="Q106" s="22">
        <f t="shared" si="107"/>
        <v>4.566883036574213E-12</v>
      </c>
      <c r="R106" s="62">
        <f t="shared" si="55"/>
        <v>293.33333333333786</v>
      </c>
      <c r="S106" s="62">
        <f ca="1">AVERAGE(OFFSET($R$3,0,0,'Données projet'!$E$9+1,1))-AVERAGE(OFFSET($H$3,0,0,'Données projet'!$E$9+1,1))</f>
        <v>253.73326067725128</v>
      </c>
      <c r="T106" s="62">
        <f t="shared" si="88"/>
        <v>317.76427047458026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1.0761140807738974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3.5824055337948663E-10</v>
      </c>
      <c r="AC106" s="24">
        <f t="shared" si="57"/>
        <v>1.0761140811321379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336.76343999999995</v>
      </c>
      <c r="AK106" s="14">
        <f t="shared" si="89"/>
        <v>78.830880843299042</v>
      </c>
      <c r="AL106" s="22">
        <f t="shared" si="58"/>
        <v>723.82677546874572</v>
      </c>
      <c r="AM106" s="62">
        <f t="shared" si="59"/>
        <v>1017.1601088020791</v>
      </c>
      <c r="AN106" s="62">
        <f ca="1">AVERAGE(OFFSET($AM$3,0,0,'Données projet'!$E$10+1,1))-AVERAGE(OFFSET($H$3,0,0,'Données projet'!$E$10+1,1))</f>
        <v>406.17572122067492</v>
      </c>
      <c r="AO106" s="62">
        <f t="shared" si="90"/>
        <v>244.4332618279085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291.5265599999999</v>
      </c>
      <c r="BF106" s="14">
        <f t="shared" si="91"/>
        <v>69.397153761857183</v>
      </c>
      <c r="BG106" s="22">
        <f t="shared" si="61"/>
        <v>628.60880146856778</v>
      </c>
      <c r="BH106" s="62">
        <f t="shared" si="62"/>
        <v>921.94213480190115</v>
      </c>
      <c r="BI106" s="62">
        <f ca="1">AVERAGE(OFFSET($BH$3,0,0,'Données projet'!$E$11+1,1))-AVERAGE(OFFSET($H$3,0,0,'Données projet'!$E$11+1,1))</f>
        <v>344.49457749226184</v>
      </c>
      <c r="BJ106" s="62">
        <f t="shared" si="92"/>
        <v>207.92972431357452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287.69656598881124</v>
      </c>
      <c r="CE106" s="62">
        <f t="shared" si="94"/>
        <v>221.9773436301067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1.8913418026632436</v>
      </c>
      <c r="CL106" s="23">
        <f>EXP(-LN(2)/25)*CL105+(1-EXP(-LN(2)/25))/(LN(2)/25)*Calculateur!CG106*Calculateur!CI106*VLOOKUP('Données projet'!$B$12,Paramètres!$A$1:$I$89,3,0)*0.475*44/12</f>
        <v>0.91354197032231044</v>
      </c>
      <c r="CM106" s="23">
        <f>EXP(-LN(2)/2)*CM105+(1-EXP(-LN(2)/2))/(LN(2)/2)*CG106*CJ106*VLOOKUP('Données projet'!$B$12,Paramètres!$A$1:$I$89,3,0)*0.475*44/12</f>
        <v>7.0030405684826032E-11</v>
      </c>
      <c r="CN106" s="24">
        <f t="shared" si="66"/>
        <v>2.8048837730555842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-5.3205440053716299E-14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310.95287409903602</v>
      </c>
      <c r="CZ106" s="62">
        <f t="shared" si="96"/>
        <v>224.10083380795163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1.738044375088066E-13</v>
      </c>
      <c r="P107" s="14">
        <f t="shared" si="87"/>
        <v>2.4483293633950478E-12</v>
      </c>
      <c r="Q107" s="22">
        <f t="shared" si="107"/>
        <v>4.566883036574213E-12</v>
      </c>
      <c r="R107" s="62">
        <f t="shared" si="55"/>
        <v>293.33333333333786</v>
      </c>
      <c r="S107" s="62">
        <f ca="1">AVERAGE(OFFSET($R$3,0,0,'Données projet'!$E$9+1,1))-AVERAGE(OFFSET($H$3,0,0,'Données projet'!$E$9+1,1))</f>
        <v>253.73326067725128</v>
      </c>
      <c r="T107" s="62">
        <f t="shared" si="88"/>
        <v>317.76427047458026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1.0550121400146999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2.5331432459065635E-10</v>
      </c>
      <c r="AC107" s="24">
        <f t="shared" si="57"/>
        <v>1.0550121402680142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342.40751999999998</v>
      </c>
      <c r="AK107" s="14">
        <f t="shared" si="89"/>
        <v>79.997150847223139</v>
      </c>
      <c r="AL107" s="22">
        <f t="shared" si="58"/>
        <v>735.68813505891342</v>
      </c>
      <c r="AM107" s="62">
        <f t="shared" si="59"/>
        <v>1029.0214683922468</v>
      </c>
      <c r="AN107" s="62">
        <f ca="1">AVERAGE(OFFSET($AM$3,0,0,'Données projet'!$E$10+1,1))-AVERAGE(OFFSET($H$3,0,0,'Données projet'!$E$10+1,1))</f>
        <v>406.17572122067492</v>
      </c>
      <c r="AO107" s="62">
        <f t="shared" si="90"/>
        <v>244.4332618279085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296.4124799999999</v>
      </c>
      <c r="BF107" s="14">
        <f t="shared" si="91"/>
        <v>70.423855708154704</v>
      </c>
      <c r="BG107" s="22">
        <f t="shared" si="61"/>
        <v>638.90661802503598</v>
      </c>
      <c r="BH107" s="62">
        <f t="shared" si="62"/>
        <v>932.23995135836935</v>
      </c>
      <c r="BI107" s="62">
        <f ca="1">AVERAGE(OFFSET($BH$3,0,0,'Données projet'!$E$11+1,1))-AVERAGE(OFFSET($H$3,0,0,'Données projet'!$E$11+1,1))</f>
        <v>344.49457749226184</v>
      </c>
      <c r="BJ107" s="62">
        <f t="shared" si="92"/>
        <v>207.92972431357452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287.69656598881124</v>
      </c>
      <c r="CE107" s="62">
        <f t="shared" si="94"/>
        <v>221.9773436301067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1.8542537435176081</v>
      </c>
      <c r="CL107" s="23">
        <f>EXP(-LN(2)/25)*CL106+(1-EXP(-LN(2)/25))/(LN(2)/25)*Calculateur!CG107*Calculateur!CI107*VLOOKUP('Données projet'!$B$12,Paramètres!$A$1:$I$89,3,0)*0.475*44/12</f>
        <v>0.88856111710276253</v>
      </c>
      <c r="CM107" s="23">
        <f>EXP(-LN(2)/2)*CM106+(1-EXP(-LN(2)/2))/(LN(2)/2)*CG107*CJ107*VLOOKUP('Données projet'!$B$12,Paramètres!$A$1:$I$89,3,0)*0.475*44/12</f>
        <v>4.9518974748985436E-11</v>
      </c>
      <c r="CN107" s="24">
        <f t="shared" si="66"/>
        <v>2.7428148606698897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-5.3205440053716299E-14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310.95287409903602</v>
      </c>
      <c r="CZ107" s="62">
        <f t="shared" si="96"/>
        <v>224.10083380795163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1.738044375088066E-13</v>
      </c>
      <c r="P108" s="14">
        <f t="shared" si="87"/>
        <v>2.4483293633950478E-12</v>
      </c>
      <c r="Q108" s="22">
        <f t="shared" si="107"/>
        <v>4.566883036574213E-12</v>
      </c>
      <c r="R108" s="62">
        <f t="shared" si="55"/>
        <v>293.33333333333786</v>
      </c>
      <c r="S108" s="62">
        <f ca="1">AVERAGE(OFFSET($R$3,0,0,'Données projet'!$E$9+1,1))-AVERAGE(OFFSET($H$3,0,0,'Données projet'!$E$9+1,1))</f>
        <v>253.73326067725128</v>
      </c>
      <c r="T108" s="62">
        <f t="shared" si="88"/>
        <v>317.76427047458026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1.0343239954428773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1.7912027668974331E-10</v>
      </c>
      <c r="AC108" s="24">
        <f t="shared" si="57"/>
        <v>1.0343239956219976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348.05159999999989</v>
      </c>
      <c r="AK108" s="14">
        <f t="shared" si="89"/>
        <v>81.161185188985755</v>
      </c>
      <c r="AL108" s="22">
        <f t="shared" si="58"/>
        <v>747.54560087081666</v>
      </c>
      <c r="AM108" s="62">
        <f t="shared" si="59"/>
        <v>1040.87893420415</v>
      </c>
      <c r="AN108" s="62">
        <f ca="1">AVERAGE(OFFSET($AM$3,0,0,'Données projet'!$E$10+1,1))-AVERAGE(OFFSET($H$3,0,0,'Données projet'!$E$10+1,1))</f>
        <v>406.17572122067492</v>
      </c>
      <c r="AO108" s="62">
        <f t="shared" si="90"/>
        <v>244.4332618279085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301.2983999999999</v>
      </c>
      <c r="BF108" s="14">
        <f t="shared" si="91"/>
        <v>71.448589534990518</v>
      </c>
      <c r="BG108" s="22">
        <f t="shared" si="61"/>
        <v>649.20100677344158</v>
      </c>
      <c r="BH108" s="62">
        <f t="shared" si="62"/>
        <v>942.53434010677483</v>
      </c>
      <c r="BI108" s="62">
        <f ca="1">AVERAGE(OFFSET($BH$3,0,0,'Données projet'!$E$11+1,1))-AVERAGE(OFFSET($H$3,0,0,'Données projet'!$E$11+1,1))</f>
        <v>344.49457749226184</v>
      </c>
      <c r="BJ108" s="62">
        <f t="shared" si="92"/>
        <v>207.92972431357452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287.69656598881124</v>
      </c>
      <c r="CE108" s="62">
        <f t="shared" si="94"/>
        <v>221.9773436301067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1.8178929585903361</v>
      </c>
      <c r="CL108" s="23">
        <f>EXP(-LN(2)/25)*CL107+(1-EXP(-LN(2)/25))/(LN(2)/25)*Calculateur!CG108*Calculateur!CI108*VLOOKUP('Données projet'!$B$12,Paramètres!$A$1:$I$89,3,0)*0.475*44/12</f>
        <v>0.86426336662818914</v>
      </c>
      <c r="CM108" s="23">
        <f>EXP(-LN(2)/2)*CM107+(1-EXP(-LN(2)/2))/(LN(2)/2)*CG108*CJ108*VLOOKUP('Données projet'!$B$12,Paramètres!$A$1:$I$89,3,0)*0.475*44/12</f>
        <v>3.5015202842413016E-11</v>
      </c>
      <c r="CN108" s="24">
        <f t="shared" si="66"/>
        <v>2.6821563252535401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-5.3205440053716299E-14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310.95287409903602</v>
      </c>
      <c r="CZ108" s="62">
        <f t="shared" si="96"/>
        <v>224.10083380795163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1.738044375088066E-13</v>
      </c>
      <c r="P109" s="14">
        <f t="shared" si="87"/>
        <v>2.4483293633950478E-12</v>
      </c>
      <c r="Q109" s="22">
        <f t="shared" si="107"/>
        <v>4.566883036574213E-12</v>
      </c>
      <c r="R109" s="62">
        <f t="shared" si="55"/>
        <v>293.33333333333786</v>
      </c>
      <c r="S109" s="62">
        <f ca="1">AVERAGE(OFFSET($R$3,0,0,'Données projet'!$E$9+1,1))-AVERAGE(OFFSET($H$3,0,0,'Données projet'!$E$9+1,1))</f>
        <v>253.73326067725128</v>
      </c>
      <c r="T109" s="62">
        <f t="shared" si="88"/>
        <v>317.76427047458026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1.014041532767586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1.2665716229532817E-10</v>
      </c>
      <c r="AC109" s="24">
        <f t="shared" si="57"/>
        <v>1.0140415328942431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326.10239999999993</v>
      </c>
      <c r="AK109" s="14">
        <f t="shared" si="89"/>
        <v>76.621677329562289</v>
      </c>
      <c r="AL109" s="22">
        <f t="shared" si="58"/>
        <v>701.41110134898747</v>
      </c>
      <c r="AM109" s="62">
        <f t="shared" si="59"/>
        <v>994.74443468232084</v>
      </c>
      <c r="AN109" s="62">
        <f ca="1">AVERAGE(OFFSET($AM$3,0,0,'Données projet'!$E$10+1,1))-AVERAGE(OFFSET($H$3,0,0,'Données projet'!$E$10+1,1))</f>
        <v>406.17572122067492</v>
      </c>
      <c r="AO109" s="62">
        <f t="shared" si="90"/>
        <v>244.4332618279085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282.29759999999987</v>
      </c>
      <c r="BF109" s="14">
        <f t="shared" si="91"/>
        <v>67.452326629470178</v>
      </c>
      <c r="BG109" s="22">
        <f t="shared" si="61"/>
        <v>609.14778887966042</v>
      </c>
      <c r="BH109" s="62">
        <f t="shared" si="62"/>
        <v>902.4811222129938</v>
      </c>
      <c r="BI109" s="62">
        <f ca="1">AVERAGE(OFFSET($BH$3,0,0,'Données projet'!$E$11+1,1))-AVERAGE(OFFSET($H$3,0,0,'Données projet'!$E$11+1,1))</f>
        <v>344.49457749226184</v>
      </c>
      <c r="BJ109" s="62">
        <f t="shared" si="92"/>
        <v>207.92972431357452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287.69656598881124</v>
      </c>
      <c r="CE109" s="62">
        <f t="shared" si="94"/>
        <v>221.9773436301067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1.782245186477599</v>
      </c>
      <c r="CL109" s="23">
        <f>EXP(-LN(2)/25)*CL108+(1-EXP(-LN(2)/25))/(LN(2)/25)*Calculateur!CG109*Calculateur!CI109*VLOOKUP('Données projet'!$B$12,Paramètres!$A$1:$I$89,3,0)*0.475*44/12</f>
        <v>0.84063003941810621</v>
      </c>
      <c r="CM109" s="23">
        <f>EXP(-LN(2)/2)*CM108+(1-EXP(-LN(2)/2))/(LN(2)/2)*CG109*CJ109*VLOOKUP('Données projet'!$B$12,Paramètres!$A$1:$I$89,3,0)*0.475*44/12</f>
        <v>2.4759487374492718E-11</v>
      </c>
      <c r="CN109" s="24">
        <f t="shared" si="66"/>
        <v>2.6228752259204646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-5.3205440053716299E-14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310.95287409903602</v>
      </c>
      <c r="CZ109" s="62">
        <f t="shared" si="96"/>
        <v>224.10083380795163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1.738044375088066E-13</v>
      </c>
      <c r="P110" s="14">
        <f t="shared" si="87"/>
        <v>2.4483293633950478E-12</v>
      </c>
      <c r="Q110" s="22">
        <f t="shared" si="107"/>
        <v>4.566883036574213E-12</v>
      </c>
      <c r="R110" s="62">
        <f t="shared" si="55"/>
        <v>293.33333333333786</v>
      </c>
      <c r="S110" s="62">
        <f ca="1">AVERAGE(OFFSET($R$3,0,0,'Données projet'!$E$9+1,1))-AVERAGE(OFFSET($H$3,0,0,'Données projet'!$E$9+1,1))</f>
        <v>253.73326067725128</v>
      </c>
      <c r="T110" s="62">
        <f t="shared" si="88"/>
        <v>317.76427047458026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0.99415679681427638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8.9560138344871657E-11</v>
      </c>
      <c r="AC110" s="24">
        <f t="shared" si="57"/>
        <v>0.99415679690383651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331.32839999999987</v>
      </c>
      <c r="AK110" s="14">
        <f t="shared" si="89"/>
        <v>77.705653956514595</v>
      </c>
      <c r="AL110" s="22">
        <f t="shared" si="58"/>
        <v>712.40097730759601</v>
      </c>
      <c r="AM110" s="62">
        <f t="shared" si="59"/>
        <v>1005.7343106409294</v>
      </c>
      <c r="AN110" s="62">
        <f ca="1">AVERAGE(OFFSET($AM$3,0,0,'Données projet'!$E$10+1,1))-AVERAGE(OFFSET($H$3,0,0,'Données projet'!$E$10+1,1))</f>
        <v>406.17572122067492</v>
      </c>
      <c r="AO110" s="62">
        <f t="shared" si="90"/>
        <v>244.4332618279085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286.82159999999988</v>
      </c>
      <c r="BF110" s="14">
        <f t="shared" si="91"/>
        <v>68.406583284351413</v>
      </c>
      <c r="BG110" s="22">
        <f t="shared" si="61"/>
        <v>618.68908588691181</v>
      </c>
      <c r="BH110" s="62">
        <f t="shared" si="62"/>
        <v>912.02241922024518</v>
      </c>
      <c r="BI110" s="62">
        <f ca="1">AVERAGE(OFFSET($BH$3,0,0,'Données projet'!$E$11+1,1))-AVERAGE(OFFSET($H$3,0,0,'Données projet'!$E$11+1,1))</f>
        <v>344.49457749226184</v>
      </c>
      <c r="BJ110" s="62">
        <f t="shared" si="92"/>
        <v>207.92972431357452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287.69656598881124</v>
      </c>
      <c r="CE110" s="62">
        <f t="shared" si="94"/>
        <v>221.9773436301067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1.7472964454329984</v>
      </c>
      <c r="CL110" s="23">
        <f>EXP(-LN(2)/25)*CL109+(1-EXP(-LN(2)/25))/(LN(2)/25)*Calculateur!CG110*Calculateur!CI110*VLOOKUP('Données projet'!$B$12,Paramètres!$A$1:$I$89,3,0)*0.475*44/12</f>
        <v>0.81764296678340564</v>
      </c>
      <c r="CM110" s="23">
        <f>EXP(-LN(2)/2)*CM109+(1-EXP(-LN(2)/2))/(LN(2)/2)*CG110*CJ110*VLOOKUP('Données projet'!$B$12,Paramètres!$A$1:$I$89,3,0)*0.475*44/12</f>
        <v>1.7507601421206508E-11</v>
      </c>
      <c r="CN110" s="24">
        <f t="shared" si="66"/>
        <v>2.5649394122339118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-5.3205440053716299E-14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310.95287409903602</v>
      </c>
      <c r="CZ110" s="62">
        <f t="shared" si="96"/>
        <v>224.10083380795163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1.738044375088066E-13</v>
      </c>
      <c r="P111" s="14">
        <f t="shared" si="87"/>
        <v>2.4483293633950478E-12</v>
      </c>
      <c r="Q111" s="22">
        <f t="shared" si="107"/>
        <v>4.566883036574213E-12</v>
      </c>
      <c r="R111" s="62">
        <f t="shared" si="55"/>
        <v>293.33333333333786</v>
      </c>
      <c r="S111" s="62">
        <f ca="1">AVERAGE(OFFSET($R$3,0,0,'Données projet'!$E$9+1,1))-AVERAGE(OFFSET($H$3,0,0,'Données projet'!$E$9+1,1))</f>
        <v>253.73326067725128</v>
      </c>
      <c r="T111" s="62">
        <f t="shared" si="88"/>
        <v>317.76427047458026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0.97466198840451979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6.3328581147664087E-11</v>
      </c>
      <c r="AC111" s="24">
        <f t="shared" si="57"/>
        <v>0.97466198846784835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336.55439999999987</v>
      </c>
      <c r="AK111" s="14">
        <f t="shared" si="89"/>
        <v>78.787642182036549</v>
      </c>
      <c r="AL111" s="22">
        <f t="shared" si="58"/>
        <v>723.38739013371344</v>
      </c>
      <c r="AM111" s="62">
        <f t="shared" si="59"/>
        <v>1016.7207234670468</v>
      </c>
      <c r="AN111" s="62">
        <f ca="1">AVERAGE(OFFSET($AM$3,0,0,'Données projet'!$E$10+1,1))-AVERAGE(OFFSET($H$3,0,0,'Données projet'!$E$10+1,1))</f>
        <v>406.17572122067492</v>
      </c>
      <c r="AO111" s="62">
        <f t="shared" si="90"/>
        <v>244.4332618279085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291.34559999999993</v>
      </c>
      <c r="BF111" s="14">
        <f t="shared" si="91"/>
        <v>69.359089490698707</v>
      </c>
      <c r="BG111" s="22">
        <f t="shared" si="61"/>
        <v>628.22733419630015</v>
      </c>
      <c r="BH111" s="62">
        <f t="shared" si="62"/>
        <v>921.56066752963352</v>
      </c>
      <c r="BI111" s="62">
        <f ca="1">AVERAGE(OFFSET($BH$3,0,0,'Données projet'!$E$11+1,1))-AVERAGE(OFFSET($H$3,0,0,'Données projet'!$E$11+1,1))</f>
        <v>344.49457749226184</v>
      </c>
      <c r="BJ111" s="62">
        <f t="shared" si="92"/>
        <v>207.92972431357452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287.69656598881124</v>
      </c>
      <c r="CE111" s="62">
        <f t="shared" si="94"/>
        <v>221.9773436301067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1.7130330278836554</v>
      </c>
      <c r="CL111" s="23">
        <f>EXP(-LN(2)/25)*CL110+(1-EXP(-LN(2)/25))/(LN(2)/25)*Calculateur!CG111*Calculateur!CI111*VLOOKUP('Données projet'!$B$12,Paramètres!$A$1:$I$89,3,0)*0.475*44/12</f>
        <v>0.79528447685873849</v>
      </c>
      <c r="CM111" s="23">
        <f>EXP(-LN(2)/2)*CM110+(1-EXP(-LN(2)/2))/(LN(2)/2)*CG111*CJ111*VLOOKUP('Données projet'!$B$12,Paramètres!$A$1:$I$89,3,0)*0.475*44/12</f>
        <v>1.2379743687246359E-11</v>
      </c>
      <c r="CN111" s="24">
        <f t="shared" si="66"/>
        <v>2.5083175047547739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-5.3205440053716299E-14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310.95287409903602</v>
      </c>
      <c r="CZ111" s="62">
        <f t="shared" si="96"/>
        <v>224.10083380795163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1.738044375088066E-13</v>
      </c>
      <c r="P112" s="14">
        <f t="shared" si="87"/>
        <v>2.4483293633950478E-12</v>
      </c>
      <c r="Q112" s="22">
        <f t="shared" si="107"/>
        <v>4.566883036574213E-12</v>
      </c>
      <c r="R112" s="62">
        <f t="shared" si="55"/>
        <v>293.33333333333786</v>
      </c>
      <c r="S112" s="62">
        <f ca="1">AVERAGE(OFFSET($R$3,0,0,'Données projet'!$E$9+1,1))-AVERAGE(OFFSET($H$3,0,0,'Données projet'!$E$9+1,1))</f>
        <v>253.73326067725128</v>
      </c>
      <c r="T112" s="62">
        <f t="shared" si="88"/>
        <v>317.76427047458026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0.95554946129701956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4.4780069172435829E-11</v>
      </c>
      <c r="AC112" s="24">
        <f t="shared" si="57"/>
        <v>0.95554946134179963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341.78039999999993</v>
      </c>
      <c r="AK112" s="14">
        <f t="shared" si="89"/>
        <v>79.867676447524786</v>
      </c>
      <c r="AL112" s="22">
        <f t="shared" si="58"/>
        <v>734.37039981277212</v>
      </c>
      <c r="AM112" s="62">
        <f t="shared" si="59"/>
        <v>1027.7037331461054</v>
      </c>
      <c r="AN112" s="62">
        <f ca="1">AVERAGE(OFFSET($AM$3,0,0,'Données projet'!$E$10+1,1))-AVERAGE(OFFSET($H$3,0,0,'Données projet'!$E$10+1,1))</f>
        <v>406.17572122067492</v>
      </c>
      <c r="AO112" s="62">
        <f t="shared" si="90"/>
        <v>244.4332618279085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295.86959999999988</v>
      </c>
      <c r="BF112" s="14">
        <f t="shared" si="91"/>
        <v>70.309875568291218</v>
      </c>
      <c r="BG112" s="22">
        <f t="shared" si="61"/>
        <v>637.76258661477357</v>
      </c>
      <c r="BH112" s="62">
        <f t="shared" si="62"/>
        <v>931.09591994810694</v>
      </c>
      <c r="BI112" s="62">
        <f ca="1">AVERAGE(OFFSET($BH$3,0,0,'Données projet'!$E$11+1,1))-AVERAGE(OFFSET($H$3,0,0,'Données projet'!$E$11+1,1))</f>
        <v>344.49457749226184</v>
      </c>
      <c r="BJ112" s="62">
        <f t="shared" si="92"/>
        <v>207.92972431357452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287.69656598881124</v>
      </c>
      <c r="CE112" s="62">
        <f t="shared" si="94"/>
        <v>221.9773436301067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1.6794414950538339</v>
      </c>
      <c r="CL112" s="23">
        <f>EXP(-LN(2)/25)*CL111+(1-EXP(-LN(2)/25))/(LN(2)/25)*Calculateur!CG112*Calculateur!CI112*VLOOKUP('Données projet'!$B$12,Paramètres!$A$1:$I$89,3,0)*0.475*44/12</f>
        <v>0.77353738101684333</v>
      </c>
      <c r="CM112" s="23">
        <f>EXP(-LN(2)/2)*CM111+(1-EXP(-LN(2)/2))/(LN(2)/2)*CG112*CJ112*VLOOKUP('Données projet'!$B$12,Paramètres!$A$1:$I$89,3,0)*0.475*44/12</f>
        <v>8.753800710603254E-12</v>
      </c>
      <c r="CN112" s="24">
        <f t="shared" si="66"/>
        <v>2.4529788760794311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-5.3205440053716299E-14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310.95287409903602</v>
      </c>
      <c r="CZ112" s="62">
        <f t="shared" si="96"/>
        <v>224.10083380795163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1.738044375088066E-13</v>
      </c>
      <c r="P113" s="14">
        <f t="shared" si="87"/>
        <v>2.4483293633950478E-12</v>
      </c>
      <c r="Q113" s="22">
        <f t="shared" si="107"/>
        <v>4.566883036574213E-12</v>
      </c>
      <c r="R113" s="62">
        <f t="shared" si="55"/>
        <v>293.33333333333786</v>
      </c>
      <c r="S113" s="62">
        <f ca="1">AVERAGE(OFFSET($R$3,0,0,'Données projet'!$E$9+1,1))-AVERAGE(OFFSET($H$3,0,0,'Données projet'!$E$9+1,1))</f>
        <v>253.73326067725128</v>
      </c>
      <c r="T113" s="62">
        <f t="shared" si="88"/>
        <v>317.76427047458026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0.93681171918860695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3.1664290573832043E-11</v>
      </c>
      <c r="AC113" s="24">
        <f t="shared" si="57"/>
        <v>0.93681171922027129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347.00639999999993</v>
      </c>
      <c r="AK113" s="14">
        <f t="shared" si="89"/>
        <v>80.945790080684603</v>
      </c>
      <c r="AL113" s="22">
        <f t="shared" si="58"/>
        <v>745.35006439052552</v>
      </c>
      <c r="AM113" s="62">
        <f t="shared" si="59"/>
        <v>1038.6833977238589</v>
      </c>
      <c r="AN113" s="62">
        <f ca="1">AVERAGE(OFFSET($AM$3,0,0,'Données projet'!$E$10+1,1))-AVERAGE(OFFSET($H$3,0,0,'Données projet'!$E$10+1,1))</f>
        <v>406.17572122067492</v>
      </c>
      <c r="AO113" s="62">
        <f t="shared" si="90"/>
        <v>244.4332618279085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300.39359999999988</v>
      </c>
      <c r="BF113" s="14">
        <f t="shared" si="91"/>
        <v>71.258970856492667</v>
      </c>
      <c r="BG113" s="22">
        <f t="shared" si="61"/>
        <v>647.29489424172459</v>
      </c>
      <c r="BH113" s="62">
        <f t="shared" si="62"/>
        <v>940.62822757505796</v>
      </c>
      <c r="BI113" s="62">
        <f ca="1">AVERAGE(OFFSET($BH$3,0,0,'Données projet'!$E$11+1,1))-AVERAGE(OFFSET($H$3,0,0,'Données projet'!$E$11+1,1))</f>
        <v>344.49457749226184</v>
      </c>
      <c r="BJ113" s="62">
        <f t="shared" si="92"/>
        <v>207.92972431357452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287.69656598881124</v>
      </c>
      <c r="CE113" s="62">
        <f t="shared" si="94"/>
        <v>221.9773436301067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1.6465086716939932</v>
      </c>
      <c r="CL113" s="23">
        <f>EXP(-LN(2)/25)*CL112+(1-EXP(-LN(2)/25))/(LN(2)/25)*Calculateur!CG113*Calculateur!CI113*VLOOKUP('Données projet'!$B$12,Paramètres!$A$1:$I$89,3,0)*0.475*44/12</f>
        <v>0.75238496065437477</v>
      </c>
      <c r="CM113" s="23">
        <f>EXP(-LN(2)/2)*CM112+(1-EXP(-LN(2)/2))/(LN(2)/2)*CG113*CJ113*VLOOKUP('Données projet'!$B$12,Paramètres!$A$1:$I$89,3,0)*0.475*44/12</f>
        <v>6.1898718436231795E-12</v>
      </c>
      <c r="CN113" s="24">
        <f t="shared" si="66"/>
        <v>2.3988936323545578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-5.3205440053716299E-14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310.95287409903602</v>
      </c>
      <c r="CZ113" s="62">
        <f t="shared" si="96"/>
        <v>224.10083380795163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1.738044375088066E-13</v>
      </c>
      <c r="P114" s="14">
        <f t="shared" si="87"/>
        <v>2.4483293633950478E-12</v>
      </c>
      <c r="Q114" s="22">
        <f t="shared" si="107"/>
        <v>4.566883036574213E-12</v>
      </c>
      <c r="R114" s="62">
        <f t="shared" si="55"/>
        <v>293.33333333333786</v>
      </c>
      <c r="S114" s="62">
        <f ca="1">AVERAGE(OFFSET($R$3,0,0,'Données projet'!$E$9+1,1))-AVERAGE(OFFSET($H$3,0,0,'Données projet'!$E$9+1,1))</f>
        <v>253.73326067725128</v>
      </c>
      <c r="T114" s="62">
        <f t="shared" si="88"/>
        <v>317.76427047458026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0.91844141277404612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2.2390034586217914E-11</v>
      </c>
      <c r="AC114" s="24">
        <f t="shared" si="57"/>
        <v>0.91844141279643621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4.8</v>
      </c>
      <c r="AI114" s="14">
        <f>IF('Données projet'!$A$62&gt;35,AI113+AH114-AQ113,IF(A114&lt;'Données projet'!$A$62,$AF$205^A114,IF(A114='Données projet'!$A$62,'Données projet'!$B$62,AI113+AH114-AQ113)))</f>
        <v>311.7999999999999</v>
      </c>
      <c r="AJ114" s="14">
        <f>AI114*VLOOKUP('Données projet'!$B$10,Paramètres!$A$1:$I$89,3,0)*VLOOKUP('Données projet'!$B$10,Paramètres!$A$1:$I$89,5,0)</f>
        <v>325.89335999999992</v>
      </c>
      <c r="AK114" s="14">
        <f t="shared" si="89"/>
        <v>76.578276406145193</v>
      </c>
      <c r="AL114" s="22">
        <f t="shared" si="58"/>
        <v>700.97143340736932</v>
      </c>
      <c r="AM114" s="62">
        <f t="shared" si="59"/>
        <v>994.30476674070269</v>
      </c>
      <c r="AN114" s="62">
        <f ca="1">AVERAGE(OFFSET($AM$3,0,0,'Données projet'!$E$10+1,1))-AVERAGE(OFFSET($H$3,0,0,'Données projet'!$E$10+1,1))</f>
        <v>406.17572122067492</v>
      </c>
      <c r="AO114" s="62">
        <f t="shared" si="90"/>
        <v>244.4332618279085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4.8</v>
      </c>
      <c r="BD114" s="13">
        <f>IF('Données projet'!$A$88&gt;35,BD113+BC114-BL113,IF(A114&lt;'Données projet'!$A$88,$BA$205^A114,IF(A114='Données projet'!$A$88,'Données projet'!$B$88,BD113+BC114-BL113)))</f>
        <v>311.7999999999999</v>
      </c>
      <c r="BE114" s="14">
        <f>BD114*VLOOKUP('Données projet'!$B$11,Paramètres!$A$1:$I$89,3,0)*VLOOKUP('Données projet'!$B$11,Paramètres!$A$1:$I$89,5,0)</f>
        <v>282.1166399999999</v>
      </c>
      <c r="BF114" s="14">
        <f t="shared" si="91"/>
        <v>67.414119514142243</v>
      </c>
      <c r="BG114" s="22">
        <f t="shared" si="61"/>
        <v>608.76607282046416</v>
      </c>
      <c r="BH114" s="62">
        <f t="shared" si="62"/>
        <v>902.09940615379742</v>
      </c>
      <c r="BI114" s="62">
        <f ca="1">AVERAGE(OFFSET($BH$3,0,0,'Données projet'!$E$11+1,1))-AVERAGE(OFFSET($H$3,0,0,'Données projet'!$E$11+1,1))</f>
        <v>344.49457749226184</v>
      </c>
      <c r="BJ114" s="62">
        <f t="shared" si="92"/>
        <v>207.92972431357452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287.69656598881124</v>
      </c>
      <c r="CE114" s="62">
        <f t="shared" si="94"/>
        <v>221.9773436301067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1.6142216409132002</v>
      </c>
      <c r="CL114" s="23">
        <f>EXP(-LN(2)/25)*CL113+(1-EXP(-LN(2)/25))/(LN(2)/25)*Calculateur!CG114*Calculateur!CI114*VLOOKUP('Données projet'!$B$12,Paramètres!$A$1:$I$89,3,0)*0.475*44/12</f>
        <v>0.73181095433907539</v>
      </c>
      <c r="CM114" s="23">
        <f>EXP(-LN(2)/2)*CM113+(1-EXP(-LN(2)/2))/(LN(2)/2)*CG114*CJ114*VLOOKUP('Données projet'!$B$12,Paramètres!$A$1:$I$89,3,0)*0.475*44/12</f>
        <v>4.376900355301627E-12</v>
      </c>
      <c r="CN114" s="24">
        <f t="shared" si="66"/>
        <v>2.3460325952566525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-5.3205440053716299E-14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310.95287409903602</v>
      </c>
      <c r="CZ114" s="62">
        <f t="shared" si="96"/>
        <v>224.10083380795163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1.738044375088066E-13</v>
      </c>
      <c r="P115" s="14">
        <f t="shared" si="87"/>
        <v>2.4483293633950478E-12</v>
      </c>
      <c r="Q115" s="22">
        <f t="shared" si="107"/>
        <v>4.566883036574213E-12</v>
      </c>
      <c r="R115" s="62">
        <f t="shared" si="55"/>
        <v>293.33333333333786</v>
      </c>
      <c r="S115" s="62">
        <f ca="1">AVERAGE(OFFSET($R$3,0,0,'Données projet'!$E$9+1,1))-AVERAGE(OFFSET($H$3,0,0,'Données projet'!$E$9+1,1))</f>
        <v>253.73326067725128</v>
      </c>
      <c r="T115" s="62">
        <f t="shared" si="88"/>
        <v>317.76427047458026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0.9004313368634943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1.5832145286916022E-11</v>
      </c>
      <c r="AC115" s="24">
        <f t="shared" si="57"/>
        <v>0.90043133687932642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4.8</v>
      </c>
      <c r="AI115" s="14">
        <f>IF('Données projet'!$A$62&gt;35,AI114+AH115-AQ114,IF(A115&lt;'Données projet'!$A$62,$AF$205^A115,IF(A115='Données projet'!$A$62,'Données projet'!$B$62,AI114+AH115-AQ114)))</f>
        <v>316.59999999999991</v>
      </c>
      <c r="AJ115" s="14">
        <f>AI115*VLOOKUP('Données projet'!$B$10,Paramètres!$A$1:$I$89,3,0)*VLOOKUP('Données projet'!$B$10,Paramètres!$A$1:$I$89,5,0)</f>
        <v>330.91031999999996</v>
      </c>
      <c r="AK115" s="14">
        <f t="shared" si="89"/>
        <v>77.619009463714221</v>
      </c>
      <c r="AL115" s="22">
        <f t="shared" si="58"/>
        <v>711.52191548263556</v>
      </c>
      <c r="AM115" s="62">
        <f t="shared" si="59"/>
        <v>1004.8552488159689</v>
      </c>
      <c r="AN115" s="62">
        <f ca="1">AVERAGE(OFFSET($AM$3,0,0,'Données projet'!$E$10+1,1))-AVERAGE(OFFSET($H$3,0,0,'Données projet'!$E$10+1,1))</f>
        <v>406.17572122067492</v>
      </c>
      <c r="AO115" s="62">
        <f t="shared" si="90"/>
        <v>244.4332618279085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4.8</v>
      </c>
      <c r="BD115" s="13">
        <f>IF('Données projet'!$A$88&gt;35,BD114+BC115-BL114,IF(A115&lt;'Données projet'!$A$88,$BA$205^A115,IF(A115='Données projet'!$A$88,'Données projet'!$B$88,BD114+BC115-BL114)))</f>
        <v>316.59999999999991</v>
      </c>
      <c r="BE115" s="14">
        <f>BD115*VLOOKUP('Données projet'!$B$11,Paramètres!$A$1:$I$89,3,0)*VLOOKUP('Données projet'!$B$11,Paramètres!$A$1:$I$89,5,0)</f>
        <v>286.45967999999988</v>
      </c>
      <c r="BF115" s="14">
        <f t="shared" si="91"/>
        <v>68.330307577101138</v>
      </c>
      <c r="BG115" s="22">
        <f t="shared" si="61"/>
        <v>617.92589503011754</v>
      </c>
      <c r="BH115" s="62">
        <f t="shared" si="62"/>
        <v>911.2592283634508</v>
      </c>
      <c r="BI115" s="62">
        <f ca="1">AVERAGE(OFFSET($BH$3,0,0,'Données projet'!$E$11+1,1))-AVERAGE(OFFSET($H$3,0,0,'Données projet'!$E$11+1,1))</f>
        <v>344.49457749226184</v>
      </c>
      <c r="BJ115" s="62">
        <f t="shared" si="92"/>
        <v>207.92972431357452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287.69656598881124</v>
      </c>
      <c r="CE115" s="62">
        <f t="shared" si="94"/>
        <v>221.9773436301067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1.5825677391128743</v>
      </c>
      <c r="CL115" s="23">
        <f>EXP(-LN(2)/25)*CL114+(1-EXP(-LN(2)/25))/(LN(2)/25)*Calculateur!CG115*Calculateur!CI115*VLOOKUP('Données projet'!$B$12,Paramètres!$A$1:$I$89,3,0)*0.475*44/12</f>
        <v>0.71179954530840783</v>
      </c>
      <c r="CM115" s="23">
        <f>EXP(-LN(2)/2)*CM114+(1-EXP(-LN(2)/2))/(LN(2)/2)*CG115*CJ115*VLOOKUP('Données projet'!$B$12,Paramètres!$A$1:$I$89,3,0)*0.475*44/12</f>
        <v>3.0949359218115897E-12</v>
      </c>
      <c r="CN115" s="24">
        <f t="shared" si="66"/>
        <v>2.2943672844243772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-5.3205440053716299E-14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310.95287409903602</v>
      </c>
      <c r="CZ115" s="62">
        <f t="shared" si="96"/>
        <v>224.10083380795163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1.738044375088066E-13</v>
      </c>
      <c r="P116" s="14">
        <f t="shared" si="87"/>
        <v>2.4483293633950478E-12</v>
      </c>
      <c r="Q116" s="22">
        <f t="shared" si="107"/>
        <v>4.566883036574213E-12</v>
      </c>
      <c r="R116" s="62">
        <f t="shared" si="55"/>
        <v>293.33333333333786</v>
      </c>
      <c r="S116" s="62">
        <f ca="1">AVERAGE(OFFSET($R$3,0,0,'Données projet'!$E$9+1,1))-AVERAGE(OFFSET($H$3,0,0,'Données projet'!$E$9+1,1))</f>
        <v>253.73326067725128</v>
      </c>
      <c r="T116" s="62">
        <f t="shared" si="88"/>
        <v>317.76427047458026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0.88277442755648683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1.1195017293108957E-11</v>
      </c>
      <c r="AC116" s="24">
        <f t="shared" si="57"/>
        <v>0.88277442756768187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4.8</v>
      </c>
      <c r="AI116" s="14">
        <f>IF('Données projet'!$A$62&gt;35,AI115+AH116-AQ115,IF(A116&lt;'Données projet'!$A$62,$AF$205^A116,IF(A116='Données projet'!$A$62,'Données projet'!$B$62,AI115+AH116-AQ115)))</f>
        <v>321.39999999999992</v>
      </c>
      <c r="AJ116" s="14">
        <f>AI116*VLOOKUP('Données projet'!$B$10,Paramètres!$A$1:$I$89,3,0)*VLOOKUP('Données projet'!$B$10,Paramètres!$A$1:$I$89,5,0)</f>
        <v>335.92727999999994</v>
      </c>
      <c r="AK116" s="14">
        <f t="shared" si="89"/>
        <v>78.657907432442556</v>
      </c>
      <c r="AL116" s="22">
        <f t="shared" si="58"/>
        <v>722.06920144483729</v>
      </c>
      <c r="AM116" s="62">
        <f t="shared" si="59"/>
        <v>1015.4025347781705</v>
      </c>
      <c r="AN116" s="62">
        <f ca="1">AVERAGE(OFFSET($AM$3,0,0,'Données projet'!$E$10+1,1))-AVERAGE(OFFSET($H$3,0,0,'Données projet'!$E$10+1,1))</f>
        <v>406.17572122067492</v>
      </c>
      <c r="AO116" s="62">
        <f t="shared" si="90"/>
        <v>244.4332618279085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4.8</v>
      </c>
      <c r="BD116" s="13">
        <f>IF('Données projet'!$A$88&gt;35,BD115+BC116-BL115,IF(A116&lt;'Données projet'!$A$88,$BA$205^A116,IF(A116='Données projet'!$A$88,'Données projet'!$B$88,BD115+BC116-BL115)))</f>
        <v>321.39999999999992</v>
      </c>
      <c r="BE116" s="14">
        <f>BD116*VLOOKUP('Données projet'!$B$11,Paramètres!$A$1:$I$89,3,0)*VLOOKUP('Données projet'!$B$11,Paramètres!$A$1:$I$89,5,0)</f>
        <v>290.80271999999991</v>
      </c>
      <c r="BF116" s="14">
        <f t="shared" si="91"/>
        <v>69.244880157128961</v>
      </c>
      <c r="BG116" s="22">
        <f t="shared" si="61"/>
        <v>627.08290360699937</v>
      </c>
      <c r="BH116" s="62">
        <f t="shared" si="62"/>
        <v>920.41623694033274</v>
      </c>
      <c r="BI116" s="62">
        <f ca="1">AVERAGE(OFFSET($BH$3,0,0,'Données projet'!$E$11+1,1))-AVERAGE(OFFSET($H$3,0,0,'Données projet'!$E$11+1,1))</f>
        <v>344.49457749226184</v>
      </c>
      <c r="BJ116" s="62">
        <f t="shared" si="92"/>
        <v>207.92972431357452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287.69656598881124</v>
      </c>
      <c r="CE116" s="62">
        <f t="shared" si="94"/>
        <v>221.9773436301067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1.551534551019879</v>
      </c>
      <c r="CL116" s="23">
        <f>EXP(-LN(2)/25)*CL115+(1-EXP(-LN(2)/25))/(LN(2)/25)*Calculateur!CG116*Calculateur!CI116*VLOOKUP('Données projet'!$B$12,Paramètres!$A$1:$I$89,3,0)*0.475*44/12</f>
        <v>0.69233534931003815</v>
      </c>
      <c r="CM116" s="23">
        <f>EXP(-LN(2)/2)*CM115+(1-EXP(-LN(2)/2))/(LN(2)/2)*CG116*CJ116*VLOOKUP('Données projet'!$B$12,Paramètres!$A$1:$I$89,3,0)*0.475*44/12</f>
        <v>2.1884501776508135E-12</v>
      </c>
      <c r="CN116" s="24">
        <f t="shared" si="66"/>
        <v>2.2438699003321059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-5.3205440053716299E-14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310.95287409903602</v>
      </c>
      <c r="CZ116" s="62">
        <f t="shared" si="96"/>
        <v>224.10083380795163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1.738044375088066E-13</v>
      </c>
      <c r="P117" s="14">
        <f t="shared" si="87"/>
        <v>2.4483293633950478E-12</v>
      </c>
      <c r="Q117" s="22">
        <f t="shared" si="107"/>
        <v>4.566883036574213E-12</v>
      </c>
      <c r="R117" s="62">
        <f t="shared" si="55"/>
        <v>293.33333333333786</v>
      </c>
      <c r="S117" s="62">
        <f ca="1">AVERAGE(OFFSET($R$3,0,0,'Données projet'!$E$9+1,1))-AVERAGE(OFFSET($H$3,0,0,'Données projet'!$E$9+1,1))</f>
        <v>253.73326067725128</v>
      </c>
      <c r="T117" s="62">
        <f t="shared" si="88"/>
        <v>317.76427047458026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0.86546375947133847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7.9160726434580108E-12</v>
      </c>
      <c r="AC117" s="24">
        <f t="shared" si="57"/>
        <v>0.86546375947925458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4.8</v>
      </c>
      <c r="AI117" s="14">
        <f>IF('Données projet'!$A$62&gt;35,AI116+AH117-AQ116,IF(A117&lt;'Données projet'!$A$62,$AF$205^A117,IF(A117='Données projet'!$A$62,'Données projet'!$B$62,AI116+AH117-AQ116)))</f>
        <v>326.19999999999993</v>
      </c>
      <c r="AJ117" s="14">
        <f>AI117*VLOOKUP('Données projet'!$B$10,Paramètres!$A$1:$I$89,3,0)*VLOOKUP('Données projet'!$B$10,Paramètres!$A$1:$I$89,5,0)</f>
        <v>340.94423999999998</v>
      </c>
      <c r="AK117" s="14">
        <f t="shared" si="89"/>
        <v>79.695000884577368</v>
      </c>
      <c r="AL117" s="22">
        <f t="shared" si="58"/>
        <v>732.61334454063888</v>
      </c>
      <c r="AM117" s="62">
        <f t="shared" si="59"/>
        <v>1025.9466778739722</v>
      </c>
      <c r="AN117" s="62">
        <f ca="1">AVERAGE(OFFSET($AM$3,0,0,'Données projet'!$E$10+1,1))-AVERAGE(OFFSET($H$3,0,0,'Données projet'!$E$10+1,1))</f>
        <v>406.17572122067492</v>
      </c>
      <c r="AO117" s="62">
        <f t="shared" si="90"/>
        <v>244.4332618279085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4.8</v>
      </c>
      <c r="BD117" s="13">
        <f>IF('Données projet'!$A$88&gt;35,BD116+BC117-BL116,IF(A117&lt;'Données projet'!$A$88,$BA$205^A117,IF(A117='Données projet'!$A$88,'Données projet'!$B$88,BD116+BC117-BL116)))</f>
        <v>326.19999999999993</v>
      </c>
      <c r="BE117" s="14">
        <f>BD117*VLOOKUP('Données projet'!$B$11,Paramètres!$A$1:$I$89,3,0)*VLOOKUP('Données projet'!$B$11,Paramètres!$A$1:$I$89,5,0)</f>
        <v>295.14575999999994</v>
      </c>
      <c r="BF117" s="14">
        <f t="shared" si="91"/>
        <v>70.157864167878188</v>
      </c>
      <c r="BG117" s="22">
        <f t="shared" si="61"/>
        <v>636.237145425721</v>
      </c>
      <c r="BH117" s="62">
        <f t="shared" si="62"/>
        <v>929.57047875905437</v>
      </c>
      <c r="BI117" s="62">
        <f ca="1">AVERAGE(OFFSET($BH$3,0,0,'Données projet'!$E$11+1,1))-AVERAGE(OFFSET($H$3,0,0,'Données projet'!$E$11+1,1))</f>
        <v>344.49457749226184</v>
      </c>
      <c r="BJ117" s="62">
        <f t="shared" si="92"/>
        <v>207.92972431357452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287.69656598881124</v>
      </c>
      <c r="CE117" s="62">
        <f t="shared" si="94"/>
        <v>221.9773436301067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1.5211099048170118</v>
      </c>
      <c r="CL117" s="23">
        <f>EXP(-LN(2)/25)*CL116+(1-EXP(-LN(2)/25))/(LN(2)/25)*Calculateur!CG117*Calculateur!CI117*VLOOKUP('Données projet'!$B$12,Paramètres!$A$1:$I$89,3,0)*0.475*44/12</f>
        <v>0.67340340277482147</v>
      </c>
      <c r="CM117" s="23">
        <f>EXP(-LN(2)/2)*CM116+(1-EXP(-LN(2)/2))/(LN(2)/2)*CG117*CJ117*VLOOKUP('Données projet'!$B$12,Paramètres!$A$1:$I$89,3,0)*0.475*44/12</f>
        <v>1.5474679609057949E-12</v>
      </c>
      <c r="CN117" s="24">
        <f t="shared" si="66"/>
        <v>2.1945133075933811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-5.3205440053716299E-14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310.95287409903602</v>
      </c>
      <c r="CZ117" s="62">
        <f t="shared" si="96"/>
        <v>224.10083380795163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1.738044375088066E-13</v>
      </c>
      <c r="P118" s="14">
        <f t="shared" si="87"/>
        <v>2.4483293633950478E-12</v>
      </c>
      <c r="Q118" s="22">
        <f t="shared" si="107"/>
        <v>4.566883036574213E-12</v>
      </c>
      <c r="R118" s="62">
        <f t="shared" si="55"/>
        <v>293.33333333333786</v>
      </c>
      <c r="S118" s="62">
        <f ca="1">AVERAGE(OFFSET($R$3,0,0,'Données projet'!$E$9+1,1))-AVERAGE(OFFSET($H$3,0,0,'Données projet'!$E$9+1,1))</f>
        <v>253.73326067725128</v>
      </c>
      <c r="T118" s="62">
        <f t="shared" si="88"/>
        <v>317.76427047458026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0.84849254302887489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5.5975086465544786E-12</v>
      </c>
      <c r="AC118" s="24">
        <f t="shared" si="57"/>
        <v>0.84849254303447241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331</v>
      </c>
      <c r="AG118" s="13">
        <f>VLOOKUP(A118,'Données projet'!$A$61:$I$81,9,0)</f>
        <v>4.8</v>
      </c>
      <c r="AH118" s="13">
        <f t="array" ref="AH118">INDEX(AG:AG,MIN(IF(ISNUMBER(AG118:AG314),ROW(AG118:AG314),"")))</f>
        <v>4.8</v>
      </c>
      <c r="AI118" s="14">
        <f>IF('Données projet'!$A$62&gt;35,AI117+AH118-AQ117,IF(A118&lt;'Données projet'!$A$62,$AF$205^A118,IF(A118='Données projet'!$A$62,'Données projet'!$B$62,AI117+AH118-AQ117)))</f>
        <v>330.99999999999994</v>
      </c>
      <c r="AJ118" s="14">
        <f>AI118*VLOOKUP('Données projet'!$B$10,Paramètres!$A$1:$I$89,3,0)*VLOOKUP('Données projet'!$B$10,Paramètres!$A$1:$I$89,5,0)</f>
        <v>345.96119999999996</v>
      </c>
      <c r="AK118" s="14">
        <f t="shared" si="89"/>
        <v>80.730319440978604</v>
      </c>
      <c r="AL118" s="22">
        <f t="shared" si="58"/>
        <v>743.15439635970449</v>
      </c>
      <c r="AM118" s="62">
        <f t="shared" si="59"/>
        <v>1036.4877296930379</v>
      </c>
      <c r="AN118" s="62">
        <f ca="1">AVERAGE(OFFSET($AM$3,0,0,'Données projet'!$E$10+1,1))-AVERAGE(OFFSET($H$3,0,0,'Données projet'!$E$10+1,1))</f>
        <v>406.17572122067492</v>
      </c>
      <c r="AO118" s="62">
        <f t="shared" si="90"/>
        <v>244.4332618279085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331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331</v>
      </c>
      <c r="BB118" s="13">
        <f>VLOOKUP(A118,'Données projet'!$A$87:$I$107,9,0)</f>
        <v>4.8</v>
      </c>
      <c r="BC118" s="13">
        <f t="array" ref="BC118">INDEX(BB:BB,MIN(IF(ISNUMBER(BB118:BB314),ROW(BB118:BB314),"")))</f>
        <v>4.8</v>
      </c>
      <c r="BD118" s="13">
        <f>IF('Données projet'!$A$88&gt;35,BD117+BC118-BL117,IF(A118&lt;'Données projet'!$A$88,$BA$205^A118,IF(A118='Données projet'!$A$88,'Données projet'!$B$88,BD117+BC118-BL117)))</f>
        <v>330.99999999999994</v>
      </c>
      <c r="BE118" s="14">
        <f>BD118*VLOOKUP('Données projet'!$B$11,Paramètres!$A$1:$I$89,3,0)*VLOOKUP('Données projet'!$B$11,Paramètres!$A$1:$I$89,5,0)</f>
        <v>299.48879999999997</v>
      </c>
      <c r="BF118" s="14">
        <f t="shared" si="91"/>
        <v>71.069285685467293</v>
      </c>
      <c r="BG118" s="22">
        <f t="shared" si="61"/>
        <v>645.38866590218879</v>
      </c>
      <c r="BH118" s="62">
        <f t="shared" si="62"/>
        <v>938.72199923552216</v>
      </c>
      <c r="BI118" s="62">
        <f ca="1">AVERAGE(OFFSET($BH$3,0,0,'Données projet'!$E$11+1,1))-AVERAGE(OFFSET($H$3,0,0,'Données projet'!$E$11+1,1))</f>
        <v>344.49457749226184</v>
      </c>
      <c r="BJ118" s="62">
        <f t="shared" si="92"/>
        <v>207.92972431357452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331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287.69656598881124</v>
      </c>
      <c r="CE118" s="62">
        <f t="shared" si="94"/>
        <v>221.9773436301067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1.4912818673689809</v>
      </c>
      <c r="CL118" s="23">
        <f>EXP(-LN(2)/25)*CL117+(1-EXP(-LN(2)/25))/(LN(2)/25)*Calculateur!CG118*Calculateur!CI118*VLOOKUP('Données projet'!$B$12,Paramètres!$A$1:$I$89,3,0)*0.475*44/12</f>
        <v>0.65498915131319813</v>
      </c>
      <c r="CM118" s="23">
        <f>EXP(-LN(2)/2)*CM117+(1-EXP(-LN(2)/2))/(LN(2)/2)*CG118*CJ118*VLOOKUP('Données projet'!$B$12,Paramètres!$A$1:$I$89,3,0)*0.475*44/12</f>
        <v>1.0942250888254067E-12</v>
      </c>
      <c r="CN118" s="24">
        <f t="shared" si="66"/>
        <v>2.1462710186832732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-5.3205440053716299E-14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310.95287409903602</v>
      </c>
      <c r="CZ118" s="62">
        <f t="shared" si="96"/>
        <v>224.10083380795163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1.738044375088066E-13</v>
      </c>
      <c r="P119" s="14">
        <f t="shared" si="87"/>
        <v>2.4483293633950478E-12</v>
      </c>
      <c r="Q119" s="22">
        <f t="shared" si="107"/>
        <v>4.566883036574213E-12</v>
      </c>
      <c r="R119" s="62">
        <f t="shared" si="55"/>
        <v>293.33333333333786</v>
      </c>
      <c r="S119" s="62">
        <f ca="1">AVERAGE(OFFSET($R$3,0,0,'Données projet'!$E$9+1,1))-AVERAGE(OFFSET($H$3,0,0,'Données projet'!$E$9+1,1))</f>
        <v>253.73326067725128</v>
      </c>
      <c r="T119" s="62">
        <f t="shared" si="88"/>
        <v>317.76427047458026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0.83185412178942808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3.9580363217290054E-12</v>
      </c>
      <c r="AC119" s="24">
        <f t="shared" si="57"/>
        <v>0.83185412179338614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-5.9412741393316544E-14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406.17572122067492</v>
      </c>
      <c r="AO119" s="62">
        <f t="shared" si="90"/>
        <v>244.4332618279085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-5.1431925385259088E-14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344.49457749226184</v>
      </c>
      <c r="BJ119" s="62">
        <f t="shared" si="92"/>
        <v>207.92972431357452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287.69656598881124</v>
      </c>
      <c r="CE119" s="62">
        <f t="shared" si="94"/>
        <v>221.9773436301067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1.4620387395419996</v>
      </c>
      <c r="CL119" s="23">
        <f>EXP(-LN(2)/25)*CL118+(1-EXP(-LN(2)/25))/(LN(2)/25)*Calculateur!CG119*Calculateur!CI119*VLOOKUP('Données projet'!$B$12,Paramètres!$A$1:$I$89,3,0)*0.475*44/12</f>
        <v>0.6370784385261562</v>
      </c>
      <c r="CM119" s="23">
        <f>EXP(-LN(2)/2)*CM118+(1-EXP(-LN(2)/2))/(LN(2)/2)*CG119*CJ119*VLOOKUP('Données projet'!$B$12,Paramètres!$A$1:$I$89,3,0)*0.475*44/12</f>
        <v>7.7373398045289743E-13</v>
      </c>
      <c r="CN119" s="24">
        <f t="shared" si="66"/>
        <v>2.0991171780689295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-5.3205440053716299E-14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310.95287409903602</v>
      </c>
      <c r="CZ119" s="62">
        <f t="shared" si="96"/>
        <v>224.10083380795163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1.738044375088066E-13</v>
      </c>
      <c r="P120" s="14">
        <f t="shared" si="87"/>
        <v>2.4483293633950478E-12</v>
      </c>
      <c r="Q120" s="22">
        <f t="shared" si="107"/>
        <v>4.566883036574213E-12</v>
      </c>
      <c r="R120" s="62">
        <f t="shared" si="55"/>
        <v>293.33333333333786</v>
      </c>
      <c r="S120" s="62">
        <f ca="1">AVERAGE(OFFSET($R$3,0,0,'Données projet'!$E$9+1,1))-AVERAGE(OFFSET($H$3,0,0,'Données projet'!$E$9+1,1))</f>
        <v>253.73326067725128</v>
      </c>
      <c r="T120" s="62">
        <f t="shared" si="88"/>
        <v>317.76427047458026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0.81554196984205196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2.7987543232772393E-12</v>
      </c>
      <c r="AC120" s="24">
        <f t="shared" si="57"/>
        <v>0.81554196984485072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-5.9412741393316544E-14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406.17572122067492</v>
      </c>
      <c r="AO120" s="62">
        <f t="shared" si="90"/>
        <v>244.4332618279085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-5.1431925385259088E-14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344.49457749226184</v>
      </c>
      <c r="BJ120" s="62">
        <f t="shared" si="92"/>
        <v>207.92972431357452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287.69656598881124</v>
      </c>
      <c r="CE120" s="62">
        <f t="shared" si="94"/>
        <v>221.9773436301067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1.4333690516151585</v>
      </c>
      <c r="CL120" s="23">
        <f>EXP(-LN(2)/25)*CL119+(1-EXP(-LN(2)/25))/(LN(2)/25)*Calculateur!CG120*Calculateur!CI120*VLOOKUP('Données projet'!$B$12,Paramètres!$A$1:$I$89,3,0)*0.475*44/12</f>
        <v>0.6196574951221594</v>
      </c>
      <c r="CM120" s="23">
        <f>EXP(-LN(2)/2)*CM119+(1-EXP(-LN(2)/2))/(LN(2)/2)*CG120*CJ120*VLOOKUP('Données projet'!$B$12,Paramètres!$A$1:$I$89,3,0)*0.475*44/12</f>
        <v>5.4711254441270337E-13</v>
      </c>
      <c r="CN120" s="24">
        <f t="shared" si="66"/>
        <v>2.0530265467378648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-5.3205440053716299E-14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310.95287409903602</v>
      </c>
      <c r="CZ120" s="62">
        <f t="shared" si="96"/>
        <v>224.10083380795163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1.738044375088066E-13</v>
      </c>
      <c r="P121" s="14">
        <f t="shared" si="87"/>
        <v>2.4483293633950478E-12</v>
      </c>
      <c r="Q121" s="22">
        <f t="shared" si="107"/>
        <v>4.566883036574213E-12</v>
      </c>
      <c r="R121" s="62">
        <f t="shared" si="55"/>
        <v>293.33333333333786</v>
      </c>
      <c r="S121" s="62">
        <f ca="1">AVERAGE(OFFSET($R$3,0,0,'Données projet'!$E$9+1,1))-AVERAGE(OFFSET($H$3,0,0,'Données projet'!$E$9+1,1))</f>
        <v>253.73326067725128</v>
      </c>
      <c r="T121" s="62">
        <f t="shared" si="88"/>
        <v>317.76427047458026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0.79954968924493364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1.9790181608645027E-12</v>
      </c>
      <c r="AC121" s="24">
        <f t="shared" si="57"/>
        <v>0.79954968924691261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-5.9412741393316544E-14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406.17572122067492</v>
      </c>
      <c r="AO121" s="62">
        <f t="shared" si="90"/>
        <v>244.4332618279085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-5.1431925385259088E-14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344.49457749226184</v>
      </c>
      <c r="BJ121" s="62">
        <f t="shared" si="92"/>
        <v>207.92972431357452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287.69656598881124</v>
      </c>
      <c r="CE121" s="62">
        <f t="shared" si="94"/>
        <v>221.9773436301067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1.4052615587817798</v>
      </c>
      <c r="CL121" s="23">
        <f>EXP(-LN(2)/25)*CL120+(1-EXP(-LN(2)/25))/(LN(2)/25)*Calculateur!CG121*Calculateur!CI121*VLOOKUP('Données projet'!$B$12,Paramètres!$A$1:$I$89,3,0)*0.475*44/12</f>
        <v>0.60271292833167256</v>
      </c>
      <c r="CM121" s="23">
        <f>EXP(-LN(2)/2)*CM120+(1-EXP(-LN(2)/2))/(LN(2)/2)*CG121*CJ121*VLOOKUP('Données projet'!$B$12,Paramètres!$A$1:$I$89,3,0)*0.475*44/12</f>
        <v>3.8686699022644872E-13</v>
      </c>
      <c r="CN121" s="24">
        <f t="shared" si="66"/>
        <v>2.0079744871138394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-5.3205440053716299E-14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310.95287409903602</v>
      </c>
      <c r="CZ121" s="62">
        <f t="shared" si="96"/>
        <v>224.10083380795163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1.738044375088066E-13</v>
      </c>
      <c r="P122" s="14">
        <f t="shared" si="87"/>
        <v>2.4483293633950478E-12</v>
      </c>
      <c r="Q122" s="22">
        <f t="shared" si="107"/>
        <v>4.566883036574213E-12</v>
      </c>
      <c r="R122" s="62">
        <f t="shared" si="55"/>
        <v>293.33333333333786</v>
      </c>
      <c r="S122" s="62">
        <f ca="1">AVERAGE(OFFSET($R$3,0,0,'Données projet'!$E$9+1,1))-AVERAGE(OFFSET($H$3,0,0,'Données projet'!$E$9+1,1))</f>
        <v>253.73326067725128</v>
      </c>
      <c r="T122" s="62">
        <f t="shared" si="88"/>
        <v>317.76427047458026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0.78387100751599681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1.3993771616386196E-12</v>
      </c>
      <c r="AC122" s="24">
        <f t="shared" si="57"/>
        <v>0.78387100751739613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-5.9412741393316544E-14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406.17572122067492</v>
      </c>
      <c r="AO122" s="62">
        <f t="shared" si="90"/>
        <v>244.4332618279085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-5.1431925385259088E-14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344.49457749226184</v>
      </c>
      <c r="BJ122" s="62">
        <f t="shared" si="92"/>
        <v>207.92972431357452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287.69656598881124</v>
      </c>
      <c r="CE122" s="62">
        <f t="shared" si="94"/>
        <v>221.9773436301067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1.3777052367389859</v>
      </c>
      <c r="CL122" s="23">
        <f>EXP(-LN(2)/25)*CL121+(1-EXP(-LN(2)/25))/(LN(2)/25)*Calculateur!CG122*Calculateur!CI122*VLOOKUP('Données projet'!$B$12,Paramètres!$A$1:$I$89,3,0)*0.475*44/12</f>
        <v>0.58623171161114762</v>
      </c>
      <c r="CM122" s="23">
        <f>EXP(-LN(2)/2)*CM121+(1-EXP(-LN(2)/2))/(LN(2)/2)*CG122*CJ122*VLOOKUP('Données projet'!$B$12,Paramètres!$A$1:$I$89,3,0)*0.475*44/12</f>
        <v>2.7355627220635169E-13</v>
      </c>
      <c r="CN122" s="24">
        <f t="shared" si="66"/>
        <v>1.963936948350407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-5.3205440053716299E-14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310.95287409903602</v>
      </c>
      <c r="CZ122" s="62">
        <f t="shared" si="96"/>
        <v>224.10083380795163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1.738044375088066E-13</v>
      </c>
      <c r="P123" s="14">
        <f t="shared" si="87"/>
        <v>2.4483293633950478E-12</v>
      </c>
      <c r="Q123" s="22">
        <f t="shared" si="107"/>
        <v>4.566883036574213E-12</v>
      </c>
      <c r="R123" s="62">
        <f t="shared" si="55"/>
        <v>293.33333333333786</v>
      </c>
      <c r="S123" s="62">
        <f ca="1">AVERAGE(OFFSET($R$3,0,0,'Données projet'!$E$9+1,1))-AVERAGE(OFFSET($H$3,0,0,'Données projet'!$E$9+1,1))</f>
        <v>253.73326067725128</v>
      </c>
      <c r="T123" s="62">
        <f t="shared" si="88"/>
        <v>317.76427047458026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0.76849977517271284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9.8950908043225135E-13</v>
      </c>
      <c r="AC123" s="24">
        <f t="shared" si="57"/>
        <v>0.76849977517370238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-5.9412741393316544E-14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406.17572122067492</v>
      </c>
      <c r="AO123" s="62">
        <f t="shared" si="90"/>
        <v>244.4332618279085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-5.1431925385259088E-14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344.49457749226184</v>
      </c>
      <c r="BJ123" s="62">
        <f t="shared" si="92"/>
        <v>207.92972431357452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287.69656598881124</v>
      </c>
      <c r="CE123" s="62">
        <f t="shared" si="94"/>
        <v>221.9773436301067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1.3506892773637544</v>
      </c>
      <c r="CL123" s="23">
        <f>EXP(-LN(2)/25)*CL122+(1-EXP(-LN(2)/25))/(LN(2)/25)*Calculateur!CG123*Calculateur!CI123*VLOOKUP('Données projet'!$B$12,Paramètres!$A$1:$I$89,3,0)*0.475*44/12</f>
        <v>0.57020117462855491</v>
      </c>
      <c r="CM123" s="23">
        <f>EXP(-LN(2)/2)*CM122+(1-EXP(-LN(2)/2))/(LN(2)/2)*CG123*CJ123*VLOOKUP('Données projet'!$B$12,Paramètres!$A$1:$I$89,3,0)*0.475*44/12</f>
        <v>1.9343349511322436E-13</v>
      </c>
      <c r="CN123" s="24">
        <f t="shared" si="66"/>
        <v>1.9208904519925027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-5.3205440053716299E-14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310.95287409903602</v>
      </c>
      <c r="CZ123" s="62">
        <f t="shared" si="96"/>
        <v>224.10083380795163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1.738044375088066E-13</v>
      </c>
      <c r="P124" s="14">
        <f t="shared" si="87"/>
        <v>2.4483293633950478E-12</v>
      </c>
      <c r="Q124" s="22">
        <f t="shared" si="107"/>
        <v>4.566883036574213E-12</v>
      </c>
      <c r="R124" s="62">
        <f t="shared" si="55"/>
        <v>293.33333333333786</v>
      </c>
      <c r="S124" s="62">
        <f ca="1">AVERAGE(OFFSET($R$3,0,0,'Données projet'!$E$9+1,1))-AVERAGE(OFFSET($H$3,0,0,'Données projet'!$E$9+1,1))</f>
        <v>253.73326067725128</v>
      </c>
      <c r="T124" s="62">
        <f t="shared" si="88"/>
        <v>317.76427047458026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0.75342996332015466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6.9968858081930982E-13</v>
      </c>
      <c r="AC124" s="24">
        <f t="shared" si="57"/>
        <v>0.75342996332085432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-5.9412741393316544E-14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406.17572122067492</v>
      </c>
      <c r="AO124" s="62">
        <f t="shared" si="90"/>
        <v>244.4332618279085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-5.1431925385259088E-14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344.49457749226184</v>
      </c>
      <c r="BJ124" s="62">
        <f t="shared" si="92"/>
        <v>207.92972431357452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287.69656598881124</v>
      </c>
      <c r="CE124" s="62">
        <f t="shared" si="94"/>
        <v>221.9773436301067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1.3242030844737631</v>
      </c>
      <c r="CL124" s="23">
        <f>EXP(-LN(2)/25)*CL123+(1-EXP(-LN(2)/25))/(LN(2)/25)*Calculateur!CG124*Calculateur!CI124*VLOOKUP('Données projet'!$B$12,Paramètres!$A$1:$I$89,3,0)*0.475*44/12</f>
        <v>0.5546089935227605</v>
      </c>
      <c r="CM124" s="23">
        <f>EXP(-LN(2)/2)*CM123+(1-EXP(-LN(2)/2))/(LN(2)/2)*CG124*CJ124*VLOOKUP('Données projet'!$B$12,Paramètres!$A$1:$I$89,3,0)*0.475*44/12</f>
        <v>1.3677813610317584E-13</v>
      </c>
      <c r="CN124" s="24">
        <f t="shared" si="66"/>
        <v>1.8788120779966604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-5.3205440053716299E-14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310.95287409903602</v>
      </c>
      <c r="CZ124" s="62">
        <f t="shared" si="96"/>
        <v>224.10083380795163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1.738044375088066E-13</v>
      </c>
      <c r="P125" s="14">
        <f t="shared" si="87"/>
        <v>2.4483293633950478E-12</v>
      </c>
      <c r="Q125" s="22">
        <f t="shared" si="107"/>
        <v>4.566883036574213E-12</v>
      </c>
      <c r="R125" s="62">
        <f t="shared" si="55"/>
        <v>293.33333333333786</v>
      </c>
      <c r="S125" s="62">
        <f ca="1">AVERAGE(OFFSET($R$3,0,0,'Données projet'!$E$9+1,1))-AVERAGE(OFFSET($H$3,0,0,'Données projet'!$E$9+1,1))</f>
        <v>253.73326067725128</v>
      </c>
      <c r="T125" s="62">
        <f t="shared" si="88"/>
        <v>317.76427047458026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0.73865566128634752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4.9475454021612568E-13</v>
      </c>
      <c r="AC125" s="24">
        <f t="shared" si="57"/>
        <v>0.73865566128684224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-5.9412741393316544E-14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406.17572122067492</v>
      </c>
      <c r="AO125" s="62">
        <f t="shared" si="90"/>
        <v>244.4332618279085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-5.1431925385259088E-14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344.49457749226184</v>
      </c>
      <c r="BJ125" s="62">
        <f t="shared" si="92"/>
        <v>207.92972431357452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287.69656598881124</v>
      </c>
      <c r="CE125" s="62">
        <f t="shared" si="94"/>
        <v>221.9773436301067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1.2982362696713621</v>
      </c>
      <c r="CL125" s="23">
        <f>EXP(-LN(2)/25)*CL124+(1-EXP(-LN(2)/25))/(LN(2)/25)*Calculateur!CG125*Calculateur!CI125*VLOOKUP('Données projet'!$B$12,Paramètres!$A$1:$I$89,3,0)*0.475*44/12</f>
        <v>0.53944318142926118</v>
      </c>
      <c r="CM125" s="23">
        <f>EXP(-LN(2)/2)*CM124+(1-EXP(-LN(2)/2))/(LN(2)/2)*CG125*CJ125*VLOOKUP('Données projet'!$B$12,Paramètres!$A$1:$I$89,3,0)*0.475*44/12</f>
        <v>9.6716747556612179E-14</v>
      </c>
      <c r="CN125" s="24">
        <f t="shared" si="66"/>
        <v>1.83767945110072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-5.3205440053716299E-14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310.95287409903602</v>
      </c>
      <c r="CZ125" s="62">
        <f t="shared" si="96"/>
        <v>224.10083380795163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1.738044375088066E-13</v>
      </c>
      <c r="P126" s="14">
        <f t="shared" si="87"/>
        <v>2.4483293633950478E-12</v>
      </c>
      <c r="Q126" s="22">
        <f t="shared" si="107"/>
        <v>4.566883036574213E-12</v>
      </c>
      <c r="R126" s="62">
        <f t="shared" si="55"/>
        <v>293.33333333333786</v>
      </c>
      <c r="S126" s="62">
        <f ca="1">AVERAGE(OFFSET($R$3,0,0,'Données projet'!$E$9+1,1))-AVERAGE(OFFSET($H$3,0,0,'Données projet'!$E$9+1,1))</f>
        <v>253.73326067725128</v>
      </c>
      <c r="T126" s="62">
        <f t="shared" si="88"/>
        <v>317.76427047458026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0.72417107430398897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3.4984429040965491E-13</v>
      </c>
      <c r="AC126" s="24">
        <f t="shared" si="57"/>
        <v>0.7241710743043388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-5.9412741393316544E-14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406.17572122067492</v>
      </c>
      <c r="AO126" s="62">
        <f t="shared" si="90"/>
        <v>244.4332618279085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-5.1431925385259088E-14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344.49457749226184</v>
      </c>
      <c r="BJ126" s="62">
        <f t="shared" si="92"/>
        <v>207.92972431357452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287.69656598881124</v>
      </c>
      <c r="CE126" s="62">
        <f t="shared" si="94"/>
        <v>221.9773436301067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1.2727786482690429</v>
      </c>
      <c r="CL126" s="23">
        <f>EXP(-LN(2)/25)*CL125+(1-EXP(-LN(2)/25))/(LN(2)/25)*Calculateur!CG126*Calculateur!CI126*VLOOKUP('Données projet'!$B$12,Paramètres!$A$1:$I$89,3,0)*0.475*44/12</f>
        <v>0.52469207926499406</v>
      </c>
      <c r="CM126" s="23">
        <f>EXP(-LN(2)/2)*CM125+(1-EXP(-LN(2)/2))/(LN(2)/2)*CG126*CJ126*VLOOKUP('Données projet'!$B$12,Paramètres!$A$1:$I$89,3,0)*0.475*44/12</f>
        <v>6.8389068051587922E-14</v>
      </c>
      <c r="CN126" s="24">
        <f t="shared" si="66"/>
        <v>1.7974707275341053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-5.3205440053716299E-14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310.95287409903602</v>
      </c>
      <c r="CZ126" s="62">
        <f t="shared" si="96"/>
        <v>224.10083380795163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1.738044375088066E-13</v>
      </c>
      <c r="P127" s="14">
        <f t="shared" si="87"/>
        <v>2.4483293633950478E-12</v>
      </c>
      <c r="Q127" s="22">
        <f t="shared" si="107"/>
        <v>4.566883036574213E-12</v>
      </c>
      <c r="R127" s="62">
        <f t="shared" si="55"/>
        <v>293.33333333333786</v>
      </c>
      <c r="S127" s="62">
        <f ca="1">AVERAGE(OFFSET($R$3,0,0,'Données projet'!$E$9+1,1))-AVERAGE(OFFSET($H$3,0,0,'Données projet'!$E$9+1,1))</f>
        <v>253.73326067725128</v>
      </c>
      <c r="T127" s="62">
        <f t="shared" si="88"/>
        <v>317.76427047458026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0.70997052123762872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2.4737727010806284E-13</v>
      </c>
      <c r="AC127" s="24">
        <f t="shared" si="57"/>
        <v>0.70997052123787607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-5.9412741393316544E-14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406.17572122067492</v>
      </c>
      <c r="AO127" s="62">
        <f t="shared" si="90"/>
        <v>244.4332618279085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-5.1431925385259088E-14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344.49457749226184</v>
      </c>
      <c r="BJ127" s="62">
        <f t="shared" si="92"/>
        <v>207.92972431357452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287.69656598881124</v>
      </c>
      <c r="CE127" s="62">
        <f t="shared" si="94"/>
        <v>221.9773436301067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1.2478202352948073</v>
      </c>
      <c r="CL127" s="23">
        <f>EXP(-LN(2)/25)*CL126+(1-EXP(-LN(2)/25))/(LN(2)/25)*Calculateur!CG127*Calculateur!CI127*VLOOKUP('Données projet'!$B$12,Paramètres!$A$1:$I$89,3,0)*0.475*44/12</f>
        <v>0.51034434676513551</v>
      </c>
      <c r="CM127" s="23">
        <f>EXP(-LN(2)/2)*CM126+(1-EXP(-LN(2)/2))/(LN(2)/2)*CG127*CJ127*VLOOKUP('Données projet'!$B$12,Paramètres!$A$1:$I$89,3,0)*0.475*44/12</f>
        <v>4.8358373778306089E-14</v>
      </c>
      <c r="CN127" s="24">
        <f t="shared" si="66"/>
        <v>1.7581645820599912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-5.3205440053716299E-14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310.95287409903602</v>
      </c>
      <c r="CZ127" s="62">
        <f t="shared" si="96"/>
        <v>224.10083380795163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1.738044375088066E-13</v>
      </c>
      <c r="P128" s="14">
        <f t="shared" si="87"/>
        <v>2.4483293633950478E-12</v>
      </c>
      <c r="Q128" s="22">
        <f t="shared" si="107"/>
        <v>4.566883036574213E-12</v>
      </c>
      <c r="R128" s="62">
        <f t="shared" si="55"/>
        <v>293.33333333333786</v>
      </c>
      <c r="S128" s="62">
        <f ca="1">AVERAGE(OFFSET($R$3,0,0,'Données projet'!$E$9+1,1))-AVERAGE(OFFSET($H$3,0,0,'Données projet'!$E$9+1,1))</f>
        <v>253.73326067725128</v>
      </c>
      <c r="T128" s="62">
        <f t="shared" si="88"/>
        <v>317.76427047458026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0.69604843235541769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1.7492214520482746E-13</v>
      </c>
      <c r="AC128" s="24">
        <f t="shared" si="57"/>
        <v>0.69604843235559266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-5.9412741393316544E-14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406.17572122067492</v>
      </c>
      <c r="AO128" s="62">
        <f t="shared" si="90"/>
        <v>244.4332618279085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-5.1431925385259088E-14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344.49457749226184</v>
      </c>
      <c r="BJ128" s="62">
        <f t="shared" si="92"/>
        <v>207.92972431357452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287.69656598881124</v>
      </c>
      <c r="CE128" s="62">
        <f t="shared" si="94"/>
        <v>221.9773436301067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1.2233512415758678</v>
      </c>
      <c r="CL128" s="23">
        <f>EXP(-LN(2)/25)*CL127+(1-EXP(-LN(2)/25))/(LN(2)/25)*Calculateur!CG128*Calculateur!CI128*VLOOKUP('Données projet'!$B$12,Paramètres!$A$1:$I$89,3,0)*0.475*44/12</f>
        <v>0.49638895376500008</v>
      </c>
      <c r="CM128" s="23">
        <f>EXP(-LN(2)/2)*CM127+(1-EXP(-LN(2)/2))/(LN(2)/2)*CG128*CJ128*VLOOKUP('Données projet'!$B$12,Paramètres!$A$1:$I$89,3,0)*0.475*44/12</f>
        <v>3.4194534025793961E-14</v>
      </c>
      <c r="CN128" s="24">
        <f t="shared" si="66"/>
        <v>1.7197401953409022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-5.3205440053716299E-14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310.95287409903602</v>
      </c>
      <c r="CZ128" s="62">
        <f t="shared" si="96"/>
        <v>224.10083380795163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1.738044375088066E-13</v>
      </c>
      <c r="P129" s="14">
        <f t="shared" si="87"/>
        <v>2.4483293633950478E-12</v>
      </c>
      <c r="Q129" s="22">
        <f t="shared" si="107"/>
        <v>4.566883036574213E-12</v>
      </c>
      <c r="R129" s="62">
        <f t="shared" si="55"/>
        <v>293.33333333333786</v>
      </c>
      <c r="S129" s="62">
        <f ca="1">AVERAGE(OFFSET($R$3,0,0,'Données projet'!$E$9+1,1))-AVERAGE(OFFSET($H$3,0,0,'Données projet'!$E$9+1,1))</f>
        <v>253.73326067725128</v>
      </c>
      <c r="T129" s="62">
        <f t="shared" si="88"/>
        <v>317.76427047458026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0.68239934714455108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1.2368863505403142E-13</v>
      </c>
      <c r="AC129" s="24">
        <f t="shared" si="57"/>
        <v>0.68239934714467476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-5.9412741393316544E-14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406.17572122067492</v>
      </c>
      <c r="AO129" s="62">
        <f t="shared" si="90"/>
        <v>244.4332618279085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-5.1431925385259088E-14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344.49457749226184</v>
      </c>
      <c r="BJ129" s="62">
        <f t="shared" si="92"/>
        <v>207.92972431357452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287.69656598881124</v>
      </c>
      <c r="CE129" s="62">
        <f t="shared" si="94"/>
        <v>221.9773436301067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1.1993620698991443</v>
      </c>
      <c r="CL129" s="23">
        <f>EXP(-LN(2)/25)*CL128+(1-EXP(-LN(2)/25))/(LN(2)/25)*Calculateur!CG129*Calculateur!CI129*VLOOKUP('Données projet'!$B$12,Paramètres!$A$1:$I$89,3,0)*0.475*44/12</f>
        <v>0.48281517172033561</v>
      </c>
      <c r="CM129" s="23">
        <f>EXP(-LN(2)/2)*CM128+(1-EXP(-LN(2)/2))/(LN(2)/2)*CG129*CJ129*VLOOKUP('Données projet'!$B$12,Paramètres!$A$1:$I$89,3,0)*0.475*44/12</f>
        <v>2.4179186889153045E-14</v>
      </c>
      <c r="CN129" s="24">
        <f t="shared" si="66"/>
        <v>1.682177241619504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-5.3205440053716299E-14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310.95287409903602</v>
      </c>
      <c r="CZ129" s="62">
        <f t="shared" si="96"/>
        <v>224.10083380795163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1.738044375088066E-13</v>
      </c>
      <c r="P130" s="14">
        <f t="shared" si="87"/>
        <v>2.4483293633950478E-12</v>
      </c>
      <c r="Q130" s="22">
        <f t="shared" si="107"/>
        <v>4.566883036574213E-12</v>
      </c>
      <c r="R130" s="62">
        <f t="shared" si="55"/>
        <v>293.33333333333786</v>
      </c>
      <c r="S130" s="62">
        <f ca="1">AVERAGE(OFFSET($R$3,0,0,'Données projet'!$E$9+1,1))-AVERAGE(OFFSET($H$3,0,0,'Données projet'!$E$9+1,1))</f>
        <v>253.73326067725128</v>
      </c>
      <c r="T130" s="62">
        <f t="shared" si="88"/>
        <v>317.76427047458026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0.66901791216954964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8.7461072602413728E-14</v>
      </c>
      <c r="AC130" s="24">
        <f t="shared" si="57"/>
        <v>0.66901791216963713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-5.9412741393316544E-14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406.17572122067492</v>
      </c>
      <c r="AO130" s="62">
        <f t="shared" si="90"/>
        <v>244.4332618279085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-5.1431925385259088E-14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344.49457749226184</v>
      </c>
      <c r="BJ130" s="62">
        <f t="shared" si="92"/>
        <v>207.92972431357452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287.69656598881124</v>
      </c>
      <c r="CE130" s="62">
        <f t="shared" si="94"/>
        <v>221.9773436301067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1.1758433112470512</v>
      </c>
      <c r="CL130" s="23">
        <f>EXP(-LN(2)/25)*CL129+(1-EXP(-LN(2)/25))/(LN(2)/25)*Calculateur!CG130*Calculateur!CI130*VLOOKUP('Données projet'!$B$12,Paramètres!$A$1:$I$89,3,0)*0.475*44/12</f>
        <v>0.46961256545949664</v>
      </c>
      <c r="CM130" s="23">
        <f>EXP(-LN(2)/2)*CM129+(1-EXP(-LN(2)/2))/(LN(2)/2)*CG130*CJ130*VLOOKUP('Données projet'!$B$12,Paramètres!$A$1:$I$89,3,0)*0.475*44/12</f>
        <v>1.709726701289698E-14</v>
      </c>
      <c r="CN130" s="24">
        <f t="shared" si="66"/>
        <v>1.645455876706565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-5.3205440053716299E-14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310.95287409903602</v>
      </c>
      <c r="CZ130" s="62">
        <f t="shared" si="96"/>
        <v>224.10083380795163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1.738044375088066E-13</v>
      </c>
      <c r="P131" s="14">
        <f t="shared" si="87"/>
        <v>2.4483293633950478E-12</v>
      </c>
      <c r="Q131" s="22">
        <f t="shared" ref="Q131:Q153" si="108">(O131+P131)*0.475*44/12</f>
        <v>4.566883036574213E-12</v>
      </c>
      <c r="R131" s="62">
        <f t="shared" ref="R131:R194" si="109">Q131+(I131+J131)*44/12</f>
        <v>293.33333333333786</v>
      </c>
      <c r="S131" s="62">
        <f ca="1">AVERAGE(OFFSET($R$3,0,0,'Données projet'!$E$9+1,1))-AVERAGE(OFFSET($H$3,0,0,'Données projet'!$E$9+1,1))</f>
        <v>253.73326067725128</v>
      </c>
      <c r="T131" s="62">
        <f t="shared" si="88"/>
        <v>317.76427047458026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0.65589887897253851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6.184431752701571E-14</v>
      </c>
      <c r="AC131" s="24">
        <f t="shared" si="57"/>
        <v>0.65589887897260035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-5.9412741393316544E-14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406.17572122067492</v>
      </c>
      <c r="AO131" s="62">
        <f t="shared" si="90"/>
        <v>244.4332618279085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-5.1431925385259088E-14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344.49457749226184</v>
      </c>
      <c r="BJ131" s="62">
        <f t="shared" si="92"/>
        <v>207.92972431357452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287.69656598881124</v>
      </c>
      <c r="CE131" s="62">
        <f t="shared" si="94"/>
        <v>221.9773436301067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1.1527857411070994</v>
      </c>
      <c r="CL131" s="23">
        <f>EXP(-LN(2)/25)*CL130+(1-EXP(-LN(2)/25))/(LN(2)/25)*Calculateur!CG131*Calculateur!CI131*VLOOKUP('Données projet'!$B$12,Paramètres!$A$1:$I$89,3,0)*0.475*44/12</f>
        <v>0.45677098516115522</v>
      </c>
      <c r="CM131" s="23">
        <f>EXP(-LN(2)/2)*CM130+(1-EXP(-LN(2)/2))/(LN(2)/2)*CG131*CJ131*VLOOKUP('Données projet'!$B$12,Paramètres!$A$1:$I$89,3,0)*0.475*44/12</f>
        <v>1.2089593444576522E-14</v>
      </c>
      <c r="CN131" s="24">
        <f t="shared" si="66"/>
        <v>1.6095567262682666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-5.3205440053716299E-14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310.95287409903602</v>
      </c>
      <c r="CZ131" s="62">
        <f t="shared" si="96"/>
        <v>224.10083380795163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1.738044375088066E-13</v>
      </c>
      <c r="P132" s="14">
        <f t="shared" si="87"/>
        <v>2.4483293633950478E-12</v>
      </c>
      <c r="Q132" s="22">
        <f t="shared" si="108"/>
        <v>4.566883036574213E-12</v>
      </c>
      <c r="R132" s="62">
        <f t="shared" si="109"/>
        <v>293.33333333333786</v>
      </c>
      <c r="S132" s="62">
        <f ca="1">AVERAGE(OFFSET($R$3,0,0,'Données projet'!$E$9+1,1))-AVERAGE(OFFSET($H$3,0,0,'Données projet'!$E$9+1,1))</f>
        <v>253.73326067725128</v>
      </c>
      <c r="T132" s="62">
        <f t="shared" si="88"/>
        <v>317.76427047458026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0.64303710201470066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4.3730536301206864E-14</v>
      </c>
      <c r="AC132" s="24">
        <f t="shared" ref="AC132:AC153" si="111">SUM(Z132:AB132)</f>
        <v>0.6430371020147444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-5.9412741393316544E-14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406.17572122067492</v>
      </c>
      <c r="AO132" s="62">
        <f t="shared" si="90"/>
        <v>244.4332618279085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-5.1431925385259088E-14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344.49457749226184</v>
      </c>
      <c r="BJ132" s="62">
        <f t="shared" si="92"/>
        <v>207.92972431357452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287.69656598881124</v>
      </c>
      <c r="CE132" s="62">
        <f t="shared" si="94"/>
        <v>221.9773436301067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1.130180315853863</v>
      </c>
      <c r="CL132" s="23">
        <f>EXP(-LN(2)/25)*CL131+(1-EXP(-LN(2)/25))/(LN(2)/25)*Calculateur!CG132*Calculateur!CI132*VLOOKUP('Données projet'!$B$12,Paramètres!$A$1:$I$89,3,0)*0.475*44/12</f>
        <v>0.44428055855138127</v>
      </c>
      <c r="CM132" s="23">
        <f>EXP(-LN(2)/2)*CM131+(1-EXP(-LN(2)/2))/(LN(2)/2)*CG132*CJ132*VLOOKUP('Données projet'!$B$12,Paramètres!$A$1:$I$89,3,0)*0.475*44/12</f>
        <v>8.5486335064484902E-15</v>
      </c>
      <c r="CN132" s="24">
        <f t="shared" ref="CN132:CN153" si="120">SUM(CK132:CM132)</f>
        <v>1.5744608744052528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-5.3205440053716299E-14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310.95287409903602</v>
      </c>
      <c r="CZ132" s="62">
        <f t="shared" si="96"/>
        <v>224.10083380795163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1.738044375088066E-13</v>
      </c>
      <c r="P133" s="14">
        <f t="shared" ref="P133:P196" si="141">EXP(-1.0587+0.8836*LN(O133)+0.284)</f>
        <v>2.4483293633950478E-12</v>
      </c>
      <c r="Q133" s="22">
        <f t="shared" si="108"/>
        <v>4.566883036574213E-12</v>
      </c>
      <c r="R133" s="62">
        <f t="shared" si="109"/>
        <v>293.33333333333786</v>
      </c>
      <c r="S133" s="62">
        <f ca="1">AVERAGE(OFFSET($R$3,0,0,'Données projet'!$E$9+1,1))-AVERAGE(OFFSET($H$3,0,0,'Données projet'!$E$9+1,1))</f>
        <v>253.73326067725128</v>
      </c>
      <c r="T133" s="62">
        <f t="shared" ref="T133:T196" si="142">$T$3</f>
        <v>317.76427047458026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0.6304275366580967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3.0922158763507855E-14</v>
      </c>
      <c r="AC133" s="24">
        <f t="shared" si="111"/>
        <v>0.63042753665812767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-5.9412741393316544E-14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406.17572122067492</v>
      </c>
      <c r="AO133" s="62">
        <f t="shared" ref="AO133:AO196" si="144">$AO$3</f>
        <v>244.4332618279085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-5.1431925385259088E-14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344.49457749226184</v>
      </c>
      <c r="BJ133" s="62">
        <f t="shared" ref="BJ133:BJ196" si="146">$BJ$3</f>
        <v>207.92972431357452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287.69656598881124</v>
      </c>
      <c r="CE133" s="62">
        <f t="shared" ref="CE133:CE196" si="148">$CE$3</f>
        <v>221.9773436301067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1.1080181692018947</v>
      </c>
      <c r="CL133" s="23">
        <f>EXP(-LN(2)/25)*CL132+(1-EXP(-LN(2)/25))/(LN(2)/25)*Calculateur!CG133*Calculateur!CI133*VLOOKUP('Données projet'!$B$12,Paramètres!$A$1:$I$89,3,0)*0.475*44/12</f>
        <v>0.43213168331409457</v>
      </c>
      <c r="CM133" s="23">
        <f>EXP(-LN(2)/2)*CM132+(1-EXP(-LN(2)/2))/(LN(2)/2)*CG133*CJ133*VLOOKUP('Données projet'!$B$12,Paramètres!$A$1:$I$89,3,0)*0.475*44/12</f>
        <v>6.0447967222882612E-15</v>
      </c>
      <c r="CN133" s="24">
        <f t="shared" si="120"/>
        <v>1.5401498525159953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-5.3205440053716299E-14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310.95287409903602</v>
      </c>
      <c r="CZ133" s="62">
        <f t="shared" ref="CZ133:CZ196" si="150">$CZ$3</f>
        <v>224.10083380795163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1.738044375088066E-13</v>
      </c>
      <c r="P134" s="14">
        <f t="shared" si="141"/>
        <v>2.4483293633950478E-12</v>
      </c>
      <c r="Q134" s="22">
        <f t="shared" si="108"/>
        <v>4.566883036574213E-12</v>
      </c>
      <c r="R134" s="62">
        <f t="shared" si="109"/>
        <v>293.33333333333786</v>
      </c>
      <c r="S134" s="62">
        <f ca="1">AVERAGE(OFFSET($R$3,0,0,'Données projet'!$E$9+1,1))-AVERAGE(OFFSET($H$3,0,0,'Données projet'!$E$9+1,1))</f>
        <v>253.73326067725128</v>
      </c>
      <c r="T134" s="62">
        <f t="shared" si="142"/>
        <v>317.76427047458026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0.6180652371870603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2.1865268150603432E-14</v>
      </c>
      <c r="AC134" s="24">
        <f t="shared" si="111"/>
        <v>0.61806523718708217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-5.9412741393316544E-14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406.17572122067492</v>
      </c>
      <c r="AO134" s="62">
        <f t="shared" si="144"/>
        <v>244.4332618279085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-5.1431925385259088E-14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344.49457749226184</v>
      </c>
      <c r="BJ134" s="62">
        <f t="shared" si="146"/>
        <v>207.92972431357452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287.69656598881124</v>
      </c>
      <c r="CE134" s="62">
        <f t="shared" si="148"/>
        <v>221.9773436301067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1.0862906087281967</v>
      </c>
      <c r="CL134" s="23">
        <f>EXP(-LN(2)/25)*CL133+(1-EXP(-LN(2)/25))/(LN(2)/25)*Calculateur!CG134*Calculateur!CI134*VLOOKUP('Données projet'!$B$12,Paramètres!$A$1:$I$89,3,0)*0.475*44/12</f>
        <v>0.42031501970905311</v>
      </c>
      <c r="CM134" s="23">
        <f>EXP(-LN(2)/2)*CM133+(1-EXP(-LN(2)/2))/(LN(2)/2)*CG134*CJ134*VLOOKUP('Données projet'!$B$12,Paramètres!$A$1:$I$89,3,0)*0.475*44/12</f>
        <v>4.2743167532242451E-15</v>
      </c>
      <c r="CN134" s="24">
        <f t="shared" si="120"/>
        <v>1.506605628437254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-5.3205440053716299E-14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310.95287409903602</v>
      </c>
      <c r="CZ134" s="62">
        <f t="shared" si="150"/>
        <v>224.10083380795163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1.738044375088066E-13</v>
      </c>
      <c r="P135" s="14">
        <f t="shared" si="141"/>
        <v>2.4483293633950478E-12</v>
      </c>
      <c r="Q135" s="22">
        <f t="shared" si="108"/>
        <v>4.566883036574213E-12</v>
      </c>
      <c r="R135" s="62">
        <f t="shared" si="109"/>
        <v>293.33333333333786</v>
      </c>
      <c r="S135" s="62">
        <f ca="1">AVERAGE(OFFSET($R$3,0,0,'Données projet'!$E$9+1,1))-AVERAGE(OFFSET($H$3,0,0,'Données projet'!$E$9+1,1))</f>
        <v>253.73326067725128</v>
      </c>
      <c r="T135" s="62">
        <f t="shared" si="142"/>
        <v>317.76427047458026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0.60594535486839285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1.5461079381753927E-14</v>
      </c>
      <c r="AC135" s="24">
        <f t="shared" si="111"/>
        <v>0.60594535486840828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-5.9412741393316544E-14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406.17572122067492</v>
      </c>
      <c r="AO135" s="62">
        <f t="shared" si="144"/>
        <v>244.4332618279085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-5.1431925385259088E-14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344.49457749226184</v>
      </c>
      <c r="BJ135" s="62">
        <f t="shared" si="146"/>
        <v>207.92972431357452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287.69656598881124</v>
      </c>
      <c r="CE135" s="62">
        <f t="shared" si="148"/>
        <v>221.9773436301067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1.0649891124628845</v>
      </c>
      <c r="CL135" s="23">
        <f>EXP(-LN(2)/25)*CL134+(1-EXP(-LN(2)/25))/(LN(2)/25)*Calculateur!CG135*Calculateur!CI135*VLOOKUP('Données projet'!$B$12,Paramètres!$A$1:$I$89,3,0)*0.475*44/12</f>
        <v>0.40882148339170282</v>
      </c>
      <c r="CM135" s="23">
        <f>EXP(-LN(2)/2)*CM134+(1-EXP(-LN(2)/2))/(LN(2)/2)*CG135*CJ135*VLOOKUP('Données projet'!$B$12,Paramètres!$A$1:$I$89,3,0)*0.475*44/12</f>
        <v>3.0223983611441306E-15</v>
      </c>
      <c r="CN135" s="24">
        <f t="shared" si="120"/>
        <v>1.4738105958545904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-5.3205440053716299E-14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310.95287409903602</v>
      </c>
      <c r="CZ135" s="62">
        <f t="shared" si="150"/>
        <v>224.10083380795163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1.738044375088066E-13</v>
      </c>
      <c r="P136" s="14">
        <f t="shared" si="141"/>
        <v>2.4483293633950478E-12</v>
      </c>
      <c r="Q136" s="22">
        <f t="shared" si="108"/>
        <v>4.566883036574213E-12</v>
      </c>
      <c r="R136" s="62">
        <f t="shared" si="109"/>
        <v>293.33333333333786</v>
      </c>
      <c r="S136" s="62">
        <f ca="1">AVERAGE(OFFSET($R$3,0,0,'Données projet'!$E$9+1,1))-AVERAGE(OFFSET($H$3,0,0,'Données projet'!$E$9+1,1))</f>
        <v>253.73326067725128</v>
      </c>
      <c r="T136" s="62">
        <f t="shared" si="142"/>
        <v>317.76427047458026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0.59406313604959615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1.0932634075301716E-14</v>
      </c>
      <c r="AC136" s="24">
        <f t="shared" si="111"/>
        <v>0.59406313604960703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-5.9412741393316544E-14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406.17572122067492</v>
      </c>
      <c r="AO136" s="62">
        <f t="shared" si="144"/>
        <v>244.4332618279085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-5.1431925385259088E-14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344.49457749226184</v>
      </c>
      <c r="BJ136" s="62">
        <f t="shared" si="146"/>
        <v>207.92972431357452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287.69656598881124</v>
      </c>
      <c r="CE136" s="62">
        <f t="shared" si="148"/>
        <v>221.9773436301067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1.0441053255467054</v>
      </c>
      <c r="CL136" s="23">
        <f>EXP(-LN(2)/25)*CL135+(1-EXP(-LN(2)/25))/(LN(2)/25)*Calculateur!CG136*Calculateur!CI136*VLOOKUP('Données projet'!$B$12,Paramètres!$A$1:$I$89,3,0)*0.475*44/12</f>
        <v>0.39764223842936924</v>
      </c>
      <c r="CM136" s="23">
        <f>EXP(-LN(2)/2)*CM135+(1-EXP(-LN(2)/2))/(LN(2)/2)*CG136*CJ136*VLOOKUP('Données projet'!$B$12,Paramètres!$A$1:$I$89,3,0)*0.475*44/12</f>
        <v>2.1371583766121226E-15</v>
      </c>
      <c r="CN136" s="24">
        <f t="shared" si="120"/>
        <v>1.4417475639760768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-5.3205440053716299E-14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310.95287409903602</v>
      </c>
      <c r="CZ136" s="62">
        <f t="shared" si="150"/>
        <v>224.10083380795163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1.738044375088066E-13</v>
      </c>
      <c r="P137" s="14">
        <f t="shared" si="141"/>
        <v>2.4483293633950478E-12</v>
      </c>
      <c r="Q137" s="22">
        <f t="shared" si="108"/>
        <v>4.566883036574213E-12</v>
      </c>
      <c r="R137" s="62">
        <f t="shared" si="109"/>
        <v>293.33333333333786</v>
      </c>
      <c r="S137" s="62">
        <f ca="1">AVERAGE(OFFSET($R$3,0,0,'Données projet'!$E$9+1,1))-AVERAGE(OFFSET($H$3,0,0,'Données projet'!$E$9+1,1))</f>
        <v>253.73326067725128</v>
      </c>
      <c r="T137" s="62">
        <f t="shared" si="142"/>
        <v>317.76427047458026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0.5824139202943982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7.7305396908769637E-15</v>
      </c>
      <c r="AC137" s="24">
        <f t="shared" si="111"/>
        <v>0.58241392029440597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-5.9412741393316544E-14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406.17572122067492</v>
      </c>
      <c r="AO137" s="62">
        <f t="shared" si="144"/>
        <v>244.4332618279085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-5.1431925385259088E-14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344.49457749226184</v>
      </c>
      <c r="BJ137" s="62">
        <f t="shared" si="146"/>
        <v>207.92972431357452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287.69656598881124</v>
      </c>
      <c r="CE137" s="62">
        <f t="shared" si="148"/>
        <v>221.9773436301067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1.0236310569541003</v>
      </c>
      <c r="CL137" s="23">
        <f>EXP(-LN(2)/25)*CL136+(1-EXP(-LN(2)/25))/(LN(2)/25)*Calculateur!CG137*Calculateur!CI137*VLOOKUP('Données projet'!$B$12,Paramètres!$A$1:$I$89,3,0)*0.475*44/12</f>
        <v>0.38676869050842166</v>
      </c>
      <c r="CM137" s="23">
        <f>EXP(-LN(2)/2)*CM136+(1-EXP(-LN(2)/2))/(LN(2)/2)*CG137*CJ137*VLOOKUP('Données projet'!$B$12,Paramètres!$A$1:$I$89,3,0)*0.475*44/12</f>
        <v>1.5111991805720653E-15</v>
      </c>
      <c r="CN137" s="24">
        <f t="shared" si="120"/>
        <v>1.4103997474625236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-5.3205440053716299E-14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310.95287409903602</v>
      </c>
      <c r="CZ137" s="62">
        <f t="shared" si="150"/>
        <v>224.10083380795163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1.738044375088066E-13</v>
      </c>
      <c r="P138" s="14">
        <f t="shared" si="141"/>
        <v>2.4483293633950478E-12</v>
      </c>
      <c r="Q138" s="22">
        <f t="shared" si="108"/>
        <v>4.566883036574213E-12</v>
      </c>
      <c r="R138" s="62">
        <f t="shared" si="109"/>
        <v>293.33333333333786</v>
      </c>
      <c r="S138" s="62">
        <f ca="1">AVERAGE(OFFSET($R$3,0,0,'Données projet'!$E$9+1,1))-AVERAGE(OFFSET($H$3,0,0,'Données projet'!$E$9+1,1))</f>
        <v>253.73326067725128</v>
      </c>
      <c r="T138" s="62">
        <f t="shared" si="142"/>
        <v>317.76427047458026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0.57099313855483969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5.466317037650858E-15</v>
      </c>
      <c r="AC138" s="24">
        <f t="shared" si="111"/>
        <v>0.57099313855484513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-5.9412741393316544E-14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406.17572122067492</v>
      </c>
      <c r="AO138" s="62">
        <f t="shared" si="144"/>
        <v>244.4332618279085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-5.1431925385259088E-14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344.49457749226184</v>
      </c>
      <c r="BJ138" s="62">
        <f t="shared" si="146"/>
        <v>207.92972431357452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287.69656598881124</v>
      </c>
      <c r="CE138" s="62">
        <f t="shared" si="148"/>
        <v>221.9773436301067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1.0035582762805253</v>
      </c>
      <c r="CL138" s="23">
        <f>EXP(-LN(2)/25)*CL137+(1-EXP(-LN(2)/25))/(LN(2)/25)*Calculateur!CG138*Calculateur!CI138*VLOOKUP('Données projet'!$B$12,Paramètres!$A$1:$I$89,3,0)*0.475*44/12</f>
        <v>0.37619248032718738</v>
      </c>
      <c r="CM138" s="23">
        <f>EXP(-LN(2)/2)*CM137+(1-EXP(-LN(2)/2))/(LN(2)/2)*CG138*CJ138*VLOOKUP('Données projet'!$B$12,Paramètres!$A$1:$I$89,3,0)*0.475*44/12</f>
        <v>1.0685791883060613E-15</v>
      </c>
      <c r="CN138" s="24">
        <f t="shared" si="120"/>
        <v>1.3797507566077138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-5.3205440053716299E-14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310.95287409903602</v>
      </c>
      <c r="CZ138" s="62">
        <f t="shared" si="150"/>
        <v>224.10083380795163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1.738044375088066E-13</v>
      </c>
      <c r="P139" s="14">
        <f t="shared" si="141"/>
        <v>2.4483293633950478E-12</v>
      </c>
      <c r="Q139" s="22">
        <f t="shared" si="108"/>
        <v>4.566883036574213E-12</v>
      </c>
      <c r="R139" s="62">
        <f t="shared" si="109"/>
        <v>293.33333333333786</v>
      </c>
      <c r="S139" s="62">
        <f ca="1">AVERAGE(OFFSET($R$3,0,0,'Données projet'!$E$9+1,1))-AVERAGE(OFFSET($H$3,0,0,'Données projet'!$E$9+1,1))</f>
        <v>253.73326067725128</v>
      </c>
      <c r="T139" s="62">
        <f t="shared" si="142"/>
        <v>317.76427047458026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0.55979631137920483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3.8652698454384818E-15</v>
      </c>
      <c r="AC139" s="24">
        <f t="shared" si="111"/>
        <v>0.55979631137920871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-5.9412741393316544E-14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406.17572122067492</v>
      </c>
      <c r="AO139" s="62">
        <f t="shared" si="144"/>
        <v>244.4332618279085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-5.1431925385259088E-14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344.49457749226184</v>
      </c>
      <c r="BJ139" s="62">
        <f t="shared" si="146"/>
        <v>207.92972431357452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287.69656598881124</v>
      </c>
      <c r="CE139" s="62">
        <f t="shared" si="148"/>
        <v>221.9773436301067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0.98387911059277189</v>
      </c>
      <c r="CL139" s="23">
        <f>EXP(-LN(2)/25)*CL138+(1-EXP(-LN(2)/25))/(LN(2)/25)*Calculateur!CG139*Calculateur!CI139*VLOOKUP('Données projet'!$B$12,Paramètres!$A$1:$I$89,3,0)*0.475*44/12</f>
        <v>0.3659054771695377</v>
      </c>
      <c r="CM139" s="23">
        <f>EXP(-LN(2)/2)*CM138+(1-EXP(-LN(2)/2))/(LN(2)/2)*CG139*CJ139*VLOOKUP('Données projet'!$B$12,Paramètres!$A$1:$I$89,3,0)*0.475*44/12</f>
        <v>7.5559959028603265E-16</v>
      </c>
      <c r="CN139" s="24">
        <f t="shared" si="120"/>
        <v>1.3497845877623103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-5.3205440053716299E-14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310.95287409903602</v>
      </c>
      <c r="CZ139" s="62">
        <f t="shared" si="150"/>
        <v>224.10083380795163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1.738044375088066E-13</v>
      </c>
      <c r="P140" s="14">
        <f t="shared" si="141"/>
        <v>2.4483293633950478E-12</v>
      </c>
      <c r="Q140" s="22">
        <f t="shared" si="108"/>
        <v>4.566883036574213E-12</v>
      </c>
      <c r="R140" s="62">
        <f t="shared" si="109"/>
        <v>293.33333333333786</v>
      </c>
      <c r="S140" s="62">
        <f ca="1">AVERAGE(OFFSET($R$3,0,0,'Données projet'!$E$9+1,1))-AVERAGE(OFFSET($H$3,0,0,'Données projet'!$E$9+1,1))</f>
        <v>253.73326067725128</v>
      </c>
      <c r="T140" s="62">
        <f t="shared" si="142"/>
        <v>317.76427047458026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0.548819047155094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2.733158518825429E-15</v>
      </c>
      <c r="AC140" s="24">
        <f t="shared" si="111"/>
        <v>0.54881904715509677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-5.9412741393316544E-14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406.17572122067492</v>
      </c>
      <c r="AO140" s="62">
        <f t="shared" si="144"/>
        <v>244.4332618279085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-5.1431925385259088E-14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344.49457749226184</v>
      </c>
      <c r="BJ140" s="62">
        <f t="shared" si="146"/>
        <v>207.92972431357452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287.69656598881124</v>
      </c>
      <c r="CE140" s="62">
        <f t="shared" si="148"/>
        <v>221.9773436301067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0.96458584134104941</v>
      </c>
      <c r="CL140" s="23">
        <f>EXP(-LN(2)/25)*CL139+(1-EXP(-LN(2)/25))/(LN(2)/25)*Calculateur!CG140*Calculateur!CI140*VLOOKUP('Données projet'!$B$12,Paramètres!$A$1:$I$89,3,0)*0.475*44/12</f>
        <v>0.35589977265420392</v>
      </c>
      <c r="CM140" s="23">
        <f>EXP(-LN(2)/2)*CM139+(1-EXP(-LN(2)/2))/(LN(2)/2)*CG140*CJ140*VLOOKUP('Données projet'!$B$12,Paramètres!$A$1:$I$89,3,0)*0.475*44/12</f>
        <v>5.3428959415303064E-16</v>
      </c>
      <c r="CN140" s="24">
        <f t="shared" si="120"/>
        <v>1.3204856139952539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-5.3205440053716299E-14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310.95287409903602</v>
      </c>
      <c r="CZ140" s="62">
        <f t="shared" si="150"/>
        <v>224.10083380795163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1.738044375088066E-13</v>
      </c>
      <c r="P141" s="14">
        <f t="shared" si="141"/>
        <v>2.4483293633950478E-12</v>
      </c>
      <c r="Q141" s="22">
        <f t="shared" si="108"/>
        <v>4.566883036574213E-12</v>
      </c>
      <c r="R141" s="62">
        <f t="shared" si="109"/>
        <v>293.33333333333786</v>
      </c>
      <c r="S141" s="62">
        <f ca="1">AVERAGE(OFFSET($R$3,0,0,'Données projet'!$E$9+1,1))-AVERAGE(OFFSET($H$3,0,0,'Données projet'!$E$9+1,1))</f>
        <v>253.73326067725128</v>
      </c>
      <c r="T141" s="62">
        <f t="shared" si="142"/>
        <v>317.76427047458026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0.5380570403869479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1.9326349227192409E-15</v>
      </c>
      <c r="AC141" s="24">
        <f t="shared" si="111"/>
        <v>0.53805704038694979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-5.9412741393316544E-14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406.17572122067492</v>
      </c>
      <c r="AO141" s="62">
        <f t="shared" si="144"/>
        <v>244.4332618279085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-5.1431925385259088E-14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344.49457749226184</v>
      </c>
      <c r="BJ141" s="62">
        <f t="shared" si="146"/>
        <v>207.92972431357452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287.69656598881124</v>
      </c>
      <c r="CE141" s="62">
        <f t="shared" si="148"/>
        <v>221.9773436301067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0.94567090133162102</v>
      </c>
      <c r="CL141" s="23">
        <f>EXP(-LN(2)/25)*CL140+(1-EXP(-LN(2)/25))/(LN(2)/25)*Calculateur!CG141*Calculateur!CI141*VLOOKUP('Données projet'!$B$12,Paramètres!$A$1:$I$89,3,0)*0.475*44/12</f>
        <v>0.34616767465501908</v>
      </c>
      <c r="CM141" s="23">
        <f>EXP(-LN(2)/2)*CM140+(1-EXP(-LN(2)/2))/(LN(2)/2)*CG141*CJ141*VLOOKUP('Données projet'!$B$12,Paramètres!$A$1:$I$89,3,0)*0.475*44/12</f>
        <v>3.7779979514301632E-16</v>
      </c>
      <c r="CN141" s="24">
        <f t="shared" si="120"/>
        <v>1.2918385759866404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-5.3205440053716299E-14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310.95287409903602</v>
      </c>
      <c r="CZ141" s="62">
        <f t="shared" si="150"/>
        <v>224.10083380795163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1.738044375088066E-13</v>
      </c>
      <c r="P142" s="14">
        <f t="shared" si="141"/>
        <v>2.4483293633950478E-12</v>
      </c>
      <c r="Q142" s="22">
        <f t="shared" si="108"/>
        <v>4.566883036574213E-12</v>
      </c>
      <c r="R142" s="62">
        <f t="shared" si="109"/>
        <v>293.33333333333786</v>
      </c>
      <c r="S142" s="62">
        <f ca="1">AVERAGE(OFFSET($R$3,0,0,'Données projet'!$E$9+1,1))-AVERAGE(OFFSET($H$3,0,0,'Données projet'!$E$9+1,1))</f>
        <v>253.73326067725128</v>
      </c>
      <c r="T142" s="62">
        <f t="shared" si="142"/>
        <v>317.76427047458026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0.52750607000734917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1.3665792594127145E-15</v>
      </c>
      <c r="AC142" s="24">
        <f t="shared" si="111"/>
        <v>0.5275060700073505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-5.9412741393316544E-14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406.17572122067492</v>
      </c>
      <c r="AO142" s="62">
        <f t="shared" si="144"/>
        <v>244.4332618279085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-5.1431925385259088E-14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344.49457749226184</v>
      </c>
      <c r="BJ142" s="62">
        <f t="shared" si="146"/>
        <v>207.92972431357452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287.69656598881124</v>
      </c>
      <c r="CE142" s="62">
        <f t="shared" si="148"/>
        <v>221.9773436301067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0.92712687175880326</v>
      </c>
      <c r="CL142" s="23">
        <f>EXP(-LN(2)/25)*CL141+(1-EXP(-LN(2)/25))/(LN(2)/25)*Calculateur!CG142*Calculateur!CI142*VLOOKUP('Données projet'!$B$12,Paramètres!$A$1:$I$89,3,0)*0.475*44/12</f>
        <v>0.33670170138741073</v>
      </c>
      <c r="CM142" s="23">
        <f>EXP(-LN(2)/2)*CM141+(1-EXP(-LN(2)/2))/(LN(2)/2)*CG142*CJ142*VLOOKUP('Données projet'!$B$12,Paramètres!$A$1:$I$89,3,0)*0.475*44/12</f>
        <v>2.6714479707651532E-16</v>
      </c>
      <c r="CN142" s="24">
        <f t="shared" si="120"/>
        <v>1.2638285731462142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-5.3205440053716299E-14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310.95287409903602</v>
      </c>
      <c r="CZ142" s="62">
        <f t="shared" si="150"/>
        <v>224.10083380795163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1.738044375088066E-13</v>
      </c>
      <c r="P143" s="14">
        <f t="shared" si="141"/>
        <v>2.4483293633950478E-12</v>
      </c>
      <c r="Q143" s="22">
        <f t="shared" si="108"/>
        <v>4.566883036574213E-12</v>
      </c>
      <c r="R143" s="62">
        <f t="shared" si="109"/>
        <v>293.33333333333786</v>
      </c>
      <c r="S143" s="62">
        <f ca="1">AVERAGE(OFFSET($R$3,0,0,'Données projet'!$E$9+1,1))-AVERAGE(OFFSET($H$3,0,0,'Données projet'!$E$9+1,1))</f>
        <v>253.73326067725128</v>
      </c>
      <c r="T143" s="62">
        <f t="shared" si="142"/>
        <v>317.76427047458026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0.51716199772143789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9.6631746135962046E-16</v>
      </c>
      <c r="AC143" s="24">
        <f t="shared" si="111"/>
        <v>0.51716199772143889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-5.9412741393316544E-14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406.17572122067492</v>
      </c>
      <c r="AO143" s="62">
        <f t="shared" si="144"/>
        <v>244.4332618279085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-5.1431925385259088E-14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344.49457749226184</v>
      </c>
      <c r="BJ143" s="62">
        <f t="shared" si="146"/>
        <v>207.92972431357452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287.69656598881124</v>
      </c>
      <c r="CE143" s="62">
        <f t="shared" si="148"/>
        <v>221.9773436301067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0.90894647929516725</v>
      </c>
      <c r="CL143" s="23">
        <f>EXP(-LN(2)/25)*CL142+(1-EXP(-LN(2)/25))/(LN(2)/25)*Calculateur!CG143*Calculateur!CI143*VLOOKUP('Données projet'!$B$12,Paramètres!$A$1:$I$89,3,0)*0.475*44/12</f>
        <v>0.32749457565659906</v>
      </c>
      <c r="CM143" s="23">
        <f>EXP(-LN(2)/2)*CM142+(1-EXP(-LN(2)/2))/(LN(2)/2)*CG143*CJ143*VLOOKUP('Données projet'!$B$12,Paramètres!$A$1:$I$89,3,0)*0.475*44/12</f>
        <v>1.8889989757150816E-16</v>
      </c>
      <c r="CN143" s="24">
        <f t="shared" si="120"/>
        <v>1.2364410549517666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-5.3205440053716299E-14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310.95287409903602</v>
      </c>
      <c r="CZ143" s="62">
        <f t="shared" si="150"/>
        <v>224.10083380795163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1.738044375088066E-13</v>
      </c>
      <c r="P144" s="14">
        <f t="shared" si="141"/>
        <v>2.4483293633950478E-12</v>
      </c>
      <c r="Q144" s="22">
        <f t="shared" si="108"/>
        <v>4.566883036574213E-12</v>
      </c>
      <c r="R144" s="62">
        <f t="shared" si="109"/>
        <v>293.33333333333786</v>
      </c>
      <c r="S144" s="62">
        <f ca="1">AVERAGE(OFFSET($R$3,0,0,'Données projet'!$E$9+1,1))-AVERAGE(OFFSET($H$3,0,0,'Données projet'!$E$9+1,1))</f>
        <v>253.73326067725128</v>
      </c>
      <c r="T144" s="62">
        <f t="shared" si="142"/>
        <v>317.76427047458026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0.50702076638379223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6.8328962970635725E-16</v>
      </c>
      <c r="AC144" s="24">
        <f t="shared" si="111"/>
        <v>0.5070207663837929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-5.9412741393316544E-14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406.17572122067492</v>
      </c>
      <c r="AO144" s="62">
        <f t="shared" si="144"/>
        <v>244.4332618279085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-5.1431925385259088E-14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344.49457749226184</v>
      </c>
      <c r="BJ144" s="62">
        <f t="shared" si="146"/>
        <v>207.92972431357452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287.69656598881124</v>
      </c>
      <c r="CE144" s="62">
        <f t="shared" si="148"/>
        <v>221.9773436301067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0.89112259323879872</v>
      </c>
      <c r="CL144" s="23">
        <f>EXP(-LN(2)/25)*CL143+(1-EXP(-LN(2)/25))/(LN(2)/25)*Calculateur!CG144*Calculateur!CI144*VLOOKUP('Données projet'!$B$12,Paramètres!$A$1:$I$89,3,0)*0.475*44/12</f>
        <v>0.3185392192630781</v>
      </c>
      <c r="CM144" s="23">
        <f>EXP(-LN(2)/2)*CM143+(1-EXP(-LN(2)/2))/(LN(2)/2)*CG144*CJ144*VLOOKUP('Données projet'!$B$12,Paramètres!$A$1:$I$89,3,0)*0.475*44/12</f>
        <v>1.3357239853825766E-16</v>
      </c>
      <c r="CN144" s="24">
        <f t="shared" si="120"/>
        <v>1.209661812501877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-5.3205440053716299E-14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310.95287409903602</v>
      </c>
      <c r="CZ144" s="62">
        <f t="shared" si="150"/>
        <v>224.10083380795163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1.738044375088066E-13</v>
      </c>
      <c r="P145" s="14">
        <f t="shared" si="141"/>
        <v>2.4483293633950478E-12</v>
      </c>
      <c r="Q145" s="22">
        <f t="shared" si="108"/>
        <v>4.566883036574213E-12</v>
      </c>
      <c r="R145" s="62">
        <f t="shared" si="109"/>
        <v>293.33333333333786</v>
      </c>
      <c r="S145" s="62">
        <f ca="1">AVERAGE(OFFSET($R$3,0,0,'Données projet'!$E$9+1,1))-AVERAGE(OFFSET($H$3,0,0,'Données projet'!$E$9+1,1))</f>
        <v>253.73326067725128</v>
      </c>
      <c r="T145" s="62">
        <f t="shared" si="142"/>
        <v>317.76427047458026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0.49707839840713747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4.8315873067981023E-16</v>
      </c>
      <c r="AC145" s="24">
        <f t="shared" si="111"/>
        <v>0.49707839840713797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-5.9412741393316544E-14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406.17572122067492</v>
      </c>
      <c r="AO145" s="62">
        <f t="shared" si="144"/>
        <v>244.4332618279085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-5.1431925385259088E-14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344.49457749226184</v>
      </c>
      <c r="BJ145" s="62">
        <f t="shared" si="146"/>
        <v>207.92972431357452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287.69656598881124</v>
      </c>
      <c r="CE145" s="62">
        <f t="shared" si="148"/>
        <v>221.9773436301067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0.87364822271649856</v>
      </c>
      <c r="CL145" s="23">
        <f>EXP(-LN(2)/25)*CL144+(1-EXP(-LN(2)/25))/(LN(2)/25)*Calculateur!CG145*Calculateur!CI145*VLOOKUP('Données projet'!$B$12,Paramètres!$A$1:$I$89,3,0)*0.475*44/12</f>
        <v>0.3098287475610797</v>
      </c>
      <c r="CM145" s="23">
        <f>EXP(-LN(2)/2)*CM144+(1-EXP(-LN(2)/2))/(LN(2)/2)*CG145*CJ145*VLOOKUP('Données projet'!$B$12,Paramètres!$A$1:$I$89,3,0)*0.475*44/12</f>
        <v>9.4449948785754081E-17</v>
      </c>
      <c r="CN145" s="24">
        <f t="shared" si="120"/>
        <v>1.1834769702775783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-5.3205440053716299E-14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310.95287409903602</v>
      </c>
      <c r="CZ145" s="62">
        <f t="shared" si="150"/>
        <v>224.10083380795163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1.738044375088066E-13</v>
      </c>
      <c r="P146" s="14">
        <f t="shared" si="141"/>
        <v>2.4483293633950478E-12</v>
      </c>
      <c r="Q146" s="22">
        <f t="shared" si="108"/>
        <v>4.566883036574213E-12</v>
      </c>
      <c r="R146" s="62">
        <f t="shared" si="109"/>
        <v>293.33333333333786</v>
      </c>
      <c r="S146" s="62">
        <f ca="1">AVERAGE(OFFSET($R$3,0,0,'Données projet'!$E$9+1,1))-AVERAGE(OFFSET($H$3,0,0,'Données projet'!$E$9+1,1))</f>
        <v>253.73326067725128</v>
      </c>
      <c r="T146" s="62">
        <f t="shared" si="142"/>
        <v>317.76427047458026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0.48733099420225923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3.4164481485317862E-16</v>
      </c>
      <c r="AC146" s="24">
        <f t="shared" si="111"/>
        <v>0.48733099420225956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-5.9412741393316544E-14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406.17572122067492</v>
      </c>
      <c r="AO146" s="62">
        <f t="shared" si="144"/>
        <v>244.4332618279085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-5.1431925385259088E-14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344.49457749226184</v>
      </c>
      <c r="BJ146" s="62">
        <f t="shared" si="146"/>
        <v>207.92972431357452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287.69656598881124</v>
      </c>
      <c r="CE146" s="62">
        <f t="shared" si="148"/>
        <v>221.9773436301067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0.85651651394182704</v>
      </c>
      <c r="CL146" s="23">
        <f>EXP(-LN(2)/25)*CL145+(1-EXP(-LN(2)/25))/(LN(2)/25)*Calculateur!CG146*Calculateur!CI146*VLOOKUP('Données projet'!$B$12,Paramètres!$A$1:$I$89,3,0)*0.475*44/12</f>
        <v>0.30135646416583628</v>
      </c>
      <c r="CM146" s="23">
        <f>EXP(-LN(2)/2)*CM145+(1-EXP(-LN(2)/2))/(LN(2)/2)*CG146*CJ146*VLOOKUP('Données projet'!$B$12,Paramètres!$A$1:$I$89,3,0)*0.475*44/12</f>
        <v>6.678619926912883E-17</v>
      </c>
      <c r="CN146" s="24">
        <f t="shared" si="120"/>
        <v>1.1578729781076633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-5.3205440053716299E-14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310.95287409903602</v>
      </c>
      <c r="CZ146" s="62">
        <f t="shared" si="150"/>
        <v>224.10083380795163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1.738044375088066E-13</v>
      </c>
      <c r="P147" s="14">
        <f t="shared" si="141"/>
        <v>2.4483293633950478E-12</v>
      </c>
      <c r="Q147" s="22">
        <f t="shared" si="108"/>
        <v>4.566883036574213E-12</v>
      </c>
      <c r="R147" s="62">
        <f t="shared" si="109"/>
        <v>293.33333333333786</v>
      </c>
      <c r="S147" s="62">
        <f ca="1">AVERAGE(OFFSET($R$3,0,0,'Données projet'!$E$9+1,1))-AVERAGE(OFFSET($H$3,0,0,'Données projet'!$E$9+1,1))</f>
        <v>253.73326067725128</v>
      </c>
      <c r="T147" s="62">
        <f t="shared" si="142"/>
        <v>317.76427047458026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0.47777473064850912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2.4157936533990512E-16</v>
      </c>
      <c r="AC147" s="24">
        <f t="shared" si="111"/>
        <v>0.47777473064850934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-5.9412741393316544E-14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406.17572122067492</v>
      </c>
      <c r="AO147" s="62">
        <f t="shared" si="144"/>
        <v>244.4332618279085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-5.1431925385259088E-14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344.49457749226184</v>
      </c>
      <c r="BJ147" s="62">
        <f t="shared" si="146"/>
        <v>207.92972431357452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287.69656598881124</v>
      </c>
      <c r="CE147" s="62">
        <f t="shared" si="148"/>
        <v>221.9773436301067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0.83972074752691628</v>
      </c>
      <c r="CL147" s="23">
        <f>EXP(-LN(2)/25)*CL146+(1-EXP(-LN(2)/25))/(LN(2)/25)*Calculateur!CG147*Calculateur!CI147*VLOOKUP('Données projet'!$B$12,Paramètres!$A$1:$I$89,3,0)*0.475*44/12</f>
        <v>0.29311585580557381</v>
      </c>
      <c r="CM147" s="23">
        <f>EXP(-LN(2)/2)*CM146+(1-EXP(-LN(2)/2))/(LN(2)/2)*CG147*CJ147*VLOOKUP('Données projet'!$B$12,Paramètres!$A$1:$I$89,3,0)*0.475*44/12</f>
        <v>4.722497439287704E-17</v>
      </c>
      <c r="CN147" s="24">
        <f t="shared" si="120"/>
        <v>1.1328366033324901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-5.3205440053716299E-14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310.95287409903602</v>
      </c>
      <c r="CZ147" s="62">
        <f t="shared" si="150"/>
        <v>224.10083380795163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1.738044375088066E-13</v>
      </c>
      <c r="P148" s="14">
        <f t="shared" si="141"/>
        <v>2.4483293633950478E-12</v>
      </c>
      <c r="Q148" s="22">
        <f t="shared" si="108"/>
        <v>4.566883036574213E-12</v>
      </c>
      <c r="R148" s="62">
        <f t="shared" si="109"/>
        <v>293.33333333333786</v>
      </c>
      <c r="S148" s="62">
        <f ca="1">AVERAGE(OFFSET($R$3,0,0,'Données projet'!$E$9+1,1))-AVERAGE(OFFSET($H$3,0,0,'Données projet'!$E$9+1,1))</f>
        <v>253.73326067725128</v>
      </c>
      <c r="T148" s="62">
        <f t="shared" si="142"/>
        <v>317.76427047458026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0.46840585959430281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1.7082240742658931E-16</v>
      </c>
      <c r="AC148" s="24">
        <f t="shared" si="111"/>
        <v>0.46840585959430298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-5.9412741393316544E-14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406.17572122067492</v>
      </c>
      <c r="AO148" s="62">
        <f t="shared" si="144"/>
        <v>244.4332618279085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-5.1431925385259088E-14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344.49457749226184</v>
      </c>
      <c r="BJ148" s="62">
        <f t="shared" si="146"/>
        <v>207.92972431357452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287.69656598881124</v>
      </c>
      <c r="CE148" s="62">
        <f t="shared" si="148"/>
        <v>221.9773436301067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0.82325433584699592</v>
      </c>
      <c r="CL148" s="23">
        <f>EXP(-LN(2)/25)*CL147+(1-EXP(-LN(2)/25))/(LN(2)/25)*Calculateur!CG148*Calculateur!CI148*VLOOKUP('Données projet'!$B$12,Paramètres!$A$1:$I$89,3,0)*0.475*44/12</f>
        <v>0.28510058731427745</v>
      </c>
      <c r="CM148" s="23">
        <f>EXP(-LN(2)/2)*CM147+(1-EXP(-LN(2)/2))/(LN(2)/2)*CG148*CJ148*VLOOKUP('Données projet'!$B$12,Paramètres!$A$1:$I$89,3,0)*0.475*44/12</f>
        <v>3.3393099634564415E-17</v>
      </c>
      <c r="CN148" s="24">
        <f t="shared" si="120"/>
        <v>1.1083549231612735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-5.3205440053716299E-14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310.95287409903602</v>
      </c>
      <c r="CZ148" s="62">
        <f t="shared" si="150"/>
        <v>224.10083380795163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1.738044375088066E-13</v>
      </c>
      <c r="P149" s="14">
        <f t="shared" si="141"/>
        <v>2.4483293633950478E-12</v>
      </c>
      <c r="Q149" s="22">
        <f t="shared" si="108"/>
        <v>4.566883036574213E-12</v>
      </c>
      <c r="R149" s="62">
        <f t="shared" si="109"/>
        <v>293.33333333333786</v>
      </c>
      <c r="S149" s="62">
        <f ca="1">AVERAGE(OFFSET($R$3,0,0,'Données projet'!$E$9+1,1))-AVERAGE(OFFSET($H$3,0,0,'Données projet'!$E$9+1,1))</f>
        <v>253.73326067725128</v>
      </c>
      <c r="T149" s="62">
        <f t="shared" si="142"/>
        <v>317.76427047458026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0.45922070638702239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1.2078968266995256E-16</v>
      </c>
      <c r="AC149" s="24">
        <f t="shared" si="111"/>
        <v>0.4592207063870225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-5.9412741393316544E-14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406.17572122067492</v>
      </c>
      <c r="AO149" s="62">
        <f t="shared" si="144"/>
        <v>244.4332618279085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-5.1431925385259088E-14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344.49457749226184</v>
      </c>
      <c r="BJ149" s="62">
        <f t="shared" si="146"/>
        <v>207.92972431357452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287.69656598881124</v>
      </c>
      <c r="CE149" s="62">
        <f t="shared" si="148"/>
        <v>221.9773436301067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0.80711082045659943</v>
      </c>
      <c r="CL149" s="23">
        <f>EXP(-LN(2)/25)*CL148+(1-EXP(-LN(2)/25))/(LN(2)/25)*Calculateur!CG149*Calculateur!CI149*VLOOKUP('Données projet'!$B$12,Paramètres!$A$1:$I$89,3,0)*0.475*44/12</f>
        <v>0.27730449676138025</v>
      </c>
      <c r="CM149" s="23">
        <f>EXP(-LN(2)/2)*CM148+(1-EXP(-LN(2)/2))/(LN(2)/2)*CG149*CJ149*VLOOKUP('Données projet'!$B$12,Paramètres!$A$1:$I$89,3,0)*0.475*44/12</f>
        <v>2.361248719643852E-17</v>
      </c>
      <c r="CN149" s="24">
        <f t="shared" si="120"/>
        <v>1.0844153172179798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-5.3205440053716299E-14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310.95287409903602</v>
      </c>
      <c r="CZ149" s="62">
        <f t="shared" si="150"/>
        <v>224.10083380795163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1.738044375088066E-13</v>
      </c>
      <c r="P150" s="14">
        <f t="shared" si="141"/>
        <v>2.4483293633950478E-12</v>
      </c>
      <c r="Q150" s="22">
        <f t="shared" si="108"/>
        <v>4.566883036574213E-12</v>
      </c>
      <c r="R150" s="62">
        <f t="shared" si="109"/>
        <v>293.33333333333786</v>
      </c>
      <c r="S150" s="62">
        <f ca="1">AVERAGE(OFFSET($R$3,0,0,'Données projet'!$E$9+1,1))-AVERAGE(OFFSET($H$3,0,0,'Données projet'!$E$9+1,1))</f>
        <v>253.73326067725128</v>
      </c>
      <c r="T150" s="62">
        <f t="shared" si="142"/>
        <v>317.76427047458026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0.45021566843174649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8.5411203713294656E-17</v>
      </c>
      <c r="AC150" s="24">
        <f t="shared" si="111"/>
        <v>0.4502156684317466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-5.9412741393316544E-14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406.17572122067492</v>
      </c>
      <c r="AO150" s="62">
        <f t="shared" si="144"/>
        <v>244.4332618279085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-5.1431925385259088E-14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344.49457749226184</v>
      </c>
      <c r="BJ150" s="62">
        <f t="shared" si="146"/>
        <v>207.92972431357452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287.69656598881124</v>
      </c>
      <c r="CE150" s="62">
        <f t="shared" si="148"/>
        <v>221.9773436301067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0.79128386955643648</v>
      </c>
      <c r="CL150" s="23">
        <f>EXP(-LN(2)/25)*CL149+(1-EXP(-LN(2)/25))/(LN(2)/25)*Calculateur!CG150*Calculateur!CI150*VLOOKUP('Données projet'!$B$12,Paramètres!$A$1:$I$89,3,0)*0.475*44/12</f>
        <v>0.26972159071463059</v>
      </c>
      <c r="CM150" s="23">
        <f>EXP(-LN(2)/2)*CM149+(1-EXP(-LN(2)/2))/(LN(2)/2)*CG150*CJ150*VLOOKUP('Données projet'!$B$12,Paramètres!$A$1:$I$89,3,0)*0.475*44/12</f>
        <v>1.6696549817282207E-17</v>
      </c>
      <c r="CN150" s="24">
        <f t="shared" si="120"/>
        <v>1.061005460271067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-5.3205440053716299E-14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310.95287409903602</v>
      </c>
      <c r="CZ150" s="62">
        <f t="shared" si="150"/>
        <v>224.10083380795163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1.738044375088066E-13</v>
      </c>
      <c r="P151" s="14">
        <f t="shared" si="141"/>
        <v>2.4483293633950478E-12</v>
      </c>
      <c r="Q151" s="22">
        <f t="shared" si="108"/>
        <v>4.566883036574213E-12</v>
      </c>
      <c r="R151" s="62">
        <f t="shared" si="109"/>
        <v>293.33333333333786</v>
      </c>
      <c r="S151" s="62">
        <f ca="1">AVERAGE(OFFSET($R$3,0,0,'Données projet'!$E$9+1,1))-AVERAGE(OFFSET($H$3,0,0,'Données projet'!$E$9+1,1))</f>
        <v>253.73326067725128</v>
      </c>
      <c r="T151" s="62">
        <f t="shared" si="142"/>
        <v>317.76427047458026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0.44138721377824275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6.0394841334976279E-17</v>
      </c>
      <c r="AC151" s="24">
        <f t="shared" si="111"/>
        <v>0.4413872137782428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-5.9412741393316544E-14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406.17572122067492</v>
      </c>
      <c r="AO151" s="62">
        <f t="shared" si="144"/>
        <v>244.4332618279085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-5.1431925385259088E-14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344.49457749226184</v>
      </c>
      <c r="BJ151" s="62">
        <f t="shared" si="146"/>
        <v>207.92972431357452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287.69656598881124</v>
      </c>
      <c r="CE151" s="62">
        <f t="shared" si="148"/>
        <v>221.9773436301067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0.77576727550993885</v>
      </c>
      <c r="CL151" s="23">
        <f>EXP(-LN(2)/25)*CL150+(1-EXP(-LN(2)/25))/(LN(2)/25)*Calculateur!CG151*Calculateur!CI151*VLOOKUP('Données projet'!$B$12,Paramètres!$A$1:$I$89,3,0)*0.475*44/12</f>
        <v>0.26234603963249703</v>
      </c>
      <c r="CM151" s="23">
        <f>EXP(-LN(2)/2)*CM150+(1-EXP(-LN(2)/2))/(LN(2)/2)*CG151*CJ151*VLOOKUP('Données projet'!$B$12,Paramètres!$A$1:$I$89,3,0)*0.475*44/12</f>
        <v>1.180624359821926E-17</v>
      </c>
      <c r="CN151" s="24">
        <f t="shared" si="120"/>
        <v>1.0381133151424358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-5.3205440053716299E-14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310.95287409903602</v>
      </c>
      <c r="CZ151" s="62">
        <f t="shared" si="150"/>
        <v>224.10083380795163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1.738044375088066E-13</v>
      </c>
      <c r="P152" s="14">
        <f t="shared" si="141"/>
        <v>2.4483293633950478E-12</v>
      </c>
      <c r="Q152" s="22">
        <f t="shared" si="108"/>
        <v>4.566883036574213E-12</v>
      </c>
      <c r="R152" s="62">
        <f t="shared" si="109"/>
        <v>293.33333333333786</v>
      </c>
      <c r="S152" s="62">
        <f ca="1">AVERAGE(OFFSET($R$3,0,0,'Données projet'!$E$9+1,1))-AVERAGE(OFFSET($H$3,0,0,'Données projet'!$E$9+1,1))</f>
        <v>253.73326067725128</v>
      </c>
      <c r="T152" s="62">
        <f t="shared" si="142"/>
        <v>317.76427047458026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0.43273187973566857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4.2705601856647328E-17</v>
      </c>
      <c r="AC152" s="24">
        <f t="shared" si="111"/>
        <v>0.43273187973566862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-5.9412741393316544E-14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406.17572122067492</v>
      </c>
      <c r="AO152" s="62">
        <f t="shared" si="144"/>
        <v>244.4332618279085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-5.1431925385259088E-14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344.49457749226184</v>
      </c>
      <c r="BJ152" s="62">
        <f t="shared" si="146"/>
        <v>207.92972431357452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287.69656598881124</v>
      </c>
      <c r="CE152" s="62">
        <f t="shared" si="148"/>
        <v>221.9773436301067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0.76055495240850524</v>
      </c>
      <c r="CL152" s="23">
        <f>EXP(-LN(2)/25)*CL151+(1-EXP(-LN(2)/25))/(LN(2)/25)*Calculateur!CG152*Calculateur!CI152*VLOOKUP('Données projet'!$B$12,Paramètres!$A$1:$I$89,3,0)*0.475*44/12</f>
        <v>0.25517217338256776</v>
      </c>
      <c r="CM152" s="23">
        <f>EXP(-LN(2)/2)*CM151+(1-EXP(-LN(2)/2))/(LN(2)/2)*CG152*CJ152*VLOOKUP('Données projet'!$B$12,Paramètres!$A$1:$I$89,3,0)*0.475*44/12</f>
        <v>8.3482749086411037E-18</v>
      </c>
      <c r="CN152" s="24">
        <f t="shared" si="120"/>
        <v>1.0157271257910729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-5.3205440053716299E-14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310.95287409903602</v>
      </c>
      <c r="CZ152" s="62">
        <f t="shared" si="150"/>
        <v>224.10083380795163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1.738044375088066E-13</v>
      </c>
      <c r="P153" s="14">
        <f t="shared" si="141"/>
        <v>2.4483293633950478E-12</v>
      </c>
      <c r="Q153" s="22">
        <f t="shared" si="108"/>
        <v>4.566883036574213E-12</v>
      </c>
      <c r="R153" s="62">
        <f t="shared" si="109"/>
        <v>293.33333333333786</v>
      </c>
      <c r="S153" s="62">
        <f ca="1">AVERAGE(OFFSET($R$3,0,0,'Données projet'!$E$9+1,1))-AVERAGE(OFFSET($H$3,0,0,'Données projet'!$E$9+1,1))</f>
        <v>253.73326067725128</v>
      </c>
      <c r="T153" s="62">
        <f t="shared" si="142"/>
        <v>317.76427047458026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0.42424627151443678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3.0197420667488139E-17</v>
      </c>
      <c r="AC153" s="24">
        <f t="shared" si="111"/>
        <v>0.42424627151443683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-5.9412741393316544E-14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406.17572122067492</v>
      </c>
      <c r="AO153" s="62">
        <f t="shared" si="144"/>
        <v>244.4332618279085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-5.1431925385259088E-14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344.49457749226184</v>
      </c>
      <c r="BJ153" s="62">
        <f t="shared" si="146"/>
        <v>207.92972431357452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287.69656598881124</v>
      </c>
      <c r="CE153" s="62">
        <f t="shared" si="148"/>
        <v>221.9773436301067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0.7456409336844898</v>
      </c>
      <c r="CL153" s="23">
        <f>EXP(-LN(2)/25)*CL152+(1-EXP(-LN(2)/25))/(LN(2)/25)*Calculateur!CG153*Calculateur!CI153*VLOOKUP('Données projet'!$B$12,Paramètres!$A$1:$I$89,3,0)*0.475*44/12</f>
        <v>0.24819447688250004</v>
      </c>
      <c r="CM153" s="23">
        <f>EXP(-LN(2)/2)*CM152+(1-EXP(-LN(2)/2))/(LN(2)/2)*CG153*CJ153*VLOOKUP('Données projet'!$B$12,Paramètres!$A$1:$I$89,3,0)*0.475*44/12</f>
        <v>5.9031217991096301E-18</v>
      </c>
      <c r="CN153" s="24">
        <f t="shared" si="120"/>
        <v>0.99383541056698987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-5.3205440053716299E-14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310.95287409903602</v>
      </c>
      <c r="CZ153" s="62">
        <f t="shared" si="150"/>
        <v>224.10083380795163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1.738044375088066E-13</v>
      </c>
      <c r="P154" s="14">
        <f t="shared" si="141"/>
        <v>2.4483293633950478E-12</v>
      </c>
      <c r="Q154" s="22">
        <f t="shared" ref="Q154:Q203" si="162">(O154+P154)*0.475*44/12</f>
        <v>4.566883036574213E-12</v>
      </c>
      <c r="R154" s="62">
        <f t="shared" si="109"/>
        <v>293.33333333333786</v>
      </c>
      <c r="S154" s="62">
        <f ca="1">AVERAGE(OFFSET($R$3,0,0,'Données projet'!$E$9+1,1))-AVERAGE(OFFSET($H$3,0,0,'Données projet'!$E$9+1,1))</f>
        <v>253.73326067725128</v>
      </c>
      <c r="T154" s="62">
        <f t="shared" si="142"/>
        <v>317.76427047458026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0.41592706089471343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2.1352800928323664E-17</v>
      </c>
      <c r="AC154" s="24">
        <f t="shared" ref="AC154:AC203" si="163">SUM(Z154:AB154)</f>
        <v>0.41592706089471343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-5.9412741393316544E-14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406.17572122067492</v>
      </c>
      <c r="AO154" s="62">
        <f t="shared" si="144"/>
        <v>244.4332618279085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-5.1431925385259088E-14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344.49457749226184</v>
      </c>
      <c r="BJ154" s="62">
        <f t="shared" si="146"/>
        <v>207.92972431357452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287.69656598881124</v>
      </c>
      <c r="CE154" s="62">
        <f t="shared" si="148"/>
        <v>221.9773436301067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0.73101936977099913</v>
      </c>
      <c r="CL154" s="23">
        <f>EXP(-LN(2)/25)*CL153+(1-EXP(-LN(2)/25))/(LN(2)/25)*Calculateur!CG154*Calculateur!CI154*VLOOKUP('Données projet'!$B$12,Paramètres!$A$1:$I$89,3,0)*0.475*44/12</f>
        <v>0.24140758586016781</v>
      </c>
      <c r="CM154" s="23">
        <f>EXP(-LN(2)/2)*CM153+(1-EXP(-LN(2)/2))/(LN(2)/2)*CG154*CJ154*VLOOKUP('Données projet'!$B$12,Paramètres!$A$1:$I$89,3,0)*0.475*44/12</f>
        <v>4.1741374543205519E-18</v>
      </c>
      <c r="CN154" s="24">
        <f t="shared" ref="CN154:CN203" si="172">SUM(CK154:CM154)</f>
        <v>0.97242695563116688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-5.3205440053716299E-14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310.95287409903602</v>
      </c>
      <c r="CZ154" s="62">
        <f t="shared" si="150"/>
        <v>224.10083380795163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1.738044375088066E-13</v>
      </c>
      <c r="P155" s="14">
        <f t="shared" si="141"/>
        <v>2.4483293633950478E-12</v>
      </c>
      <c r="Q155" s="22">
        <f t="shared" si="162"/>
        <v>4.566883036574213E-12</v>
      </c>
      <c r="R155" s="62">
        <f t="shared" si="109"/>
        <v>293.33333333333786</v>
      </c>
      <c r="S155" s="62">
        <f ca="1">AVERAGE(OFFSET($R$3,0,0,'Données projet'!$E$9+1,1))-AVERAGE(OFFSET($H$3,0,0,'Données projet'!$E$9+1,1))</f>
        <v>253.73326067725128</v>
      </c>
      <c r="T155" s="62">
        <f t="shared" si="142"/>
        <v>317.76427047458026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0.40777098492102537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1.509871033374407E-17</v>
      </c>
      <c r="AC155" s="24">
        <f t="shared" si="163"/>
        <v>0.40777098492102537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-5.9412741393316544E-14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406.17572122067492</v>
      </c>
      <c r="AO155" s="62">
        <f t="shared" si="144"/>
        <v>244.4332618279085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-5.1431925385259088E-14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344.49457749226184</v>
      </c>
      <c r="BJ155" s="62">
        <f t="shared" si="146"/>
        <v>207.92972431357452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287.69656598881124</v>
      </c>
      <c r="CE155" s="62">
        <f t="shared" si="148"/>
        <v>221.9773436301067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0.71668452580757858</v>
      </c>
      <c r="CL155" s="23">
        <f>EXP(-LN(2)/25)*CL154+(1-EXP(-LN(2)/25))/(LN(2)/25)*Calculateur!CG155*Calculateur!CI155*VLOOKUP('Données projet'!$B$12,Paramètres!$A$1:$I$89,3,0)*0.475*44/12</f>
        <v>0.23480628272974832</v>
      </c>
      <c r="CM155" s="23">
        <f>EXP(-LN(2)/2)*CM154+(1-EXP(-LN(2)/2))/(LN(2)/2)*CG155*CJ155*VLOOKUP('Données projet'!$B$12,Paramètres!$A$1:$I$89,3,0)*0.475*44/12</f>
        <v>2.951560899554815E-18</v>
      </c>
      <c r="CN155" s="24">
        <f t="shared" si="172"/>
        <v>0.95149080853732693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-5.3205440053716299E-14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310.95287409903602</v>
      </c>
      <c r="CZ155" s="62">
        <f t="shared" si="150"/>
        <v>224.10083380795163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1.738044375088066E-13</v>
      </c>
      <c r="P156" s="14">
        <f t="shared" si="141"/>
        <v>2.4483293633950478E-12</v>
      </c>
      <c r="Q156" s="22">
        <f t="shared" si="162"/>
        <v>4.566883036574213E-12</v>
      </c>
      <c r="R156" s="62">
        <f t="shared" si="109"/>
        <v>293.33333333333786</v>
      </c>
      <c r="S156" s="62">
        <f ca="1">AVERAGE(OFFSET($R$3,0,0,'Données projet'!$E$9+1,1))-AVERAGE(OFFSET($H$3,0,0,'Données projet'!$E$9+1,1))</f>
        <v>253.73326067725128</v>
      </c>
      <c r="T156" s="62">
        <f t="shared" si="142"/>
        <v>317.76427047458026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0.39977484462246621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1.0676400464161832E-17</v>
      </c>
      <c r="AC156" s="24">
        <f t="shared" si="163"/>
        <v>0.39977484462246621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-5.9412741393316544E-14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406.17572122067492</v>
      </c>
      <c r="AO156" s="62">
        <f t="shared" si="144"/>
        <v>244.4332618279085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-5.1431925385259088E-14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344.49457749226184</v>
      </c>
      <c r="BJ156" s="62">
        <f t="shared" si="146"/>
        <v>207.92972431357452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287.69656598881124</v>
      </c>
      <c r="CE156" s="62">
        <f t="shared" si="148"/>
        <v>221.9773436301067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0.70263077939088925</v>
      </c>
      <c r="CL156" s="23">
        <f>EXP(-LN(2)/25)*CL155+(1-EXP(-LN(2)/25))/(LN(2)/25)*Calculateur!CG156*Calculateur!CI156*VLOOKUP('Données projet'!$B$12,Paramètres!$A$1:$I$89,3,0)*0.475*44/12</f>
        <v>0.22838549258057761</v>
      </c>
      <c r="CM156" s="23">
        <f>EXP(-LN(2)/2)*CM155+(1-EXP(-LN(2)/2))/(LN(2)/2)*CG156*CJ156*VLOOKUP('Données projet'!$B$12,Paramètres!$A$1:$I$89,3,0)*0.475*44/12</f>
        <v>2.0870687271602759E-18</v>
      </c>
      <c r="CN156" s="24">
        <f t="shared" si="172"/>
        <v>0.93101627197146686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-5.3205440053716299E-14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310.95287409903602</v>
      </c>
      <c r="CZ156" s="62">
        <f t="shared" si="150"/>
        <v>224.10083380795163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1.738044375088066E-13</v>
      </c>
      <c r="P157" s="14">
        <f t="shared" si="141"/>
        <v>2.4483293633950478E-12</v>
      </c>
      <c r="Q157" s="22">
        <f t="shared" si="162"/>
        <v>4.566883036574213E-12</v>
      </c>
      <c r="R157" s="62">
        <f t="shared" si="109"/>
        <v>293.33333333333786</v>
      </c>
      <c r="S157" s="62">
        <f ca="1">AVERAGE(OFFSET($R$3,0,0,'Données projet'!$E$9+1,1))-AVERAGE(OFFSET($H$3,0,0,'Données projet'!$E$9+1,1))</f>
        <v>253.73326067725128</v>
      </c>
      <c r="T157" s="62">
        <f t="shared" si="142"/>
        <v>317.76427047458026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0.39193550375799779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7.5493551668720349E-18</v>
      </c>
      <c r="AC157" s="24">
        <f t="shared" si="163"/>
        <v>0.39193550375799779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-5.9412741393316544E-14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406.17572122067492</v>
      </c>
      <c r="AO157" s="62">
        <f t="shared" si="144"/>
        <v>244.4332618279085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-5.1431925385259088E-14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344.49457749226184</v>
      </c>
      <c r="BJ157" s="62">
        <f t="shared" si="146"/>
        <v>207.92972431357452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287.69656598881124</v>
      </c>
      <c r="CE157" s="62">
        <f t="shared" si="148"/>
        <v>221.9773436301067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0.6888526183694923</v>
      </c>
      <c r="CL157" s="23">
        <f>EXP(-LN(2)/25)*CL156+(1-EXP(-LN(2)/25))/(LN(2)/25)*Calculateur!CG157*Calculateur!CI157*VLOOKUP('Données projet'!$B$12,Paramètres!$A$1:$I$89,3,0)*0.475*44/12</f>
        <v>0.22214027927569063</v>
      </c>
      <c r="CM157" s="23">
        <f>EXP(-LN(2)/2)*CM156+(1-EXP(-LN(2)/2))/(LN(2)/2)*CG157*CJ157*VLOOKUP('Données projet'!$B$12,Paramètres!$A$1:$I$89,3,0)*0.475*44/12</f>
        <v>1.4757804497774075E-18</v>
      </c>
      <c r="CN157" s="24">
        <f t="shared" si="172"/>
        <v>0.91099289764518288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-5.3205440053716299E-14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310.95287409903602</v>
      </c>
      <c r="CZ157" s="62">
        <f t="shared" si="150"/>
        <v>224.10083380795163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1.738044375088066E-13</v>
      </c>
      <c r="P158" s="14">
        <f t="shared" si="141"/>
        <v>2.4483293633950478E-12</v>
      </c>
      <c r="Q158" s="22">
        <f t="shared" si="162"/>
        <v>4.566883036574213E-12</v>
      </c>
      <c r="R158" s="62">
        <f t="shared" si="109"/>
        <v>293.33333333333786</v>
      </c>
      <c r="S158" s="62">
        <f ca="1">AVERAGE(OFFSET($R$3,0,0,'Données projet'!$E$9+1,1))-AVERAGE(OFFSET($H$3,0,0,'Données projet'!$E$9+1,1))</f>
        <v>253.73326067725128</v>
      </c>
      <c r="T158" s="62">
        <f t="shared" si="142"/>
        <v>317.76427047458026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0.38424988758635581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5.338200232080916E-18</v>
      </c>
      <c r="AC158" s="24">
        <f t="shared" si="163"/>
        <v>0.38424988758635581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-5.9412741393316544E-14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406.17572122067492</v>
      </c>
      <c r="AO158" s="62">
        <f t="shared" si="144"/>
        <v>244.4332618279085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-5.1431925385259088E-14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344.49457749226184</v>
      </c>
      <c r="BJ158" s="62">
        <f t="shared" si="146"/>
        <v>207.92972431357452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287.69656598881124</v>
      </c>
      <c r="CE158" s="62">
        <f t="shared" si="148"/>
        <v>221.9773436301067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0.67534463868187655</v>
      </c>
      <c r="CL158" s="23">
        <f>EXP(-LN(2)/25)*CL157+(1-EXP(-LN(2)/25))/(LN(2)/25)*Calculateur!CG158*Calculateur!CI158*VLOOKUP('Données projet'!$B$12,Paramètres!$A$1:$I$89,3,0)*0.475*44/12</f>
        <v>0.21606584165704729</v>
      </c>
      <c r="CM158" s="23">
        <f>EXP(-LN(2)/2)*CM157+(1-EXP(-LN(2)/2))/(LN(2)/2)*CG158*CJ158*VLOOKUP('Données projet'!$B$12,Paramètres!$A$1:$I$89,3,0)*0.475*44/12</f>
        <v>1.043534363580138E-18</v>
      </c>
      <c r="CN158" s="24">
        <f t="shared" si="172"/>
        <v>0.89141048033892378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-5.3205440053716299E-14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310.95287409903602</v>
      </c>
      <c r="CZ158" s="62">
        <f t="shared" si="150"/>
        <v>224.10083380795163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1.738044375088066E-13</v>
      </c>
      <c r="P159" s="14">
        <f t="shared" si="141"/>
        <v>2.4483293633950478E-12</v>
      </c>
      <c r="Q159" s="22">
        <f t="shared" si="162"/>
        <v>4.566883036574213E-12</v>
      </c>
      <c r="R159" s="62">
        <f t="shared" si="109"/>
        <v>293.33333333333786</v>
      </c>
      <c r="S159" s="62">
        <f ca="1">AVERAGE(OFFSET($R$3,0,0,'Données projet'!$E$9+1,1))-AVERAGE(OFFSET($H$3,0,0,'Données projet'!$E$9+1,1))</f>
        <v>253.73326067725128</v>
      </c>
      <c r="T159" s="62">
        <f t="shared" si="142"/>
        <v>317.76427047458026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0.37671498166007678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3.7746775834360174E-18</v>
      </c>
      <c r="AC159" s="24">
        <f t="shared" si="163"/>
        <v>0.37671498166007678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-5.9412741393316544E-14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406.17572122067492</v>
      </c>
      <c r="AO159" s="62">
        <f t="shared" si="144"/>
        <v>244.4332618279085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-5.1431925385259088E-14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344.49457749226184</v>
      </c>
      <c r="BJ159" s="62">
        <f t="shared" si="146"/>
        <v>207.92972431357452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287.69656598881124</v>
      </c>
      <c r="CE159" s="62">
        <f t="shared" si="148"/>
        <v>221.9773436301067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0.66210154223688089</v>
      </c>
      <c r="CL159" s="23">
        <f>EXP(-LN(2)/25)*CL158+(1-EXP(-LN(2)/25))/(LN(2)/25)*Calculateur!CG159*Calculateur!CI159*VLOOKUP('Données projet'!$B$12,Paramètres!$A$1:$I$89,3,0)*0.475*44/12</f>
        <v>0.21015750985452655</v>
      </c>
      <c r="CM159" s="23">
        <f>EXP(-LN(2)/2)*CM158+(1-EXP(-LN(2)/2))/(LN(2)/2)*CG159*CJ159*VLOOKUP('Données projet'!$B$12,Paramètres!$A$1:$I$89,3,0)*0.475*44/12</f>
        <v>7.3789022488870376E-19</v>
      </c>
      <c r="CN159" s="24">
        <f t="shared" si="172"/>
        <v>0.87225905209140742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-5.3205440053716299E-14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310.95287409903602</v>
      </c>
      <c r="CZ159" s="62">
        <f t="shared" si="150"/>
        <v>224.10083380795163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1.738044375088066E-13</v>
      </c>
      <c r="P160" s="14">
        <f t="shared" si="141"/>
        <v>2.4483293633950478E-12</v>
      </c>
      <c r="Q160" s="22">
        <f t="shared" si="162"/>
        <v>4.566883036574213E-12</v>
      </c>
      <c r="R160" s="62">
        <f t="shared" si="109"/>
        <v>293.33333333333786</v>
      </c>
      <c r="S160" s="62">
        <f ca="1">AVERAGE(OFFSET($R$3,0,0,'Données projet'!$E$9+1,1))-AVERAGE(OFFSET($H$3,0,0,'Données projet'!$E$9+1,1))</f>
        <v>253.73326067725128</v>
      </c>
      <c r="T160" s="62">
        <f t="shared" si="142"/>
        <v>317.76427047458026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0.36932783064317326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2.669100116040458E-18</v>
      </c>
      <c r="AC160" s="24">
        <f t="shared" si="163"/>
        <v>0.36932783064317326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-5.9412741393316544E-14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406.17572122067492</v>
      </c>
      <c r="AO160" s="62">
        <f t="shared" si="144"/>
        <v>244.4332618279085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-5.1431925385259088E-14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344.49457749226184</v>
      </c>
      <c r="BJ160" s="62">
        <f t="shared" si="146"/>
        <v>207.92972431357452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287.69656598881124</v>
      </c>
      <c r="CE160" s="62">
        <f t="shared" si="148"/>
        <v>221.9773436301067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0.64911813483568037</v>
      </c>
      <c r="CL160" s="23">
        <f>EXP(-LN(2)/25)*CL159+(1-EXP(-LN(2)/25))/(LN(2)/25)*Calculateur!CG160*Calculateur!CI160*VLOOKUP('Données projet'!$B$12,Paramètres!$A$1:$I$89,3,0)*0.475*44/12</f>
        <v>0.20441074169585141</v>
      </c>
      <c r="CM160" s="23">
        <f>EXP(-LN(2)/2)*CM159+(1-EXP(-LN(2)/2))/(LN(2)/2)*CG160*CJ160*VLOOKUP('Données projet'!$B$12,Paramètres!$A$1:$I$89,3,0)*0.475*44/12</f>
        <v>5.2176718179006898E-19</v>
      </c>
      <c r="CN160" s="24">
        <f t="shared" si="172"/>
        <v>0.85352887653153175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-5.3205440053716299E-14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310.95287409903602</v>
      </c>
      <c r="CZ160" s="62">
        <f t="shared" si="150"/>
        <v>224.10083380795163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1.738044375088066E-13</v>
      </c>
      <c r="P161" s="14">
        <f t="shared" si="141"/>
        <v>2.4483293633950478E-12</v>
      </c>
      <c r="Q161" s="22">
        <f t="shared" si="162"/>
        <v>4.566883036574213E-12</v>
      </c>
      <c r="R161" s="62">
        <f t="shared" si="109"/>
        <v>293.33333333333786</v>
      </c>
      <c r="S161" s="62">
        <f ca="1">AVERAGE(OFFSET($R$3,0,0,'Données projet'!$E$9+1,1))-AVERAGE(OFFSET($H$3,0,0,'Données projet'!$E$9+1,1))</f>
        <v>253.73326067725128</v>
      </c>
      <c r="T161" s="62">
        <f t="shared" si="142"/>
        <v>317.76427047458026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0.36208553715199399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1.8873387917180087E-18</v>
      </c>
      <c r="AC161" s="24">
        <f t="shared" si="163"/>
        <v>0.36208553715199399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-5.9412741393316544E-14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406.17572122067492</v>
      </c>
      <c r="AO161" s="62">
        <f t="shared" si="144"/>
        <v>244.4332618279085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-5.1431925385259088E-14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344.49457749226184</v>
      </c>
      <c r="BJ161" s="62">
        <f t="shared" si="146"/>
        <v>207.92972431357452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287.69656598881124</v>
      </c>
      <c r="CE161" s="62">
        <f t="shared" si="148"/>
        <v>221.9773436301067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0.63638932413452076</v>
      </c>
      <c r="CL161" s="23">
        <f>EXP(-LN(2)/25)*CL160+(1-EXP(-LN(2)/25))/(LN(2)/25)*Calculateur!CG161*Calculateur!CI161*VLOOKUP('Données projet'!$B$12,Paramètres!$A$1:$I$89,3,0)*0.475*44/12</f>
        <v>0.19882111921468462</v>
      </c>
      <c r="CM161" s="23">
        <f>EXP(-LN(2)/2)*CM160+(1-EXP(-LN(2)/2))/(LN(2)/2)*CG161*CJ161*VLOOKUP('Données projet'!$B$12,Paramètres!$A$1:$I$89,3,0)*0.475*44/12</f>
        <v>3.6894511244435188E-19</v>
      </c>
      <c r="CN161" s="24">
        <f t="shared" si="172"/>
        <v>0.83521044334920536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-5.3205440053716299E-14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310.95287409903602</v>
      </c>
      <c r="CZ161" s="62">
        <f t="shared" si="150"/>
        <v>224.10083380795163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1.738044375088066E-13</v>
      </c>
      <c r="P162" s="14">
        <f t="shared" si="141"/>
        <v>2.4483293633950478E-12</v>
      </c>
      <c r="Q162" s="22">
        <f t="shared" si="162"/>
        <v>4.566883036574213E-12</v>
      </c>
      <c r="R162" s="62">
        <f t="shared" si="109"/>
        <v>293.33333333333786</v>
      </c>
      <c r="S162" s="62">
        <f ca="1">AVERAGE(OFFSET($R$3,0,0,'Données projet'!$E$9+1,1))-AVERAGE(OFFSET($H$3,0,0,'Données projet'!$E$9+1,1))</f>
        <v>253.73326067725128</v>
      </c>
      <c r="T162" s="62">
        <f t="shared" si="142"/>
        <v>317.76427047458026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0.35498526061881386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1.334550058020229E-18</v>
      </c>
      <c r="AC162" s="24">
        <f t="shared" si="163"/>
        <v>0.35498526061881386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-5.9412741393316544E-14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406.17572122067492</v>
      </c>
      <c r="AO162" s="62">
        <f t="shared" si="144"/>
        <v>244.4332618279085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-5.1431925385259088E-14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344.49457749226184</v>
      </c>
      <c r="BJ162" s="62">
        <f t="shared" si="146"/>
        <v>207.92972431357452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287.69656598881124</v>
      </c>
      <c r="CE162" s="62">
        <f t="shared" si="148"/>
        <v>221.9773436301067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0.62391011764740301</v>
      </c>
      <c r="CL162" s="23">
        <f>EXP(-LN(2)/25)*CL161+(1-EXP(-LN(2)/25))/(LN(2)/25)*Calculateur!CG162*Calculateur!CI162*VLOOKUP('Données projet'!$B$12,Paramètres!$A$1:$I$89,3,0)*0.475*44/12</f>
        <v>0.19338434525421083</v>
      </c>
      <c r="CM162" s="23">
        <f>EXP(-LN(2)/2)*CM161+(1-EXP(-LN(2)/2))/(LN(2)/2)*CG162*CJ162*VLOOKUP('Données projet'!$B$12,Paramètres!$A$1:$I$89,3,0)*0.475*44/12</f>
        <v>2.6088359089503449E-19</v>
      </c>
      <c r="CN162" s="24">
        <f t="shared" si="172"/>
        <v>0.81729446290161389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-5.3205440053716299E-14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310.95287409903602</v>
      </c>
      <c r="CZ162" s="62">
        <f t="shared" si="150"/>
        <v>224.10083380795163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1.738044375088066E-13</v>
      </c>
      <c r="P163" s="14">
        <f t="shared" si="141"/>
        <v>2.4483293633950478E-12</v>
      </c>
      <c r="Q163" s="22">
        <f t="shared" si="162"/>
        <v>4.566883036574213E-12</v>
      </c>
      <c r="R163" s="62">
        <f t="shared" si="109"/>
        <v>293.33333333333786</v>
      </c>
      <c r="S163" s="62">
        <f ca="1">AVERAGE(OFFSET($R$3,0,0,'Données projet'!$E$9+1,1))-AVERAGE(OFFSET($H$3,0,0,'Données projet'!$E$9+1,1))</f>
        <v>253.73326067725128</v>
      </c>
      <c r="T163" s="62">
        <f t="shared" si="142"/>
        <v>317.76427047458026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0.34802421617770835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9.4366939585900436E-19</v>
      </c>
      <c r="AC163" s="24">
        <f t="shared" si="163"/>
        <v>0.34802421617770835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-5.9412741393316544E-14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406.17572122067492</v>
      </c>
      <c r="AO163" s="62">
        <f t="shared" si="144"/>
        <v>244.4332618279085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-5.1431925385259088E-14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344.49457749226184</v>
      </c>
      <c r="BJ163" s="62">
        <f t="shared" si="146"/>
        <v>207.92972431357452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287.69656598881124</v>
      </c>
      <c r="CE163" s="62">
        <f t="shared" si="148"/>
        <v>221.9773436301067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0.61167562078793325</v>
      </c>
      <c r="CL163" s="23">
        <f>EXP(-LN(2)/25)*CL162+(1-EXP(-LN(2)/25))/(LN(2)/25)*Calculateur!CG163*Calculateur!CI163*VLOOKUP('Données projet'!$B$12,Paramètres!$A$1:$I$89,3,0)*0.475*44/12</f>
        <v>0.18809624016359369</v>
      </c>
      <c r="CM163" s="23">
        <f>EXP(-LN(2)/2)*CM162+(1-EXP(-LN(2)/2))/(LN(2)/2)*CG163*CJ163*VLOOKUP('Données projet'!$B$12,Paramètres!$A$1:$I$89,3,0)*0.475*44/12</f>
        <v>1.8447255622217594E-19</v>
      </c>
      <c r="CN163" s="24">
        <f t="shared" si="172"/>
        <v>0.79977186095152697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-5.3205440053716299E-14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310.95287409903602</v>
      </c>
      <c r="CZ163" s="62">
        <f t="shared" si="150"/>
        <v>224.10083380795163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1.738044375088066E-13</v>
      </c>
      <c r="P164" s="14">
        <f t="shared" si="141"/>
        <v>2.4483293633950478E-12</v>
      </c>
      <c r="Q164" s="22">
        <f t="shared" si="162"/>
        <v>4.566883036574213E-12</v>
      </c>
      <c r="R164" s="62">
        <f t="shared" si="109"/>
        <v>293.33333333333786</v>
      </c>
      <c r="S164" s="62">
        <f ca="1">AVERAGE(OFFSET($R$3,0,0,'Données projet'!$E$9+1,1))-AVERAGE(OFFSET($H$3,0,0,'Données projet'!$E$9+1,1))</f>
        <v>253.73326067725128</v>
      </c>
      <c r="T164" s="62">
        <f t="shared" si="142"/>
        <v>317.76427047458026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0.34119967357227504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6.672750290101145E-19</v>
      </c>
      <c r="AC164" s="24">
        <f t="shared" si="163"/>
        <v>0.34119967357227504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-5.9412741393316544E-14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406.17572122067492</v>
      </c>
      <c r="AO164" s="62">
        <f t="shared" si="144"/>
        <v>244.4332618279085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-5.1431925385259088E-14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344.49457749226184</v>
      </c>
      <c r="BJ164" s="62">
        <f t="shared" si="146"/>
        <v>207.92972431357452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287.69656598881124</v>
      </c>
      <c r="CE164" s="62">
        <f t="shared" si="148"/>
        <v>221.9773436301067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0.59968103494957148</v>
      </c>
      <c r="CL164" s="23">
        <f>EXP(-LN(2)/25)*CL163+(1-EXP(-LN(2)/25))/(LN(2)/25)*Calculateur!CG164*Calculateur!CI164*VLOOKUP('Données projet'!$B$12,Paramètres!$A$1:$I$89,3,0)*0.475*44/12</f>
        <v>0.18295273858476885</v>
      </c>
      <c r="CM164" s="23">
        <f>EXP(-LN(2)/2)*CM163+(1-EXP(-LN(2)/2))/(LN(2)/2)*CG164*CJ164*VLOOKUP('Données projet'!$B$12,Paramètres!$A$1:$I$89,3,0)*0.475*44/12</f>
        <v>1.3044179544751725E-19</v>
      </c>
      <c r="CN164" s="24">
        <f t="shared" si="172"/>
        <v>0.78263377353434027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-5.3205440053716299E-14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310.95287409903602</v>
      </c>
      <c r="CZ164" s="62">
        <f t="shared" si="150"/>
        <v>224.10083380795163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1.738044375088066E-13</v>
      </c>
      <c r="P165" s="14">
        <f t="shared" si="141"/>
        <v>2.4483293633950478E-12</v>
      </c>
      <c r="Q165" s="22">
        <f t="shared" si="162"/>
        <v>4.566883036574213E-12</v>
      </c>
      <c r="R165" s="62">
        <f t="shared" si="109"/>
        <v>293.33333333333786</v>
      </c>
      <c r="S165" s="62">
        <f ca="1">AVERAGE(OFFSET($R$3,0,0,'Données projet'!$E$9+1,1))-AVERAGE(OFFSET($H$3,0,0,'Données projet'!$E$9+1,1))</f>
        <v>253.73326067725128</v>
      </c>
      <c r="T165" s="62">
        <f t="shared" si="142"/>
        <v>317.76427047458026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0.33450895608477432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4.7183469792950218E-19</v>
      </c>
      <c r="AC165" s="24">
        <f t="shared" si="163"/>
        <v>0.33450895608477432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-5.9412741393316544E-14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406.17572122067492</v>
      </c>
      <c r="AO165" s="62">
        <f t="shared" si="144"/>
        <v>244.4332618279085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-5.1431925385259088E-14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344.49457749226184</v>
      </c>
      <c r="BJ165" s="62">
        <f t="shared" si="146"/>
        <v>207.92972431357452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287.69656598881124</v>
      </c>
      <c r="CE165" s="62">
        <f t="shared" si="148"/>
        <v>221.9773436301067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0.58792165562352494</v>
      </c>
      <c r="CL165" s="23">
        <f>EXP(-LN(2)/25)*CL164+(1-EXP(-LN(2)/25))/(LN(2)/25)*Calculateur!CG165*Calculateur!CI165*VLOOKUP('Données projet'!$B$12,Paramètres!$A$1:$I$89,3,0)*0.475*44/12</f>
        <v>0.17794988632710196</v>
      </c>
      <c r="CM165" s="23">
        <f>EXP(-LN(2)/2)*CM164+(1-EXP(-LN(2)/2))/(LN(2)/2)*CG165*CJ165*VLOOKUP('Données projet'!$B$12,Paramètres!$A$1:$I$89,3,0)*0.475*44/12</f>
        <v>9.223627811108797E-20</v>
      </c>
      <c r="CN165" s="24">
        <f t="shared" si="172"/>
        <v>0.7658715419506269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-5.3205440053716299E-14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310.95287409903602</v>
      </c>
      <c r="CZ165" s="62">
        <f t="shared" si="150"/>
        <v>224.10083380795163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1.738044375088066E-13</v>
      </c>
      <c r="P166" s="14">
        <f t="shared" si="141"/>
        <v>2.4483293633950478E-12</v>
      </c>
      <c r="Q166" s="22">
        <f t="shared" si="162"/>
        <v>4.566883036574213E-12</v>
      </c>
      <c r="R166" s="62">
        <f t="shared" si="109"/>
        <v>293.33333333333786</v>
      </c>
      <c r="S166" s="62">
        <f ca="1">AVERAGE(OFFSET($R$3,0,0,'Données projet'!$E$9+1,1))-AVERAGE(OFFSET($H$3,0,0,'Données projet'!$E$9+1,1))</f>
        <v>253.73326067725128</v>
      </c>
      <c r="T166" s="62">
        <f t="shared" si="142"/>
        <v>317.76427047458026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0.32794943948626881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3.3363751450505725E-19</v>
      </c>
      <c r="AC166" s="24">
        <f t="shared" si="163"/>
        <v>0.32794943948626881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-5.9412741393316544E-14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406.17572122067492</v>
      </c>
      <c r="AO166" s="62">
        <f t="shared" si="144"/>
        <v>244.4332618279085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-5.1431925385259088E-14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344.49457749226184</v>
      </c>
      <c r="BJ166" s="62">
        <f t="shared" si="146"/>
        <v>207.92972431357452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287.69656598881124</v>
      </c>
      <c r="CE166" s="62">
        <f t="shared" si="148"/>
        <v>221.9773436301067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0.57639287055354904</v>
      </c>
      <c r="CL166" s="23">
        <f>EXP(-LN(2)/25)*CL165+(1-EXP(-LN(2)/25))/(LN(2)/25)*Calculateur!CG166*Calculateur!CI166*VLOOKUP('Données projet'!$B$12,Paramètres!$A$1:$I$89,3,0)*0.475*44/12</f>
        <v>0.17308383732750954</v>
      </c>
      <c r="CM166" s="23">
        <f>EXP(-LN(2)/2)*CM165+(1-EXP(-LN(2)/2))/(LN(2)/2)*CG166*CJ166*VLOOKUP('Données projet'!$B$12,Paramètres!$A$1:$I$89,3,0)*0.475*44/12</f>
        <v>6.5220897723758623E-20</v>
      </c>
      <c r="CN166" s="24">
        <f t="shared" si="172"/>
        <v>0.74947670788105858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-5.3205440053716299E-14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310.95287409903602</v>
      </c>
      <c r="CZ166" s="62">
        <f t="shared" si="150"/>
        <v>224.10083380795163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1.738044375088066E-13</v>
      </c>
      <c r="P167" s="14">
        <f t="shared" si="141"/>
        <v>2.4483293633950478E-12</v>
      </c>
      <c r="Q167" s="22">
        <f t="shared" si="162"/>
        <v>4.566883036574213E-12</v>
      </c>
      <c r="R167" s="62">
        <f t="shared" si="109"/>
        <v>293.33333333333786</v>
      </c>
      <c r="S167" s="62">
        <f ca="1">AVERAGE(OFFSET($R$3,0,0,'Données projet'!$E$9+1,1))-AVERAGE(OFFSET($H$3,0,0,'Données projet'!$E$9+1,1))</f>
        <v>253.73326067725128</v>
      </c>
      <c r="T167" s="62">
        <f t="shared" si="142"/>
        <v>317.76427047458026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0.32151855100734988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2.3591734896475109E-19</v>
      </c>
      <c r="AC167" s="24">
        <f t="shared" si="163"/>
        <v>0.32151855100734988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-5.9412741393316544E-14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406.17572122067492</v>
      </c>
      <c r="AO167" s="62">
        <f t="shared" si="144"/>
        <v>244.4332618279085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-5.1431925385259088E-14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344.49457749226184</v>
      </c>
      <c r="BJ167" s="62">
        <f t="shared" si="146"/>
        <v>207.92972431357452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287.69656598881124</v>
      </c>
      <c r="CE167" s="62">
        <f t="shared" si="148"/>
        <v>221.9773436301067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0.56509015792693085</v>
      </c>
      <c r="CL167" s="23">
        <f>EXP(-LN(2)/25)*CL166+(1-EXP(-LN(2)/25))/(LN(2)/25)*Calculateur!CG167*Calculateur!CI167*VLOOKUP('Données projet'!$B$12,Paramètres!$A$1:$I$89,3,0)*0.475*44/12</f>
        <v>0.16835085069370537</v>
      </c>
      <c r="CM167" s="23">
        <f>EXP(-LN(2)/2)*CM166+(1-EXP(-LN(2)/2))/(LN(2)/2)*CG167*CJ167*VLOOKUP('Données projet'!$B$12,Paramètres!$A$1:$I$89,3,0)*0.475*44/12</f>
        <v>4.6118139055543985E-20</v>
      </c>
      <c r="CN167" s="24">
        <f t="shared" si="172"/>
        <v>0.73344100862063621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-5.3205440053716299E-14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310.95287409903602</v>
      </c>
      <c r="CZ167" s="62">
        <f t="shared" si="150"/>
        <v>224.10083380795163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1.738044375088066E-13</v>
      </c>
      <c r="P168" s="14">
        <f t="shared" si="141"/>
        <v>2.4483293633950478E-12</v>
      </c>
      <c r="Q168" s="22">
        <f t="shared" si="162"/>
        <v>4.566883036574213E-12</v>
      </c>
      <c r="R168" s="62">
        <f t="shared" si="109"/>
        <v>293.33333333333786</v>
      </c>
      <c r="S168" s="62">
        <f ca="1">AVERAGE(OFFSET($R$3,0,0,'Données projet'!$E$9+1,1))-AVERAGE(OFFSET($H$3,0,0,'Données projet'!$E$9+1,1))</f>
        <v>253.73326067725128</v>
      </c>
      <c r="T168" s="62">
        <f t="shared" si="142"/>
        <v>317.76427047458026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0.31521376832904791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1.6681875725252863E-19</v>
      </c>
      <c r="AC168" s="24">
        <f t="shared" si="163"/>
        <v>0.31521376832904791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-5.9412741393316544E-14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406.17572122067492</v>
      </c>
      <c r="AO168" s="62">
        <f t="shared" si="144"/>
        <v>244.4332618279085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-5.1431925385259088E-14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344.49457749226184</v>
      </c>
      <c r="BJ168" s="62">
        <f t="shared" si="146"/>
        <v>207.92972431357452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287.69656598881124</v>
      </c>
      <c r="CE168" s="62">
        <f t="shared" si="148"/>
        <v>221.9773436301067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0.55400908460094667</v>
      </c>
      <c r="CL168" s="23">
        <f>EXP(-LN(2)/25)*CL167+(1-EXP(-LN(2)/25))/(LN(2)/25)*Calculateur!CG168*Calculateur!CI168*VLOOKUP('Données projet'!$B$12,Paramètres!$A$1:$I$89,3,0)*0.475*44/12</f>
        <v>0.16374728782829953</v>
      </c>
      <c r="CM168" s="23">
        <f>EXP(-LN(2)/2)*CM167+(1-EXP(-LN(2)/2))/(LN(2)/2)*CG168*CJ168*VLOOKUP('Données projet'!$B$12,Paramètres!$A$1:$I$89,3,0)*0.475*44/12</f>
        <v>3.2610448861879311E-20</v>
      </c>
      <c r="CN168" s="24">
        <f t="shared" si="172"/>
        <v>0.71775637242924617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-5.3205440053716299E-14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310.95287409903602</v>
      </c>
      <c r="CZ168" s="62">
        <f t="shared" si="150"/>
        <v>224.10083380795163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1.738044375088066E-13</v>
      </c>
      <c r="P169" s="14">
        <f t="shared" si="141"/>
        <v>2.4483293633950478E-12</v>
      </c>
      <c r="Q169" s="22">
        <f t="shared" si="162"/>
        <v>4.566883036574213E-12</v>
      </c>
      <c r="R169" s="62">
        <f t="shared" si="109"/>
        <v>293.33333333333786</v>
      </c>
      <c r="S169" s="62">
        <f ca="1">AVERAGE(OFFSET($R$3,0,0,'Données projet'!$E$9+1,1))-AVERAGE(OFFSET($H$3,0,0,'Données projet'!$E$9+1,1))</f>
        <v>253.73326067725128</v>
      </c>
      <c r="T169" s="62">
        <f t="shared" si="142"/>
        <v>317.76427047458026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0.30903261859352971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1.1795867448237554E-19</v>
      </c>
      <c r="AC169" s="24">
        <f t="shared" si="163"/>
        <v>0.30903261859352971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-5.9412741393316544E-14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406.17572122067492</v>
      </c>
      <c r="AO169" s="62">
        <f t="shared" si="144"/>
        <v>244.4332618279085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-5.1431925385259088E-14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344.49457749226184</v>
      </c>
      <c r="BJ169" s="62">
        <f t="shared" si="146"/>
        <v>207.92972431357452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287.69656598881124</v>
      </c>
      <c r="CE169" s="62">
        <f t="shared" si="148"/>
        <v>221.9773436301067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0.54314530436409769</v>
      </c>
      <c r="CL169" s="23">
        <f>EXP(-LN(2)/25)*CL168+(1-EXP(-LN(2)/25))/(LN(2)/25)*Calculateur!CG169*Calculateur!CI169*VLOOKUP('Données projet'!$B$12,Paramètres!$A$1:$I$89,3,0)*0.475*44/12</f>
        <v>0.15926960963153905</v>
      </c>
      <c r="CM169" s="23">
        <f>EXP(-LN(2)/2)*CM168+(1-EXP(-LN(2)/2))/(LN(2)/2)*CG169*CJ169*VLOOKUP('Données projet'!$B$12,Paramètres!$A$1:$I$89,3,0)*0.475*44/12</f>
        <v>2.3059069527771992E-20</v>
      </c>
      <c r="CN169" s="24">
        <f t="shared" si="172"/>
        <v>0.70241491399563671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-5.3205440053716299E-14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310.95287409903602</v>
      </c>
      <c r="CZ169" s="62">
        <f t="shared" si="150"/>
        <v>224.10083380795163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1.738044375088066E-13</v>
      </c>
      <c r="P170" s="14">
        <f t="shared" si="141"/>
        <v>2.4483293633950478E-12</v>
      </c>
      <c r="Q170" s="22">
        <f t="shared" si="162"/>
        <v>4.566883036574213E-12</v>
      </c>
      <c r="R170" s="62">
        <f t="shared" si="109"/>
        <v>293.33333333333786</v>
      </c>
      <c r="S170" s="62">
        <f ca="1">AVERAGE(OFFSET($R$3,0,0,'Données projet'!$E$9+1,1))-AVERAGE(OFFSET($H$3,0,0,'Données projet'!$E$9+1,1))</f>
        <v>253.73326067725128</v>
      </c>
      <c r="T170" s="62">
        <f t="shared" si="142"/>
        <v>317.76427047458026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0.30297267743419598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8.3409378626264313E-20</v>
      </c>
      <c r="AC170" s="24">
        <f t="shared" si="163"/>
        <v>0.30297267743419598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-5.9412741393316544E-14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406.17572122067492</v>
      </c>
      <c r="AO170" s="62">
        <f t="shared" si="144"/>
        <v>244.4332618279085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-5.1431925385259088E-14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344.49457749226184</v>
      </c>
      <c r="BJ170" s="62">
        <f t="shared" si="146"/>
        <v>207.92972431357452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287.69656598881124</v>
      </c>
      <c r="CE170" s="62">
        <f t="shared" si="148"/>
        <v>221.9773436301067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0.5324945562314416</v>
      </c>
      <c r="CL170" s="23">
        <f>EXP(-LN(2)/25)*CL169+(1-EXP(-LN(2)/25))/(LN(2)/25)*Calculateur!CG170*Calculateur!CI170*VLOOKUP('Données projet'!$B$12,Paramètres!$A$1:$I$89,3,0)*0.475*44/12</f>
        <v>0.15491437378053985</v>
      </c>
      <c r="CM170" s="23">
        <f>EXP(-LN(2)/2)*CM169+(1-EXP(-LN(2)/2))/(LN(2)/2)*CG170*CJ170*VLOOKUP('Données projet'!$B$12,Paramètres!$A$1:$I$89,3,0)*0.475*44/12</f>
        <v>1.6305224430939656E-20</v>
      </c>
      <c r="CN170" s="24">
        <f t="shared" si="172"/>
        <v>0.68740893001198144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-5.3205440053716299E-14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310.95287409903602</v>
      </c>
      <c r="CZ170" s="62">
        <f t="shared" si="150"/>
        <v>224.10083380795163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1.738044375088066E-13</v>
      </c>
      <c r="P171" s="14">
        <f t="shared" si="141"/>
        <v>2.4483293633950478E-12</v>
      </c>
      <c r="Q171" s="22">
        <f t="shared" si="162"/>
        <v>4.566883036574213E-12</v>
      </c>
      <c r="R171" s="62">
        <f t="shared" si="109"/>
        <v>293.33333333333786</v>
      </c>
      <c r="S171" s="62">
        <f ca="1">AVERAGE(OFFSET($R$3,0,0,'Données projet'!$E$9+1,1))-AVERAGE(OFFSET($H$3,0,0,'Données projet'!$E$9+1,1))</f>
        <v>253.73326067725128</v>
      </c>
      <c r="T171" s="62">
        <f t="shared" si="142"/>
        <v>317.76427047458026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0.29703156802479763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5.8979337241187772E-20</v>
      </c>
      <c r="AC171" s="24">
        <f t="shared" si="163"/>
        <v>0.29703156802479763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-5.9412741393316544E-14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406.17572122067492</v>
      </c>
      <c r="AO171" s="62">
        <f t="shared" si="144"/>
        <v>244.4332618279085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-5.1431925385259088E-14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344.49457749226184</v>
      </c>
      <c r="BJ171" s="62">
        <f t="shared" si="146"/>
        <v>207.92972431357452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287.69656598881124</v>
      </c>
      <c r="CE171" s="62">
        <f t="shared" si="148"/>
        <v>221.9773436301067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0.52205266277335205</v>
      </c>
      <c r="CL171" s="23">
        <f>EXP(-LN(2)/25)*CL170+(1-EXP(-LN(2)/25))/(LN(2)/25)*Calculateur!CG171*Calculateur!CI171*VLOOKUP('Données projet'!$B$12,Paramètres!$A$1:$I$89,3,0)*0.475*44/12</f>
        <v>0.15067823208291814</v>
      </c>
      <c r="CM171" s="23">
        <f>EXP(-LN(2)/2)*CM170+(1-EXP(-LN(2)/2))/(LN(2)/2)*CG171*CJ171*VLOOKUP('Données projet'!$B$12,Paramètres!$A$1:$I$89,3,0)*0.475*44/12</f>
        <v>1.1529534763885996E-20</v>
      </c>
      <c r="CN171" s="24">
        <f t="shared" si="172"/>
        <v>0.67273089485627025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-5.3205440053716299E-14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310.95287409903602</v>
      </c>
      <c r="CZ171" s="62">
        <f t="shared" si="150"/>
        <v>224.10083380795163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1.738044375088066E-13</v>
      </c>
      <c r="P172" s="14">
        <f t="shared" si="141"/>
        <v>2.4483293633950478E-12</v>
      </c>
      <c r="Q172" s="22">
        <f t="shared" si="162"/>
        <v>4.566883036574213E-12</v>
      </c>
      <c r="R172" s="62">
        <f t="shared" si="109"/>
        <v>293.33333333333786</v>
      </c>
      <c r="S172" s="62">
        <f ca="1">AVERAGE(OFFSET($R$3,0,0,'Données projet'!$E$9+1,1))-AVERAGE(OFFSET($H$3,0,0,'Données projet'!$E$9+1,1))</f>
        <v>253.73326067725128</v>
      </c>
      <c r="T172" s="62">
        <f t="shared" si="142"/>
        <v>317.76427047458026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0.29120696014719866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4.1704689313132156E-20</v>
      </c>
      <c r="AC172" s="24">
        <f t="shared" si="163"/>
        <v>0.29120696014719866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-5.9412741393316544E-14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406.17572122067492</v>
      </c>
      <c r="AO172" s="62">
        <f t="shared" si="144"/>
        <v>244.4332618279085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-5.1431925385259088E-14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344.49457749226184</v>
      </c>
      <c r="BJ172" s="62">
        <f t="shared" si="146"/>
        <v>207.92972431357452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287.69656598881124</v>
      </c>
      <c r="CE172" s="62">
        <f t="shared" si="148"/>
        <v>221.9773436301067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0.51181552847704948</v>
      </c>
      <c r="CL172" s="23">
        <f>EXP(-LN(2)/25)*CL171+(1-EXP(-LN(2)/25))/(LN(2)/25)*Calculateur!CG172*Calculateur!CI172*VLOOKUP('Données projet'!$B$12,Paramètres!$A$1:$I$89,3,0)*0.475*44/12</f>
        <v>0.14655792790278691</v>
      </c>
      <c r="CM172" s="23">
        <f>EXP(-LN(2)/2)*CM171+(1-EXP(-LN(2)/2))/(LN(2)/2)*CG172*CJ172*VLOOKUP('Données projet'!$B$12,Paramètres!$A$1:$I$89,3,0)*0.475*44/12</f>
        <v>8.1526122154698279E-21</v>
      </c>
      <c r="CN172" s="24">
        <f t="shared" si="172"/>
        <v>0.65837345637983635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-5.3205440053716299E-14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310.95287409903602</v>
      </c>
      <c r="CZ172" s="62">
        <f t="shared" si="150"/>
        <v>224.10083380795163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1.738044375088066E-13</v>
      </c>
      <c r="P173" s="14">
        <f t="shared" si="141"/>
        <v>2.4483293633950478E-12</v>
      </c>
      <c r="Q173" s="22">
        <f t="shared" si="162"/>
        <v>4.566883036574213E-12</v>
      </c>
      <c r="R173" s="62">
        <f t="shared" si="109"/>
        <v>293.33333333333786</v>
      </c>
      <c r="S173" s="62">
        <f ca="1">AVERAGE(OFFSET($R$3,0,0,'Données projet'!$E$9+1,1))-AVERAGE(OFFSET($H$3,0,0,'Données projet'!$E$9+1,1))</f>
        <v>253.73326067725128</v>
      </c>
      <c r="T173" s="62">
        <f t="shared" si="142"/>
        <v>317.76427047458026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0.2854965692774194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2.9489668620593886E-20</v>
      </c>
      <c r="AC173" s="24">
        <f t="shared" si="163"/>
        <v>0.2854965692774194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-5.9412741393316544E-14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406.17572122067492</v>
      </c>
      <c r="AO173" s="62">
        <f t="shared" si="144"/>
        <v>244.4332618279085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-5.1431925385259088E-14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344.49457749226184</v>
      </c>
      <c r="BJ173" s="62">
        <f t="shared" si="146"/>
        <v>207.92972431357452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287.69656598881124</v>
      </c>
      <c r="CE173" s="62">
        <f t="shared" si="148"/>
        <v>221.9773436301067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0.50177913814026198</v>
      </c>
      <c r="CL173" s="23">
        <f>EXP(-LN(2)/25)*CL172+(1-EXP(-LN(2)/25))/(LN(2)/25)*Calculateur!CG173*Calculateur!CI173*VLOOKUP('Données projet'!$B$12,Paramètres!$A$1:$I$89,3,0)*0.475*44/12</f>
        <v>0.14255029365713873</v>
      </c>
      <c r="CM173" s="23">
        <f>EXP(-LN(2)/2)*CM172+(1-EXP(-LN(2)/2))/(LN(2)/2)*CG173*CJ173*VLOOKUP('Données projet'!$B$12,Paramètres!$A$1:$I$89,3,0)*0.475*44/12</f>
        <v>5.7647673819429981E-21</v>
      </c>
      <c r="CN173" s="24">
        <f t="shared" si="172"/>
        <v>0.64432943179740065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-5.3205440053716299E-14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310.95287409903602</v>
      </c>
      <c r="CZ173" s="62">
        <f t="shared" si="150"/>
        <v>224.10083380795163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1.738044375088066E-13</v>
      </c>
      <c r="P174" s="14">
        <f t="shared" si="141"/>
        <v>2.4483293633950478E-12</v>
      </c>
      <c r="Q174" s="22">
        <f t="shared" si="162"/>
        <v>4.566883036574213E-12</v>
      </c>
      <c r="R174" s="62">
        <f t="shared" si="109"/>
        <v>293.33333333333786</v>
      </c>
      <c r="S174" s="62">
        <f ca="1">AVERAGE(OFFSET($R$3,0,0,'Données projet'!$E$9+1,1))-AVERAGE(OFFSET($H$3,0,0,'Données projet'!$E$9+1,1))</f>
        <v>253.73326067725128</v>
      </c>
      <c r="T174" s="62">
        <f t="shared" si="142"/>
        <v>317.76427047458026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0.27989815568960197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2.0852344656566078E-20</v>
      </c>
      <c r="AC174" s="24">
        <f t="shared" si="163"/>
        <v>0.27989815568960197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-5.9412741393316544E-14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406.17572122067492</v>
      </c>
      <c r="AO174" s="62">
        <f t="shared" si="144"/>
        <v>244.4332618279085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-5.1431925385259088E-14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344.49457749226184</v>
      </c>
      <c r="BJ174" s="62">
        <f t="shared" si="146"/>
        <v>207.92972431357452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287.69656598881124</v>
      </c>
      <c r="CE174" s="62">
        <f t="shared" si="148"/>
        <v>221.9773436301067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0.49193955529638528</v>
      </c>
      <c r="CL174" s="23">
        <f>EXP(-LN(2)/25)*CL173+(1-EXP(-LN(2)/25))/(LN(2)/25)*Calculateur!CG174*Calculateur!CI174*VLOOKUP('Données projet'!$B$12,Paramètres!$A$1:$I$89,3,0)*0.475*44/12</f>
        <v>0.13865224838069012</v>
      </c>
      <c r="CM174" s="23">
        <f>EXP(-LN(2)/2)*CM173+(1-EXP(-LN(2)/2))/(LN(2)/2)*CG174*CJ174*VLOOKUP('Données projet'!$B$12,Paramètres!$A$1:$I$89,3,0)*0.475*44/12</f>
        <v>4.0763061077349139E-21</v>
      </c>
      <c r="CN174" s="24">
        <f t="shared" si="172"/>
        <v>0.63059180367707546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-5.3205440053716299E-14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310.95287409903602</v>
      </c>
      <c r="CZ174" s="62">
        <f t="shared" si="150"/>
        <v>224.10083380795163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1.738044375088066E-13</v>
      </c>
      <c r="P175" s="14">
        <f t="shared" si="141"/>
        <v>2.4483293633950478E-12</v>
      </c>
      <c r="Q175" s="22">
        <f t="shared" si="162"/>
        <v>4.566883036574213E-12</v>
      </c>
      <c r="R175" s="62">
        <f t="shared" si="109"/>
        <v>293.33333333333786</v>
      </c>
      <c r="S175" s="62">
        <f ca="1">AVERAGE(OFFSET($R$3,0,0,'Données projet'!$E$9+1,1))-AVERAGE(OFFSET($H$3,0,0,'Données projet'!$E$9+1,1))</f>
        <v>253.73326067725128</v>
      </c>
      <c r="T175" s="62">
        <f t="shared" si="142"/>
        <v>317.76427047458026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0.27440952357754655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1.4744834310296943E-20</v>
      </c>
      <c r="AC175" s="24">
        <f t="shared" si="163"/>
        <v>0.27440952357754655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-5.9412741393316544E-14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406.17572122067492</v>
      </c>
      <c r="AO175" s="62">
        <f t="shared" si="144"/>
        <v>244.4332618279085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-5.1431925385259088E-14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344.49457749226184</v>
      </c>
      <c r="BJ175" s="62">
        <f t="shared" si="146"/>
        <v>207.92972431357452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287.69656598881124</v>
      </c>
      <c r="CE175" s="62">
        <f t="shared" si="148"/>
        <v>221.9773436301067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0.48229292067052409</v>
      </c>
      <c r="CL175" s="23">
        <f>EXP(-LN(2)/25)*CL174+(1-EXP(-LN(2)/25))/(LN(2)/25)*Calculateur!CG175*Calculateur!CI175*VLOOKUP('Données projet'!$B$12,Paramètres!$A$1:$I$89,3,0)*0.475*44/12</f>
        <v>0.13486079535731529</v>
      </c>
      <c r="CM175" s="23">
        <f>EXP(-LN(2)/2)*CM174+(1-EXP(-LN(2)/2))/(LN(2)/2)*CG175*CJ175*VLOOKUP('Données projet'!$B$12,Paramètres!$A$1:$I$89,3,0)*0.475*44/12</f>
        <v>2.8823836909714991E-21</v>
      </c>
      <c r="CN175" s="24">
        <f t="shared" si="172"/>
        <v>0.61715371602783942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-5.3205440053716299E-14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310.95287409903602</v>
      </c>
      <c r="CZ175" s="62">
        <f t="shared" si="150"/>
        <v>224.10083380795163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1.738044375088066E-13</v>
      </c>
      <c r="P176" s="14">
        <f t="shared" si="141"/>
        <v>2.4483293633950478E-12</v>
      </c>
      <c r="Q176" s="22">
        <f t="shared" si="162"/>
        <v>4.566883036574213E-12</v>
      </c>
      <c r="R176" s="62">
        <f t="shared" si="109"/>
        <v>293.33333333333786</v>
      </c>
      <c r="S176" s="62">
        <f ca="1">AVERAGE(OFFSET($R$3,0,0,'Données projet'!$E$9+1,1))-AVERAGE(OFFSET($H$3,0,0,'Données projet'!$E$9+1,1))</f>
        <v>253.73326067725128</v>
      </c>
      <c r="T176" s="62">
        <f t="shared" si="142"/>
        <v>317.76427047458026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0.26902852019347351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1.0426172328283039E-20</v>
      </c>
      <c r="AC176" s="24">
        <f t="shared" si="163"/>
        <v>0.26902852019347351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-5.9412741393316544E-14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406.17572122067492</v>
      </c>
      <c r="AO176" s="62">
        <f t="shared" si="144"/>
        <v>244.4332618279085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-5.1431925385259088E-14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344.49457749226184</v>
      </c>
      <c r="BJ176" s="62">
        <f t="shared" si="146"/>
        <v>207.92972431357452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287.69656598881124</v>
      </c>
      <c r="CE176" s="62">
        <f t="shared" si="148"/>
        <v>221.9773436301067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0.4728354506658099</v>
      </c>
      <c r="CL176" s="23">
        <f>EXP(-LN(2)/25)*CL175+(1-EXP(-LN(2)/25))/(LN(2)/25)*Calculateur!CG176*Calculateur!CI176*VLOOKUP('Données projet'!$B$12,Paramètres!$A$1:$I$89,3,0)*0.475*44/12</f>
        <v>0.13117301981624852</v>
      </c>
      <c r="CM176" s="23">
        <f>EXP(-LN(2)/2)*CM175+(1-EXP(-LN(2)/2))/(LN(2)/2)*CG176*CJ176*VLOOKUP('Données projet'!$B$12,Paramètres!$A$1:$I$89,3,0)*0.475*44/12</f>
        <v>2.038153053867457E-21</v>
      </c>
      <c r="CN176" s="24">
        <f t="shared" si="172"/>
        <v>0.60400847048205841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-5.3205440053716299E-14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310.95287409903602</v>
      </c>
      <c r="CZ176" s="62">
        <f t="shared" si="150"/>
        <v>224.10083380795163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1.738044375088066E-13</v>
      </c>
      <c r="P177" s="14">
        <f t="shared" si="141"/>
        <v>2.4483293633950478E-12</v>
      </c>
      <c r="Q177" s="22">
        <f t="shared" si="162"/>
        <v>4.566883036574213E-12</v>
      </c>
      <c r="R177" s="62">
        <f t="shared" si="109"/>
        <v>293.33333333333786</v>
      </c>
      <c r="S177" s="62">
        <f ca="1">AVERAGE(OFFSET($R$3,0,0,'Données projet'!$E$9+1,1))-AVERAGE(OFFSET($H$3,0,0,'Données projet'!$E$9+1,1))</f>
        <v>253.73326067725128</v>
      </c>
      <c r="T177" s="62">
        <f t="shared" si="142"/>
        <v>317.76427047458026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0.26375303500367414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7.3724171551484715E-21</v>
      </c>
      <c r="AC177" s="24">
        <f t="shared" si="163"/>
        <v>0.26375303500367414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-5.9412741393316544E-14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406.17572122067492</v>
      </c>
      <c r="AO177" s="62">
        <f t="shared" si="144"/>
        <v>244.4332618279085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-5.1431925385259088E-14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344.49457749226184</v>
      </c>
      <c r="BJ177" s="62">
        <f t="shared" si="146"/>
        <v>207.92972431357452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287.69656598881124</v>
      </c>
      <c r="CE177" s="62">
        <f t="shared" si="148"/>
        <v>221.9773436301067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0.46356343587940102</v>
      </c>
      <c r="CL177" s="23">
        <f>EXP(-LN(2)/25)*CL176+(1-EXP(-LN(2)/25))/(LN(2)/25)*Calculateur!CG177*Calculateur!CI177*VLOOKUP('Données projet'!$B$12,Paramètres!$A$1:$I$89,3,0)*0.475*44/12</f>
        <v>0.12758608669128388</v>
      </c>
      <c r="CM177" s="23">
        <f>EXP(-LN(2)/2)*CM176+(1-EXP(-LN(2)/2))/(LN(2)/2)*CG177*CJ177*VLOOKUP('Données projet'!$B$12,Paramètres!$A$1:$I$89,3,0)*0.475*44/12</f>
        <v>1.4411918454857495E-21</v>
      </c>
      <c r="CN177" s="24">
        <f t="shared" si="172"/>
        <v>0.59114952257068487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-5.3205440053716299E-14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310.95287409903602</v>
      </c>
      <c r="CZ177" s="62">
        <f t="shared" si="150"/>
        <v>224.10083380795163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1.738044375088066E-13</v>
      </c>
      <c r="P178" s="14">
        <f t="shared" si="141"/>
        <v>2.4483293633950478E-12</v>
      </c>
      <c r="Q178" s="22">
        <f t="shared" si="162"/>
        <v>4.566883036574213E-12</v>
      </c>
      <c r="R178" s="62">
        <f t="shared" si="109"/>
        <v>293.33333333333786</v>
      </c>
      <c r="S178" s="62">
        <f ca="1">AVERAGE(OFFSET($R$3,0,0,'Données projet'!$E$9+1,1))-AVERAGE(OFFSET($H$3,0,0,'Données projet'!$E$9+1,1))</f>
        <v>253.73326067725128</v>
      </c>
      <c r="T178" s="62">
        <f t="shared" si="142"/>
        <v>317.76427047458026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0.2585809988607185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5.2130861641415195E-21</v>
      </c>
      <c r="AC178" s="24">
        <f t="shared" si="163"/>
        <v>0.2585809988607185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-5.9412741393316544E-14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406.17572122067492</v>
      </c>
      <c r="AO178" s="62">
        <f t="shared" si="144"/>
        <v>244.4332618279085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-5.1431925385259088E-14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344.49457749226184</v>
      </c>
      <c r="BJ178" s="62">
        <f t="shared" si="146"/>
        <v>207.92972431357452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287.69656598881124</v>
      </c>
      <c r="CE178" s="62">
        <f t="shared" si="148"/>
        <v>221.9773436301067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0.45447323964758302</v>
      </c>
      <c r="CL178" s="23">
        <f>EXP(-LN(2)/25)*CL177+(1-EXP(-LN(2)/25))/(LN(2)/25)*Calculateur!CG178*Calculateur!CI178*VLOOKUP('Données projet'!$B$12,Paramètres!$A$1:$I$89,3,0)*0.475*44/12</f>
        <v>0.12409723844125002</v>
      </c>
      <c r="CM178" s="23">
        <f>EXP(-LN(2)/2)*CM177+(1-EXP(-LN(2)/2))/(LN(2)/2)*CG178*CJ178*VLOOKUP('Données projet'!$B$12,Paramètres!$A$1:$I$89,3,0)*0.475*44/12</f>
        <v>1.0190765269337285E-21</v>
      </c>
      <c r="CN178" s="24">
        <f t="shared" si="172"/>
        <v>0.578570478088833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-5.3205440053716299E-14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310.95287409903602</v>
      </c>
      <c r="CZ178" s="62">
        <f t="shared" si="150"/>
        <v>224.10083380795163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1.738044375088066E-13</v>
      </c>
      <c r="P179" s="14">
        <f t="shared" si="141"/>
        <v>2.4483293633950478E-12</v>
      </c>
      <c r="Q179" s="22">
        <f t="shared" si="162"/>
        <v>4.566883036574213E-12</v>
      </c>
      <c r="R179" s="62">
        <f t="shared" si="109"/>
        <v>293.33333333333786</v>
      </c>
      <c r="S179" s="62">
        <f ca="1">AVERAGE(OFFSET($R$3,0,0,'Données projet'!$E$9+1,1))-AVERAGE(OFFSET($H$3,0,0,'Données projet'!$E$9+1,1))</f>
        <v>253.73326067725128</v>
      </c>
      <c r="T179" s="62">
        <f t="shared" si="142"/>
        <v>317.76427047458026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0.25351038319189567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3.6862085775742358E-21</v>
      </c>
      <c r="AC179" s="24">
        <f t="shared" si="163"/>
        <v>0.25351038319189567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-5.9412741393316544E-14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406.17572122067492</v>
      </c>
      <c r="AO179" s="62">
        <f t="shared" si="144"/>
        <v>244.4332618279085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-5.1431925385259088E-14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344.49457749226184</v>
      </c>
      <c r="BJ179" s="62">
        <f t="shared" si="146"/>
        <v>207.92972431357452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287.69656598881124</v>
      </c>
      <c r="CE179" s="62">
        <f t="shared" si="148"/>
        <v>221.9773436301067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0.44556129661939875</v>
      </c>
      <c r="CL179" s="23">
        <f>EXP(-LN(2)/25)*CL178+(1-EXP(-LN(2)/25))/(LN(2)/25)*Calculateur!CG179*Calculateur!CI179*VLOOKUP('Données projet'!$B$12,Paramètres!$A$1:$I$89,3,0)*0.475*44/12</f>
        <v>0.1207037929300839</v>
      </c>
      <c r="CM179" s="23">
        <f>EXP(-LN(2)/2)*CM178+(1-EXP(-LN(2)/2))/(LN(2)/2)*CG179*CJ179*VLOOKUP('Données projet'!$B$12,Paramètres!$A$1:$I$89,3,0)*0.475*44/12</f>
        <v>7.2059592274287476E-22</v>
      </c>
      <c r="CN179" s="24">
        <f t="shared" si="172"/>
        <v>0.56626508954948263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-5.3205440053716299E-14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310.95287409903602</v>
      </c>
      <c r="CZ179" s="62">
        <f t="shared" si="150"/>
        <v>224.10083380795163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1.738044375088066E-13</v>
      </c>
      <c r="P180" s="14">
        <f t="shared" si="141"/>
        <v>2.4483293633950478E-12</v>
      </c>
      <c r="Q180" s="22">
        <f t="shared" si="162"/>
        <v>4.566883036574213E-12</v>
      </c>
      <c r="R180" s="62">
        <f t="shared" si="109"/>
        <v>293.33333333333786</v>
      </c>
      <c r="S180" s="62">
        <f ca="1">AVERAGE(OFFSET($R$3,0,0,'Données projet'!$E$9+1,1))-AVERAGE(OFFSET($H$3,0,0,'Données projet'!$E$9+1,1))</f>
        <v>253.73326067725128</v>
      </c>
      <c r="T180" s="62">
        <f t="shared" si="142"/>
        <v>317.76427047458026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0.24853919920356829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2.6065430820707598E-21</v>
      </c>
      <c r="AC180" s="24">
        <f t="shared" si="163"/>
        <v>0.24853919920356829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-5.9412741393316544E-14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406.17572122067492</v>
      </c>
      <c r="AO180" s="62">
        <f t="shared" si="144"/>
        <v>244.4332618279085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-5.1431925385259088E-14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344.49457749226184</v>
      </c>
      <c r="BJ180" s="62">
        <f t="shared" si="146"/>
        <v>207.92972431357452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287.69656598881124</v>
      </c>
      <c r="CE180" s="62">
        <f t="shared" si="148"/>
        <v>221.9773436301067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0.43682411135824867</v>
      </c>
      <c r="CL180" s="23">
        <f>EXP(-LN(2)/25)*CL179+(1-EXP(-LN(2)/25))/(LN(2)/25)*Calculateur!CG180*Calculateur!CI180*VLOOKUP('Données projet'!$B$12,Paramètres!$A$1:$I$89,3,0)*0.475*44/12</f>
        <v>0.11740314136487416</v>
      </c>
      <c r="CM180" s="23">
        <f>EXP(-LN(2)/2)*CM179+(1-EXP(-LN(2)/2))/(LN(2)/2)*CG180*CJ180*VLOOKUP('Données projet'!$B$12,Paramètres!$A$1:$I$89,3,0)*0.475*44/12</f>
        <v>5.0953826346686424E-22</v>
      </c>
      <c r="CN180" s="24">
        <f t="shared" si="172"/>
        <v>0.55422725272312279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-5.3205440053716299E-14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310.95287409903602</v>
      </c>
      <c r="CZ180" s="62">
        <f t="shared" si="150"/>
        <v>224.10083380795163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1.738044375088066E-13</v>
      </c>
      <c r="P181" s="14">
        <f t="shared" si="141"/>
        <v>2.4483293633950478E-12</v>
      </c>
      <c r="Q181" s="22">
        <f t="shared" si="162"/>
        <v>4.566883036574213E-12</v>
      </c>
      <c r="R181" s="62">
        <f t="shared" si="109"/>
        <v>293.33333333333786</v>
      </c>
      <c r="S181" s="62">
        <f ca="1">AVERAGE(OFFSET($R$3,0,0,'Données projet'!$E$9+1,1))-AVERAGE(OFFSET($H$3,0,0,'Données projet'!$E$9+1,1))</f>
        <v>253.73326067725128</v>
      </c>
      <c r="T181" s="62">
        <f t="shared" si="142"/>
        <v>317.76427047458026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0.24366549710112917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1.8431042887871179E-21</v>
      </c>
      <c r="AC181" s="24">
        <f t="shared" si="163"/>
        <v>0.24366549710112917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-5.9412741393316544E-14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406.17572122067492</v>
      </c>
      <c r="AO181" s="62">
        <f t="shared" si="144"/>
        <v>244.4332618279085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-5.1431925385259088E-14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344.49457749226184</v>
      </c>
      <c r="BJ181" s="62">
        <f t="shared" si="146"/>
        <v>207.92972431357452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287.69656598881124</v>
      </c>
      <c r="CE181" s="62">
        <f t="shared" si="148"/>
        <v>221.9773436301067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0.42825825697091291</v>
      </c>
      <c r="CL181" s="23">
        <f>EXP(-LN(2)/25)*CL180+(1-EXP(-LN(2)/25))/(LN(2)/25)*Calculateur!CG181*Calculateur!CI181*VLOOKUP('Données projet'!$B$12,Paramètres!$A$1:$I$89,3,0)*0.475*44/12</f>
        <v>0.1141927462902888</v>
      </c>
      <c r="CM181" s="23">
        <f>EXP(-LN(2)/2)*CM180+(1-EXP(-LN(2)/2))/(LN(2)/2)*CG181*CJ181*VLOOKUP('Données projet'!$B$12,Paramètres!$A$1:$I$89,3,0)*0.475*44/12</f>
        <v>3.6029796137143738E-22</v>
      </c>
      <c r="CN181" s="24">
        <f t="shared" si="172"/>
        <v>0.54245100326120177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-5.3205440053716299E-14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310.95287409903602</v>
      </c>
      <c r="CZ181" s="62">
        <f t="shared" si="150"/>
        <v>224.10083380795163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1.738044375088066E-13</v>
      </c>
      <c r="P182" s="14">
        <f t="shared" si="141"/>
        <v>2.4483293633950478E-12</v>
      </c>
      <c r="Q182" s="22">
        <f t="shared" si="162"/>
        <v>4.566883036574213E-12</v>
      </c>
      <c r="R182" s="62">
        <f t="shared" si="109"/>
        <v>293.33333333333786</v>
      </c>
      <c r="S182" s="62">
        <f ca="1">AVERAGE(OFFSET($R$3,0,0,'Données projet'!$E$9+1,1))-AVERAGE(OFFSET($H$3,0,0,'Données projet'!$E$9+1,1))</f>
        <v>253.73326067725128</v>
      </c>
      <c r="T182" s="62">
        <f t="shared" si="142"/>
        <v>317.76427047458026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0.23888736532425411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1.3032715410353799E-21</v>
      </c>
      <c r="AC182" s="24">
        <f t="shared" si="163"/>
        <v>0.23888736532425411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-5.9412741393316544E-14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406.17572122067492</v>
      </c>
      <c r="AO182" s="62">
        <f t="shared" si="144"/>
        <v>244.4332618279085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-5.1431925385259088E-14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344.49457749226184</v>
      </c>
      <c r="BJ182" s="62">
        <f t="shared" si="146"/>
        <v>207.92972431357452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287.69656598881124</v>
      </c>
      <c r="CE182" s="62">
        <f t="shared" si="148"/>
        <v>221.9773436301067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0.41986037376345753</v>
      </c>
      <c r="CL182" s="23">
        <f>EXP(-LN(2)/25)*CL181+(1-EXP(-LN(2)/25))/(LN(2)/25)*Calculateur!CG182*Calculateur!CI182*VLOOKUP('Données projet'!$B$12,Paramètres!$A$1:$I$89,3,0)*0.475*44/12</f>
        <v>0.11107013963784532</v>
      </c>
      <c r="CM182" s="23">
        <f>EXP(-LN(2)/2)*CM181+(1-EXP(-LN(2)/2))/(LN(2)/2)*CG182*CJ182*VLOOKUP('Données projet'!$B$12,Paramètres!$A$1:$I$89,3,0)*0.475*44/12</f>
        <v>2.5476913173343212E-22</v>
      </c>
      <c r="CN182" s="24">
        <f t="shared" si="172"/>
        <v>0.53093051340130282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-5.3205440053716299E-14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310.95287409903602</v>
      </c>
      <c r="CZ182" s="62">
        <f t="shared" si="150"/>
        <v>224.10083380795163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1.738044375088066E-13</v>
      </c>
      <c r="P183" s="14">
        <f t="shared" si="141"/>
        <v>2.4483293633950478E-12</v>
      </c>
      <c r="Q183" s="22">
        <f t="shared" si="162"/>
        <v>4.566883036574213E-12</v>
      </c>
      <c r="R183" s="62">
        <f t="shared" si="109"/>
        <v>293.33333333333786</v>
      </c>
      <c r="S183" s="62">
        <f ca="1">AVERAGE(OFFSET($R$3,0,0,'Données projet'!$E$9+1,1))-AVERAGE(OFFSET($H$3,0,0,'Données projet'!$E$9+1,1))</f>
        <v>253.73326067725128</v>
      </c>
      <c r="T183" s="62">
        <f t="shared" si="142"/>
        <v>317.76427047458026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0.23420292979715099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9.2155214439355894E-22</v>
      </c>
      <c r="AC183" s="24">
        <f t="shared" si="163"/>
        <v>0.23420292979715099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-5.9412741393316544E-14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406.17572122067492</v>
      </c>
      <c r="AO183" s="62">
        <f t="shared" si="144"/>
        <v>244.4332618279085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-5.1431925385259088E-14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344.49457749226184</v>
      </c>
      <c r="BJ183" s="62">
        <f t="shared" si="146"/>
        <v>207.92972431357452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287.69656598881124</v>
      </c>
      <c r="CE183" s="62">
        <f t="shared" si="148"/>
        <v>221.9773436301067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0.41162716792349741</v>
      </c>
      <c r="CL183" s="23">
        <f>EXP(-LN(2)/25)*CL182+(1-EXP(-LN(2)/25))/(LN(2)/25)*Calculateur!CG183*Calculateur!CI183*VLOOKUP('Données projet'!$B$12,Paramètres!$A$1:$I$89,3,0)*0.475*44/12</f>
        <v>0.10803292082852364</v>
      </c>
      <c r="CM183" s="23">
        <f>EXP(-LN(2)/2)*CM182+(1-EXP(-LN(2)/2))/(LN(2)/2)*CG183*CJ183*VLOOKUP('Données projet'!$B$12,Paramètres!$A$1:$I$89,3,0)*0.475*44/12</f>
        <v>1.8014898068571869E-22</v>
      </c>
      <c r="CN183" s="24">
        <f t="shared" si="172"/>
        <v>0.51966008875202108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-5.3205440053716299E-14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310.95287409903602</v>
      </c>
      <c r="CZ183" s="62">
        <f t="shared" si="150"/>
        <v>224.10083380795163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1.738044375088066E-13</v>
      </c>
      <c r="P184" s="14">
        <f t="shared" si="141"/>
        <v>2.4483293633950478E-12</v>
      </c>
      <c r="Q184" s="22">
        <f t="shared" si="162"/>
        <v>4.566883036574213E-12</v>
      </c>
      <c r="R184" s="62">
        <f t="shared" si="109"/>
        <v>293.33333333333786</v>
      </c>
      <c r="S184" s="62">
        <f ca="1">AVERAGE(OFFSET($R$3,0,0,'Données projet'!$E$9+1,1))-AVERAGE(OFFSET($H$3,0,0,'Données projet'!$E$9+1,1))</f>
        <v>253.73326067725128</v>
      </c>
      <c r="T184" s="62">
        <f t="shared" si="142"/>
        <v>317.76427047458026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0.22961035319351081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6.5163577051768994E-22</v>
      </c>
      <c r="AC184" s="24">
        <f t="shared" si="163"/>
        <v>0.22961035319351081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-5.9412741393316544E-14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406.17572122067492</v>
      </c>
      <c r="AO184" s="62">
        <f t="shared" si="144"/>
        <v>244.4332618279085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-5.1431925385259088E-14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344.49457749226184</v>
      </c>
      <c r="BJ184" s="62">
        <f t="shared" si="146"/>
        <v>207.92972431357452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287.69656598881124</v>
      </c>
      <c r="CE184" s="62">
        <f t="shared" si="148"/>
        <v>221.9773436301067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0.40355541022829916</v>
      </c>
      <c r="CL184" s="23">
        <f>EXP(-LN(2)/25)*CL183+(1-EXP(-LN(2)/25))/(LN(2)/25)*Calculateur!CG184*Calculateur!CI184*VLOOKUP('Données projet'!$B$12,Paramètres!$A$1:$I$89,3,0)*0.475*44/12</f>
        <v>0.10507875492726328</v>
      </c>
      <c r="CM184" s="23">
        <f>EXP(-LN(2)/2)*CM183+(1-EXP(-LN(2)/2))/(LN(2)/2)*CG184*CJ184*VLOOKUP('Données projet'!$B$12,Paramètres!$A$1:$I$89,3,0)*0.475*44/12</f>
        <v>1.2738456586671606E-22</v>
      </c>
      <c r="CN184" s="24">
        <f t="shared" si="172"/>
        <v>0.50863416515556248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-5.3205440053716299E-14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310.95287409903602</v>
      </c>
      <c r="CZ184" s="62">
        <f t="shared" si="150"/>
        <v>224.10083380795163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1.738044375088066E-13</v>
      </c>
      <c r="P185" s="14">
        <f t="shared" si="141"/>
        <v>2.4483293633950478E-12</v>
      </c>
      <c r="Q185" s="22">
        <f t="shared" si="162"/>
        <v>4.566883036574213E-12</v>
      </c>
      <c r="R185" s="62">
        <f t="shared" si="109"/>
        <v>293.33333333333786</v>
      </c>
      <c r="S185" s="62">
        <f ca="1">AVERAGE(OFFSET($R$3,0,0,'Données projet'!$E$9+1,1))-AVERAGE(OFFSET($H$3,0,0,'Données projet'!$E$9+1,1))</f>
        <v>253.73326067725128</v>
      </c>
      <c r="T185" s="62">
        <f t="shared" si="142"/>
        <v>317.76427047458026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0.22510783421587288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4.6077607219677947E-22</v>
      </c>
      <c r="AC185" s="24">
        <f t="shared" si="163"/>
        <v>0.22510783421587288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-5.9412741393316544E-14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406.17572122067492</v>
      </c>
      <c r="AO185" s="62">
        <f t="shared" si="144"/>
        <v>244.4332618279085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-5.1431925385259088E-14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344.49457749226184</v>
      </c>
      <c r="BJ185" s="62">
        <f t="shared" si="146"/>
        <v>207.92972431357452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287.69656598881124</v>
      </c>
      <c r="CE185" s="62">
        <f t="shared" si="148"/>
        <v>221.9773436301067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0.39564193477821769</v>
      </c>
      <c r="CL185" s="23">
        <f>EXP(-LN(2)/25)*CL184+(1-EXP(-LN(2)/25))/(LN(2)/25)*Calculateur!CG185*Calculateur!CI185*VLOOKUP('Données projet'!$B$12,Paramètres!$A$1:$I$89,3,0)*0.475*44/12</f>
        <v>0.10220537084792571</v>
      </c>
      <c r="CM185" s="23">
        <f>EXP(-LN(2)/2)*CM184+(1-EXP(-LN(2)/2))/(LN(2)/2)*CG185*CJ185*VLOOKUP('Données projet'!$B$12,Paramètres!$A$1:$I$89,3,0)*0.475*44/12</f>
        <v>9.0074490342859345E-23</v>
      </c>
      <c r="CN185" s="24">
        <f t="shared" si="172"/>
        <v>0.49784730562614338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-5.3205440053716299E-14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310.95287409903602</v>
      </c>
      <c r="CZ185" s="62">
        <f t="shared" si="150"/>
        <v>224.10083380795163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1.738044375088066E-13</v>
      </c>
      <c r="P186" s="14">
        <f t="shared" si="141"/>
        <v>2.4483293633950478E-12</v>
      </c>
      <c r="Q186" s="22">
        <f t="shared" si="162"/>
        <v>4.566883036574213E-12</v>
      </c>
      <c r="R186" s="62">
        <f t="shared" si="109"/>
        <v>293.33333333333786</v>
      </c>
      <c r="S186" s="62">
        <f ca="1">AVERAGE(OFFSET($R$3,0,0,'Données projet'!$E$9+1,1))-AVERAGE(OFFSET($H$3,0,0,'Données projet'!$E$9+1,1))</f>
        <v>253.73326067725128</v>
      </c>
      <c r="T186" s="62">
        <f t="shared" si="142"/>
        <v>317.76427047458026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0.22069360688912101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3.2581788525884497E-22</v>
      </c>
      <c r="AC186" s="24">
        <f t="shared" si="163"/>
        <v>0.22069360688912101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-5.9412741393316544E-14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406.17572122067492</v>
      </c>
      <c r="AO186" s="62">
        <f t="shared" si="144"/>
        <v>244.4332618279085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-5.1431925385259088E-14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344.49457749226184</v>
      </c>
      <c r="BJ186" s="62">
        <f t="shared" si="146"/>
        <v>207.92972431357452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287.69656598881124</v>
      </c>
      <c r="CE186" s="62">
        <f t="shared" si="148"/>
        <v>221.9773436301067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0.38788363775496892</v>
      </c>
      <c r="CL186" s="23">
        <f>EXP(-LN(2)/25)*CL185+(1-EXP(-LN(2)/25))/(LN(2)/25)*Calculateur!CG186*Calculateur!CI186*VLOOKUP('Données projet'!$B$12,Paramètres!$A$1:$I$89,3,0)*0.475*44/12</f>
        <v>9.9410559607342311E-2</v>
      </c>
      <c r="CM186" s="23">
        <f>EXP(-LN(2)/2)*CM185+(1-EXP(-LN(2)/2))/(LN(2)/2)*CG186*CJ186*VLOOKUP('Données projet'!$B$12,Paramètres!$A$1:$I$89,3,0)*0.475*44/12</f>
        <v>6.369228293335803E-23</v>
      </c>
      <c r="CN186" s="24">
        <f t="shared" si="172"/>
        <v>0.48729419736231122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-5.3205440053716299E-14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310.95287409903602</v>
      </c>
      <c r="CZ186" s="62">
        <f t="shared" si="150"/>
        <v>224.10083380795163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1.738044375088066E-13</v>
      </c>
      <c r="P187" s="14">
        <f t="shared" si="141"/>
        <v>2.4483293633950478E-12</v>
      </c>
      <c r="Q187" s="22">
        <f t="shared" si="162"/>
        <v>4.566883036574213E-12</v>
      </c>
      <c r="R187" s="62">
        <f t="shared" si="109"/>
        <v>293.33333333333786</v>
      </c>
      <c r="S187" s="62">
        <f ca="1">AVERAGE(OFFSET($R$3,0,0,'Données projet'!$E$9+1,1))-AVERAGE(OFFSET($H$3,0,0,'Données projet'!$E$9+1,1))</f>
        <v>253.73326067725128</v>
      </c>
      <c r="T187" s="62">
        <f t="shared" si="142"/>
        <v>317.76427047458026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0.21636593986783395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2.3038803609838974E-22</v>
      </c>
      <c r="AC187" s="24">
        <f t="shared" si="163"/>
        <v>0.21636593986783395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-5.9412741393316544E-14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406.17572122067492</v>
      </c>
      <c r="AO187" s="62">
        <f t="shared" si="144"/>
        <v>244.4332618279085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-5.1431925385259088E-14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344.49457749226184</v>
      </c>
      <c r="BJ187" s="62">
        <f t="shared" si="146"/>
        <v>207.92972431357452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287.69656598881124</v>
      </c>
      <c r="CE187" s="62">
        <f t="shared" si="148"/>
        <v>221.9773436301067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0.38027747620425212</v>
      </c>
      <c r="CL187" s="23">
        <f>EXP(-LN(2)/25)*CL186+(1-EXP(-LN(2)/25))/(LN(2)/25)*Calculateur!CG187*Calculateur!CI187*VLOOKUP('Données projet'!$B$12,Paramètres!$A$1:$I$89,3,0)*0.475*44/12</f>
        <v>9.6692172627105416E-2</v>
      </c>
      <c r="CM187" s="23">
        <f>EXP(-LN(2)/2)*CM186+(1-EXP(-LN(2)/2))/(LN(2)/2)*CG187*CJ187*VLOOKUP('Données projet'!$B$12,Paramètres!$A$1:$I$89,3,0)*0.475*44/12</f>
        <v>4.5037245171429673E-23</v>
      </c>
      <c r="CN187" s="24">
        <f t="shared" si="172"/>
        <v>0.47696964883135751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-5.3205440053716299E-14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310.95287409903602</v>
      </c>
      <c r="CZ187" s="62">
        <f t="shared" si="150"/>
        <v>224.10083380795163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1.738044375088066E-13</v>
      </c>
      <c r="P188" s="14">
        <f t="shared" si="141"/>
        <v>2.4483293633950478E-12</v>
      </c>
      <c r="Q188" s="22">
        <f t="shared" si="162"/>
        <v>4.566883036574213E-12</v>
      </c>
      <c r="R188" s="62">
        <f t="shared" si="109"/>
        <v>293.33333333333786</v>
      </c>
      <c r="S188" s="62">
        <f ca="1">AVERAGE(OFFSET($R$3,0,0,'Données projet'!$E$9+1,1))-AVERAGE(OFFSET($H$3,0,0,'Données projet'!$E$9+1,1))</f>
        <v>253.73326067725128</v>
      </c>
      <c r="T188" s="62">
        <f t="shared" si="142"/>
        <v>317.76427047458026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0.21212313575721808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1.6290894262942249E-22</v>
      </c>
      <c r="AC188" s="24">
        <f t="shared" si="163"/>
        <v>0.21212313575721808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-5.9412741393316544E-14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406.17572122067492</v>
      </c>
      <c r="AO188" s="62">
        <f t="shared" si="144"/>
        <v>244.4332618279085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-5.1431925385259088E-14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344.49457749226184</v>
      </c>
      <c r="BJ188" s="62">
        <f t="shared" si="146"/>
        <v>207.92972431357452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287.69656598881124</v>
      </c>
      <c r="CE188" s="62">
        <f t="shared" si="148"/>
        <v>221.9773436301067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0.3728204668422444</v>
      </c>
      <c r="CL188" s="23">
        <f>EXP(-LN(2)/25)*CL187+(1-EXP(-LN(2)/25))/(LN(2)/25)*Calculateur!CG188*Calculateur!CI188*VLOOKUP('Données projet'!$B$12,Paramètres!$A$1:$I$89,3,0)*0.475*44/12</f>
        <v>9.4048120081796846E-2</v>
      </c>
      <c r="CM188" s="23">
        <f>EXP(-LN(2)/2)*CM187+(1-EXP(-LN(2)/2))/(LN(2)/2)*CG188*CJ188*VLOOKUP('Données projet'!$B$12,Paramètres!$A$1:$I$89,3,0)*0.475*44/12</f>
        <v>3.1846141466679015E-23</v>
      </c>
      <c r="CN188" s="24">
        <f t="shared" si="172"/>
        <v>0.46686858692404126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-5.3205440053716299E-14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310.95287409903602</v>
      </c>
      <c r="CZ188" s="62">
        <f t="shared" si="150"/>
        <v>224.10083380795163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1.738044375088066E-13</v>
      </c>
      <c r="P189" s="14">
        <f t="shared" si="141"/>
        <v>2.4483293633950478E-12</v>
      </c>
      <c r="Q189" s="22">
        <f t="shared" si="162"/>
        <v>4.566883036574213E-12</v>
      </c>
      <c r="R189" s="62">
        <f t="shared" si="109"/>
        <v>293.33333333333786</v>
      </c>
      <c r="S189" s="62">
        <f ca="1">AVERAGE(OFFSET($R$3,0,0,'Données projet'!$E$9+1,1))-AVERAGE(OFFSET($H$3,0,0,'Données projet'!$E$9+1,1))</f>
        <v>253.73326067725128</v>
      </c>
      <c r="T189" s="62">
        <f t="shared" si="142"/>
        <v>317.76427047458026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0.20796353044735641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1.1519401804919487E-22</v>
      </c>
      <c r="AC189" s="24">
        <f t="shared" si="163"/>
        <v>0.20796353044735641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-5.9412741393316544E-14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406.17572122067492</v>
      </c>
      <c r="AO189" s="62">
        <f t="shared" si="144"/>
        <v>244.4332618279085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-5.1431925385259088E-14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344.49457749226184</v>
      </c>
      <c r="BJ189" s="62">
        <f t="shared" si="146"/>
        <v>207.92972431357452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287.69656598881124</v>
      </c>
      <c r="CE189" s="62">
        <f t="shared" si="148"/>
        <v>221.9773436301067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0.36550968488549906</v>
      </c>
      <c r="CL189" s="23">
        <f>EXP(-LN(2)/25)*CL188+(1-EXP(-LN(2)/25))/(LN(2)/25)*Calculateur!CG189*Calculateur!CI189*VLOOKUP('Données projet'!$B$12,Paramètres!$A$1:$I$89,3,0)*0.475*44/12</f>
        <v>9.1476369292384424E-2</v>
      </c>
      <c r="CM189" s="23">
        <f>EXP(-LN(2)/2)*CM188+(1-EXP(-LN(2)/2))/(LN(2)/2)*CG189*CJ189*VLOOKUP('Données projet'!$B$12,Paramètres!$A$1:$I$89,3,0)*0.475*44/12</f>
        <v>2.2518622585714836E-23</v>
      </c>
      <c r="CN189" s="24">
        <f t="shared" si="172"/>
        <v>0.45698605417788352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-5.3205440053716299E-14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310.95287409903602</v>
      </c>
      <c r="CZ189" s="62">
        <f t="shared" si="150"/>
        <v>224.10083380795163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1.738044375088066E-13</v>
      </c>
      <c r="P190" s="14">
        <f t="shared" si="141"/>
        <v>2.4483293633950478E-12</v>
      </c>
      <c r="Q190" s="22">
        <f t="shared" si="162"/>
        <v>4.566883036574213E-12</v>
      </c>
      <c r="R190" s="62">
        <f t="shared" si="109"/>
        <v>293.33333333333786</v>
      </c>
      <c r="S190" s="62">
        <f ca="1">AVERAGE(OFFSET($R$3,0,0,'Données projet'!$E$9+1,1))-AVERAGE(OFFSET($H$3,0,0,'Données projet'!$E$9+1,1))</f>
        <v>253.73326067725128</v>
      </c>
      <c r="T190" s="62">
        <f t="shared" si="142"/>
        <v>317.76427047458026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0.20388549246051241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8.1454471314711243E-23</v>
      </c>
      <c r="AC190" s="24">
        <f t="shared" si="163"/>
        <v>0.20388549246051241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-5.9412741393316544E-14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406.17572122067492</v>
      </c>
      <c r="AO190" s="62">
        <f t="shared" si="144"/>
        <v>244.4332618279085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-5.1431925385259088E-14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344.49457749226184</v>
      </c>
      <c r="BJ190" s="62">
        <f t="shared" si="146"/>
        <v>207.92972431357452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287.69656598881124</v>
      </c>
      <c r="CE190" s="62">
        <f t="shared" si="148"/>
        <v>221.9773436301067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0.35834226290378884</v>
      </c>
      <c r="CL190" s="23">
        <f>EXP(-LN(2)/25)*CL189+(1-EXP(-LN(2)/25))/(LN(2)/25)*Calculateur!CG190*Calculateur!CI190*VLOOKUP('Données projet'!$B$12,Paramètres!$A$1:$I$89,3,0)*0.475*44/12</f>
        <v>8.8974943163550979E-2</v>
      </c>
      <c r="CM190" s="23">
        <f>EXP(-LN(2)/2)*CM189+(1-EXP(-LN(2)/2))/(LN(2)/2)*CG190*CJ190*VLOOKUP('Données projet'!$B$12,Paramètres!$A$1:$I$89,3,0)*0.475*44/12</f>
        <v>1.5923070733339508E-23</v>
      </c>
      <c r="CN190" s="24">
        <f t="shared" si="172"/>
        <v>0.44731720606733982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-5.3205440053716299E-14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310.95287409903602</v>
      </c>
      <c r="CZ190" s="62">
        <f t="shared" si="150"/>
        <v>224.10083380795163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1.738044375088066E-13</v>
      </c>
      <c r="P191" s="14">
        <f t="shared" si="141"/>
        <v>2.4483293633950478E-12</v>
      </c>
      <c r="Q191" s="22">
        <f t="shared" si="162"/>
        <v>4.566883036574213E-12</v>
      </c>
      <c r="R191" s="62">
        <f t="shared" si="109"/>
        <v>293.33333333333786</v>
      </c>
      <c r="S191" s="62">
        <f ca="1">AVERAGE(OFFSET($R$3,0,0,'Données projet'!$E$9+1,1))-AVERAGE(OFFSET($H$3,0,0,'Données projet'!$E$9+1,1))</f>
        <v>253.73326067725128</v>
      </c>
      <c r="T191" s="62">
        <f t="shared" si="142"/>
        <v>317.76427047458026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0.19988742231123285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5.7597009024597434E-23</v>
      </c>
      <c r="AC191" s="24">
        <f t="shared" si="163"/>
        <v>0.19988742231123285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-5.9412741393316544E-14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406.17572122067492</v>
      </c>
      <c r="AO191" s="62">
        <f t="shared" si="144"/>
        <v>244.4332618279085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-5.1431925385259088E-14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344.49457749226184</v>
      </c>
      <c r="BJ191" s="62">
        <f t="shared" si="146"/>
        <v>207.92972431357452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287.69656598881124</v>
      </c>
      <c r="CE191" s="62">
        <f t="shared" si="148"/>
        <v>221.9773436301067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0.35131538969544418</v>
      </c>
      <c r="CL191" s="23">
        <f>EXP(-LN(2)/25)*CL190+(1-EXP(-LN(2)/25))/(LN(2)/25)*Calculateur!CG191*Calculateur!CI191*VLOOKUP('Données projet'!$B$12,Paramètres!$A$1:$I$89,3,0)*0.475*44/12</f>
        <v>8.6541918663754769E-2</v>
      </c>
      <c r="CM191" s="23">
        <f>EXP(-LN(2)/2)*CM190+(1-EXP(-LN(2)/2))/(LN(2)/2)*CG191*CJ191*VLOOKUP('Données projet'!$B$12,Paramètres!$A$1:$I$89,3,0)*0.475*44/12</f>
        <v>1.1259311292857418E-23</v>
      </c>
      <c r="CN191" s="24">
        <f t="shared" si="172"/>
        <v>0.43785730835919895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-5.3205440053716299E-14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310.95287409903602</v>
      </c>
      <c r="CZ191" s="62">
        <f t="shared" si="150"/>
        <v>224.10083380795163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1.738044375088066E-13</v>
      </c>
      <c r="P192" s="14">
        <f t="shared" si="141"/>
        <v>2.4483293633950478E-12</v>
      </c>
      <c r="Q192" s="22">
        <f t="shared" si="162"/>
        <v>4.566883036574213E-12</v>
      </c>
      <c r="R192" s="62">
        <f t="shared" si="109"/>
        <v>293.33333333333786</v>
      </c>
      <c r="S192" s="62">
        <f ca="1">AVERAGE(OFFSET($R$3,0,0,'Données projet'!$E$9+1,1))-AVERAGE(OFFSET($H$3,0,0,'Données projet'!$E$9+1,1))</f>
        <v>253.73326067725128</v>
      </c>
      <c r="T192" s="62">
        <f t="shared" si="142"/>
        <v>317.76427047458026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0.19596775187899865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4.0727235657355621E-23</v>
      </c>
      <c r="AC192" s="24">
        <f t="shared" si="163"/>
        <v>0.19596775187899865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-5.9412741393316544E-14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406.17572122067492</v>
      </c>
      <c r="AO192" s="62">
        <f t="shared" si="144"/>
        <v>244.4332618279085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-5.1431925385259088E-14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344.49457749226184</v>
      </c>
      <c r="BJ192" s="62">
        <f t="shared" si="146"/>
        <v>207.92972431357452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287.69656598881124</v>
      </c>
      <c r="CE192" s="62">
        <f t="shared" si="148"/>
        <v>221.9773436301067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0.3444263091847457</v>
      </c>
      <c r="CL192" s="23">
        <f>EXP(-LN(2)/25)*CL191+(1-EXP(-LN(2)/25))/(LN(2)/25)*Calculateur!CG192*Calculateur!CI192*VLOOKUP('Données projet'!$B$12,Paramètres!$A$1:$I$89,3,0)*0.475*44/12</f>
        <v>8.4175425346852684E-2</v>
      </c>
      <c r="CM192" s="23">
        <f>EXP(-LN(2)/2)*CM191+(1-EXP(-LN(2)/2))/(LN(2)/2)*CG192*CJ192*VLOOKUP('Données projet'!$B$12,Paramètres!$A$1:$I$89,3,0)*0.475*44/12</f>
        <v>7.9615353666697538E-24</v>
      </c>
      <c r="CN192" s="24">
        <f t="shared" si="172"/>
        <v>0.42860173453159839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-5.3205440053716299E-14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310.95287409903602</v>
      </c>
      <c r="CZ192" s="62">
        <f t="shared" si="150"/>
        <v>224.10083380795163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1.738044375088066E-13</v>
      </c>
      <c r="P193" s="14">
        <f t="shared" si="141"/>
        <v>2.4483293633950478E-12</v>
      </c>
      <c r="Q193" s="22">
        <f t="shared" si="162"/>
        <v>4.566883036574213E-12</v>
      </c>
      <c r="R193" s="62">
        <f t="shared" si="109"/>
        <v>293.33333333333786</v>
      </c>
      <c r="S193" s="62">
        <f ca="1">AVERAGE(OFFSET($R$3,0,0,'Données projet'!$E$9+1,1))-AVERAGE(OFFSET($H$3,0,0,'Données projet'!$E$9+1,1))</f>
        <v>253.73326067725128</v>
      </c>
      <c r="T193" s="62">
        <f t="shared" si="142"/>
        <v>317.76427047458026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0.19212494379317765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2.8798504512298717E-23</v>
      </c>
      <c r="AC193" s="24">
        <f t="shared" si="163"/>
        <v>0.19212494379317765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-5.9412741393316544E-14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406.17572122067492</v>
      </c>
      <c r="AO193" s="62">
        <f t="shared" si="144"/>
        <v>244.4332618279085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-5.1431925385259088E-14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344.49457749226184</v>
      </c>
      <c r="BJ193" s="62">
        <f t="shared" si="146"/>
        <v>207.92972431357452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287.69656598881124</v>
      </c>
      <c r="CE193" s="62">
        <f t="shared" si="148"/>
        <v>221.9773436301067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0.33767231934093783</v>
      </c>
      <c r="CL193" s="23">
        <f>EXP(-LN(2)/25)*CL192+(1-EXP(-LN(2)/25))/(LN(2)/25)*Calculateur!CG193*Calculateur!CI193*VLOOKUP('Données projet'!$B$12,Paramètres!$A$1:$I$89,3,0)*0.475*44/12</f>
        <v>8.1873643914149766E-2</v>
      </c>
      <c r="CM193" s="23">
        <f>EXP(-LN(2)/2)*CM192+(1-EXP(-LN(2)/2))/(LN(2)/2)*CG193*CJ193*VLOOKUP('Données projet'!$B$12,Paramètres!$A$1:$I$89,3,0)*0.475*44/12</f>
        <v>5.6296556464287091E-24</v>
      </c>
      <c r="CN193" s="24">
        <f t="shared" si="172"/>
        <v>0.41954596325508758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-5.3205440053716299E-14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310.95287409903602</v>
      </c>
      <c r="CZ193" s="62">
        <f t="shared" si="150"/>
        <v>224.10083380795163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1.738044375088066E-13</v>
      </c>
      <c r="P194" s="14">
        <f t="shared" si="141"/>
        <v>2.4483293633950478E-12</v>
      </c>
      <c r="Q194" s="22">
        <f t="shared" si="162"/>
        <v>4.566883036574213E-12</v>
      </c>
      <c r="R194" s="62">
        <f t="shared" si="109"/>
        <v>293.33333333333786</v>
      </c>
      <c r="S194" s="62">
        <f ca="1">AVERAGE(OFFSET($R$3,0,0,'Données projet'!$E$9+1,1))-AVERAGE(OFFSET($H$3,0,0,'Données projet'!$E$9+1,1))</f>
        <v>253.73326067725128</v>
      </c>
      <c r="T194" s="62">
        <f t="shared" si="142"/>
        <v>317.76427047458026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0.18835749083003814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2.0363617828677811E-23</v>
      </c>
      <c r="AC194" s="24">
        <f t="shared" si="163"/>
        <v>0.18835749083003814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-5.9412741393316544E-14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406.17572122067492</v>
      </c>
      <c r="AO194" s="62">
        <f t="shared" si="144"/>
        <v>244.4332618279085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-5.1431925385259088E-14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344.49457749226184</v>
      </c>
      <c r="BJ194" s="62">
        <f t="shared" si="146"/>
        <v>207.92972431357452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287.69656598881124</v>
      </c>
      <c r="CE194" s="62">
        <f t="shared" si="148"/>
        <v>221.9773436301067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0.33105077111844</v>
      </c>
      <c r="CL194" s="23">
        <f>EXP(-LN(2)/25)*CL193+(1-EXP(-LN(2)/25))/(LN(2)/25)*Calculateur!CG194*Calculateur!CI194*VLOOKUP('Données projet'!$B$12,Paramètres!$A$1:$I$89,3,0)*0.475*44/12</f>
        <v>7.9634804815769525E-2</v>
      </c>
      <c r="CM194" s="23">
        <f>EXP(-LN(2)/2)*CM193+(1-EXP(-LN(2)/2))/(LN(2)/2)*CG194*CJ194*VLOOKUP('Données projet'!$B$12,Paramètres!$A$1:$I$89,3,0)*0.475*44/12</f>
        <v>3.9807676833348769E-24</v>
      </c>
      <c r="CN194" s="24">
        <f t="shared" si="172"/>
        <v>0.41068557593420951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-5.3205440053716299E-14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310.95287409903602</v>
      </c>
      <c r="CZ194" s="62">
        <f t="shared" si="150"/>
        <v>224.10083380795163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1.738044375088066E-13</v>
      </c>
      <c r="P195" s="14">
        <f t="shared" si="141"/>
        <v>2.4483293633950478E-12</v>
      </c>
      <c r="Q195" s="22">
        <f t="shared" si="162"/>
        <v>4.566883036574213E-12</v>
      </c>
      <c r="R195" s="62">
        <f t="shared" ref="R195:R203" si="191">Q195+(I195+J195)*44/12</f>
        <v>293.33333333333786</v>
      </c>
      <c r="S195" s="62">
        <f ca="1">AVERAGE(OFFSET($R$3,0,0,'Données projet'!$E$9+1,1))-AVERAGE(OFFSET($H$3,0,0,'Données projet'!$E$9+1,1))</f>
        <v>253.73326067725128</v>
      </c>
      <c r="T195" s="62">
        <f t="shared" si="142"/>
        <v>317.76427047458026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0.18466391532158638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1.4399252256149358E-23</v>
      </c>
      <c r="AC195" s="24">
        <f t="shared" si="163"/>
        <v>0.18466391532158638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-5.9412741393316544E-14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406.17572122067492</v>
      </c>
      <c r="AO195" s="62">
        <f t="shared" si="144"/>
        <v>244.4332618279085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-5.1431925385259088E-14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344.49457749226184</v>
      </c>
      <c r="BJ195" s="62">
        <f t="shared" si="146"/>
        <v>207.92972431357452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287.69656598881124</v>
      </c>
      <c r="CE195" s="62">
        <f t="shared" si="148"/>
        <v>221.9773436301067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0.32455906741783974</v>
      </c>
      <c r="CL195" s="23">
        <f>EXP(-LN(2)/25)*CL194+(1-EXP(-LN(2)/25))/(LN(2)/25)*Calculateur!CG195*Calculateur!CI195*VLOOKUP('Données projet'!$B$12,Paramètres!$A$1:$I$89,3,0)*0.475*44/12</f>
        <v>7.7457186890269925E-2</v>
      </c>
      <c r="CM195" s="23">
        <f>EXP(-LN(2)/2)*CM194+(1-EXP(-LN(2)/2))/(LN(2)/2)*CG195*CJ195*VLOOKUP('Données projet'!$B$12,Paramètres!$A$1:$I$89,3,0)*0.475*44/12</f>
        <v>2.8148278232143545E-24</v>
      </c>
      <c r="CN195" s="24">
        <f t="shared" si="172"/>
        <v>0.40201625430810967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-5.3205440053716299E-14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310.95287409903602</v>
      </c>
      <c r="CZ195" s="62">
        <f t="shared" si="150"/>
        <v>224.10083380795163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1.738044375088066E-13</v>
      </c>
      <c r="P196" s="14">
        <f t="shared" si="141"/>
        <v>2.4483293633950478E-12</v>
      </c>
      <c r="Q196" s="22">
        <f t="shared" si="162"/>
        <v>4.566883036574213E-12</v>
      </c>
      <c r="R196" s="62">
        <f t="shared" si="191"/>
        <v>293.33333333333786</v>
      </c>
      <c r="S196" s="62">
        <f ca="1">AVERAGE(OFFSET($R$3,0,0,'Données projet'!$E$9+1,1))-AVERAGE(OFFSET($H$3,0,0,'Données projet'!$E$9+1,1))</f>
        <v>253.73326067725128</v>
      </c>
      <c r="T196" s="62">
        <f t="shared" si="142"/>
        <v>317.76427047458026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0.18104276857599674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1.0181808914338905E-23</v>
      </c>
      <c r="AC196" s="24">
        <f t="shared" si="163"/>
        <v>0.18104276857599674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-5.9412741393316544E-14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406.17572122067492</v>
      </c>
      <c r="AO196" s="62">
        <f t="shared" si="144"/>
        <v>244.4332618279085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-5.1431925385259088E-14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344.49457749226184</v>
      </c>
      <c r="BJ196" s="62">
        <f t="shared" si="146"/>
        <v>207.92972431357452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287.69656598881124</v>
      </c>
      <c r="CE196" s="62">
        <f t="shared" si="148"/>
        <v>221.9773436301067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0.31819466206725994</v>
      </c>
      <c r="CL196" s="23">
        <f>EXP(-LN(2)/25)*CL195+(1-EXP(-LN(2)/25))/(LN(2)/25)*Calculateur!CG196*Calculateur!CI196*VLOOKUP('Données projet'!$B$12,Paramètres!$A$1:$I$89,3,0)*0.475*44/12</f>
        <v>7.533911604145907E-2</v>
      </c>
      <c r="CM196" s="23">
        <f>EXP(-LN(2)/2)*CM195+(1-EXP(-LN(2)/2))/(LN(2)/2)*CG196*CJ196*VLOOKUP('Données projet'!$B$12,Paramètres!$A$1:$I$89,3,0)*0.475*44/12</f>
        <v>1.9903838416674384E-24</v>
      </c>
      <c r="CN196" s="24">
        <f t="shared" si="172"/>
        <v>0.39353377810871903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-5.3205440053716299E-14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310.95287409903602</v>
      </c>
      <c r="CZ196" s="62">
        <f t="shared" si="150"/>
        <v>224.10083380795163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1.738044375088066E-13</v>
      </c>
      <c r="P197" s="14">
        <f t="shared" ref="P197:P203" si="203">EXP(-1.0587+0.8836*LN(O197)+0.284)</f>
        <v>2.4483293633950478E-12</v>
      </c>
      <c r="Q197" s="22">
        <f t="shared" si="162"/>
        <v>4.566883036574213E-12</v>
      </c>
      <c r="R197" s="62">
        <f t="shared" si="191"/>
        <v>293.33333333333786</v>
      </c>
      <c r="S197" s="62">
        <f ca="1">AVERAGE(OFFSET($R$3,0,0,'Données projet'!$E$9+1,1))-AVERAGE(OFFSET($H$3,0,0,'Données projet'!$E$9+1,1))</f>
        <v>253.73326067725128</v>
      </c>
      <c r="T197" s="62">
        <f t="shared" ref="T197:T203" si="204">$T$3</f>
        <v>317.76427047458026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0.17749263030940671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7.1996261280746792E-24</v>
      </c>
      <c r="AC197" s="24">
        <f t="shared" si="163"/>
        <v>0.17749263030940671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-5.9412741393316544E-14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406.17572122067492</v>
      </c>
      <c r="AO197" s="62">
        <f t="shared" ref="AO197:AO203" si="205">$AO$3</f>
        <v>244.4332618279085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-5.1431925385259088E-14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344.49457749226184</v>
      </c>
      <c r="BJ197" s="62">
        <f t="shared" ref="BJ197:BJ203" si="206">$BJ$3</f>
        <v>207.92972431357452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287.69656598881124</v>
      </c>
      <c r="CE197" s="62">
        <f t="shared" ref="CE197:CE203" si="207">$CE$3</f>
        <v>221.9773436301067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0.31195505882370106</v>
      </c>
      <c r="CL197" s="23">
        <f>EXP(-LN(2)/25)*CL196+(1-EXP(-LN(2)/25))/(LN(2)/25)*Calculateur!CG197*Calculateur!CI197*VLOOKUP('Données projet'!$B$12,Paramètres!$A$1:$I$89,3,0)*0.475*44/12</f>
        <v>7.3278963951393453E-2</v>
      </c>
      <c r="CM197" s="23">
        <f>EXP(-LN(2)/2)*CM196+(1-EXP(-LN(2)/2))/(LN(2)/2)*CG197*CJ197*VLOOKUP('Données projet'!$B$12,Paramètres!$A$1:$I$89,3,0)*0.475*44/12</f>
        <v>1.4074139116071773E-24</v>
      </c>
      <c r="CN197" s="24">
        <f t="shared" si="172"/>
        <v>0.3852340227750945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-5.3205440053716299E-14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310.95287409903602</v>
      </c>
      <c r="CZ197" s="62">
        <f t="shared" ref="CZ197:CZ203" si="208">$CZ$3</f>
        <v>224.10083380795163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1.738044375088066E-13</v>
      </c>
      <c r="P198" s="14">
        <f t="shared" si="203"/>
        <v>2.4483293633950478E-12</v>
      </c>
      <c r="Q198" s="22">
        <f t="shared" si="162"/>
        <v>4.566883036574213E-12</v>
      </c>
      <c r="R198" s="62">
        <f t="shared" si="191"/>
        <v>293.33333333333786</v>
      </c>
      <c r="S198" s="62">
        <f ca="1">AVERAGE(OFFSET($R$3,0,0,'Données projet'!$E$9+1,1))-AVERAGE(OFFSET($H$3,0,0,'Données projet'!$E$9+1,1))</f>
        <v>253.73326067725128</v>
      </c>
      <c r="T198" s="62">
        <f t="shared" si="204"/>
        <v>317.76427047458026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0.17401210808885395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5.0909044571694527E-24</v>
      </c>
      <c r="AC198" s="24">
        <f t="shared" si="163"/>
        <v>0.17401210808885395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-5.9412741393316544E-14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406.17572122067492</v>
      </c>
      <c r="AO198" s="62">
        <f t="shared" si="205"/>
        <v>244.4332618279085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-5.1431925385259088E-14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344.49457749226184</v>
      </c>
      <c r="BJ198" s="62">
        <f t="shared" si="206"/>
        <v>207.92972431357452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287.69656598881124</v>
      </c>
      <c r="CE198" s="62">
        <f t="shared" si="207"/>
        <v>221.9773436301067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0.30583781039396618</v>
      </c>
      <c r="CL198" s="23">
        <f>EXP(-LN(2)/25)*CL197+(1-EXP(-LN(2)/25))/(LN(2)/25)*Calculateur!CG198*Calculateur!CI198*VLOOKUP('Données projet'!$B$12,Paramètres!$A$1:$I$89,3,0)*0.475*44/12</f>
        <v>7.1275146828569363E-2</v>
      </c>
      <c r="CM198" s="23">
        <f>EXP(-LN(2)/2)*CM197+(1-EXP(-LN(2)/2))/(LN(2)/2)*CG198*CJ198*VLOOKUP('Données projet'!$B$12,Paramètres!$A$1:$I$89,3,0)*0.475*44/12</f>
        <v>9.9519192083371922E-25</v>
      </c>
      <c r="CN198" s="24">
        <f t="shared" si="172"/>
        <v>0.37711295722253557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-5.3205440053716299E-14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310.95287409903602</v>
      </c>
      <c r="CZ198" s="62">
        <f t="shared" si="208"/>
        <v>224.10083380795163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1.738044375088066E-13</v>
      </c>
      <c r="P199" s="14">
        <f t="shared" si="203"/>
        <v>2.4483293633950478E-12</v>
      </c>
      <c r="Q199" s="22">
        <f t="shared" si="162"/>
        <v>4.566883036574213E-12</v>
      </c>
      <c r="R199" s="62">
        <f t="shared" si="191"/>
        <v>293.33333333333786</v>
      </c>
      <c r="S199" s="62">
        <f ca="1">AVERAGE(OFFSET($R$3,0,0,'Données projet'!$E$9+1,1))-AVERAGE(OFFSET($H$3,0,0,'Données projet'!$E$9+1,1))</f>
        <v>253.73326067725128</v>
      </c>
      <c r="T199" s="62">
        <f t="shared" si="204"/>
        <v>317.76427047458026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0.1705998367861373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3.5998130640373396E-24</v>
      </c>
      <c r="AC199" s="24">
        <f t="shared" si="163"/>
        <v>0.1705998367861373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-5.9412741393316544E-14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406.17572122067492</v>
      </c>
      <c r="AO199" s="62">
        <f t="shared" si="205"/>
        <v>244.4332618279085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-5.1431925385259088E-14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344.49457749226184</v>
      </c>
      <c r="BJ199" s="62">
        <f t="shared" si="206"/>
        <v>207.92972431357452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287.69656598881124</v>
      </c>
      <c r="CE199" s="62">
        <f t="shared" si="207"/>
        <v>221.9773436301067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0.2998405174747853</v>
      </c>
      <c r="CL199" s="23">
        <f>EXP(-LN(2)/25)*CL198+(1-EXP(-LN(2)/25))/(LN(2)/25)*Calculateur!CG199*Calculateur!CI199*VLOOKUP('Données projet'!$B$12,Paramètres!$A$1:$I$89,3,0)*0.475*44/12</f>
        <v>6.9326124190345062E-2</v>
      </c>
      <c r="CM199" s="23">
        <f>EXP(-LN(2)/2)*CM198+(1-EXP(-LN(2)/2))/(LN(2)/2)*CG199*CJ199*VLOOKUP('Données projet'!$B$12,Paramètres!$A$1:$I$89,3,0)*0.475*44/12</f>
        <v>7.0370695580358864E-25</v>
      </c>
      <c r="CN199" s="24">
        <f t="shared" si="172"/>
        <v>0.36916664166513036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-5.3205440053716299E-14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310.95287409903602</v>
      </c>
      <c r="CZ199" s="62">
        <f t="shared" si="208"/>
        <v>224.10083380795163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1.738044375088066E-13</v>
      </c>
      <c r="P200" s="14">
        <f t="shared" si="203"/>
        <v>2.4483293633950478E-12</v>
      </c>
      <c r="Q200" s="22">
        <f t="shared" si="162"/>
        <v>4.566883036574213E-12</v>
      </c>
      <c r="R200" s="62">
        <f t="shared" si="191"/>
        <v>293.33333333333786</v>
      </c>
      <c r="S200" s="62">
        <f ca="1">AVERAGE(OFFSET($R$3,0,0,'Données projet'!$E$9+1,1))-AVERAGE(OFFSET($H$3,0,0,'Données projet'!$E$9+1,1))</f>
        <v>253.73326067725128</v>
      </c>
      <c r="T200" s="62">
        <f t="shared" si="204"/>
        <v>317.76427047458026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0.16725447804238694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2.5454522285847263E-24</v>
      </c>
      <c r="AC200" s="24">
        <f t="shared" si="163"/>
        <v>0.16725447804238694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-5.9412741393316544E-14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406.17572122067492</v>
      </c>
      <c r="AO200" s="62">
        <f t="shared" si="205"/>
        <v>244.4332618279085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-5.1431925385259088E-14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344.49457749226184</v>
      </c>
      <c r="BJ200" s="62">
        <f t="shared" si="206"/>
        <v>207.92972431357452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287.69656598881124</v>
      </c>
      <c r="CE200" s="62">
        <f t="shared" si="207"/>
        <v>221.9773436301067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0.29396082781176208</v>
      </c>
      <c r="CL200" s="23">
        <f>EXP(-LN(2)/25)*CL199+(1-EXP(-LN(2)/25))/(LN(2)/25)*Calculateur!CG200*Calculateur!CI200*VLOOKUP('Données projet'!$B$12,Paramètres!$A$1:$I$89,3,0)*0.475*44/12</f>
        <v>6.7430397678657647E-2</v>
      </c>
      <c r="CM200" s="23">
        <f>EXP(-LN(2)/2)*CM199+(1-EXP(-LN(2)/2))/(LN(2)/2)*CG200*CJ200*VLOOKUP('Données projet'!$B$12,Paramètres!$A$1:$I$89,3,0)*0.475*44/12</f>
        <v>4.9759596041685961E-25</v>
      </c>
      <c r="CN200" s="24">
        <f t="shared" si="172"/>
        <v>0.36139122549041974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-5.3205440053716299E-14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310.95287409903602</v>
      </c>
      <c r="CZ200" s="62">
        <f t="shared" si="208"/>
        <v>224.10083380795163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1.738044375088066E-13</v>
      </c>
      <c r="P201" s="14">
        <f t="shared" si="203"/>
        <v>2.4483293633950478E-12</v>
      </c>
      <c r="Q201" s="22">
        <f t="shared" si="162"/>
        <v>4.566883036574213E-12</v>
      </c>
      <c r="R201" s="62">
        <f t="shared" si="191"/>
        <v>293.33333333333786</v>
      </c>
      <c r="S201" s="62">
        <f ca="1">AVERAGE(OFFSET($R$3,0,0,'Données projet'!$E$9+1,1))-AVERAGE(OFFSET($H$3,0,0,'Données projet'!$E$9+1,1))</f>
        <v>253.73326067725128</v>
      </c>
      <c r="T201" s="62">
        <f t="shared" si="204"/>
        <v>317.76427047458026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0.16397471974313418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1.7999065320186698E-24</v>
      </c>
      <c r="AC201" s="24">
        <f t="shared" si="163"/>
        <v>0.16397471974313418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-5.9412741393316544E-14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406.17572122067492</v>
      </c>
      <c r="AO201" s="62">
        <f t="shared" si="205"/>
        <v>244.4332618279085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-5.1431925385259088E-14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344.49457749226184</v>
      </c>
      <c r="BJ201" s="62">
        <f t="shared" si="206"/>
        <v>207.92972431357452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287.69656598881124</v>
      </c>
      <c r="CE201" s="62">
        <f t="shared" si="207"/>
        <v>221.9773436301067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0.28819643527677413</v>
      </c>
      <c r="CL201" s="23">
        <f>EXP(-LN(2)/25)*CL200+(1-EXP(-LN(2)/25))/(LN(2)/25)*Calculateur!CG201*Calculateur!CI201*VLOOKUP('Données projet'!$B$12,Paramètres!$A$1:$I$89,3,0)*0.475*44/12</f>
        <v>6.5586509908124258E-2</v>
      </c>
      <c r="CM201" s="23">
        <f>EXP(-LN(2)/2)*CM200+(1-EXP(-LN(2)/2))/(LN(2)/2)*CG201*CJ201*VLOOKUP('Données projet'!$B$12,Paramètres!$A$1:$I$89,3,0)*0.475*44/12</f>
        <v>3.5185347790179432E-25</v>
      </c>
      <c r="CN201" s="24">
        <f t="shared" si="172"/>
        <v>0.35378294518489839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-5.3205440053716299E-14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310.95287409903602</v>
      </c>
      <c r="CZ201" s="62">
        <f t="shared" si="208"/>
        <v>224.10083380795163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1.738044375088066E-13</v>
      </c>
      <c r="P202" s="14">
        <f t="shared" si="203"/>
        <v>2.4483293633950478E-12</v>
      </c>
      <c r="Q202" s="22">
        <f t="shared" si="162"/>
        <v>4.566883036574213E-12</v>
      </c>
      <c r="R202" s="62">
        <f t="shared" si="191"/>
        <v>293.33333333333786</v>
      </c>
      <c r="S202" s="62">
        <f ca="1">AVERAGE(OFFSET($R$3,0,0,'Données projet'!$E$9+1,1))-AVERAGE(OFFSET($H$3,0,0,'Données projet'!$E$9+1,1))</f>
        <v>253.73326067725128</v>
      </c>
      <c r="T202" s="62">
        <f t="shared" si="204"/>
        <v>317.76427047458026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0.16075927550367475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1.2727261142923632E-24</v>
      </c>
      <c r="AC202" s="24">
        <f t="shared" si="163"/>
        <v>0.16075927550367475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-5.9412741393316544E-14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406.17572122067492</v>
      </c>
      <c r="AO202" s="62">
        <f t="shared" si="205"/>
        <v>244.4332618279085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-5.1431925385259088E-14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344.49457749226184</v>
      </c>
      <c r="BJ202" s="62">
        <f t="shared" si="206"/>
        <v>207.92972431357452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287.69656598881124</v>
      </c>
      <c r="CE202" s="62">
        <f t="shared" si="207"/>
        <v>221.9773436301067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0.28254507896346504</v>
      </c>
      <c r="CL202" s="23">
        <f>EXP(-LN(2)/25)*CL201+(1-EXP(-LN(2)/25))/(LN(2)/25)*Calculateur!CG202*Calculateur!CI202*VLOOKUP('Données projet'!$B$12,Paramètres!$A$1:$I$89,3,0)*0.475*44/12</f>
        <v>6.3793043345641939E-2</v>
      </c>
      <c r="CM202" s="23">
        <f>EXP(-LN(2)/2)*CM201+(1-EXP(-LN(2)/2))/(LN(2)/2)*CG202*CJ202*VLOOKUP('Données projet'!$B$12,Paramètres!$A$1:$I$89,3,0)*0.475*44/12</f>
        <v>2.4879798020842981E-25</v>
      </c>
      <c r="CN202" s="24">
        <f t="shared" si="172"/>
        <v>0.34633812230910699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-5.3205440053716299E-14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310.95287409903602</v>
      </c>
      <c r="CZ202" s="62">
        <f t="shared" si="208"/>
        <v>224.10083380795163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1.738044375088066E-13</v>
      </c>
      <c r="P203" s="14">
        <f t="shared" si="203"/>
        <v>2.4483293633950478E-12</v>
      </c>
      <c r="Q203" s="22">
        <f t="shared" si="162"/>
        <v>4.566883036574213E-12</v>
      </c>
      <c r="R203" s="62">
        <f t="shared" si="191"/>
        <v>293.33333333333786</v>
      </c>
      <c r="S203" s="62">
        <f ca="1">AVERAGE(OFFSET($R$3,0,0,'Données projet'!$E$9+1,1))-AVERAGE(OFFSET($H$3,0,0,'Données projet'!$E$9+1,1))</f>
        <v>253.73326067725128</v>
      </c>
      <c r="T203" s="62">
        <f t="shared" si="204"/>
        <v>317.76427047458026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0.15760688416452376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8.999532660093349E-25</v>
      </c>
      <c r="AC203" s="24">
        <f t="shared" si="163"/>
        <v>0.15760688416452376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-5.9412741393316544E-14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406.17572122067492</v>
      </c>
      <c r="AO203" s="62">
        <f t="shared" si="205"/>
        <v>244.4332618279085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-5.1431925385259088E-14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344.49457749226184</v>
      </c>
      <c r="BJ203" s="62">
        <f t="shared" si="206"/>
        <v>207.92972431357452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287.69656598881124</v>
      </c>
      <c r="CE203" s="62">
        <f t="shared" si="207"/>
        <v>221.9773436301067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0.27700454230047294</v>
      </c>
      <c r="CL203" s="23">
        <f>EXP(-LN(2)/25)*CL202+(1-EXP(-LN(2)/25))/(LN(2)/25)*Calculateur!CG203*Calculateur!CI203*VLOOKUP('Données projet'!$B$12,Paramètres!$A$1:$I$89,3,0)*0.475*44/12</f>
        <v>6.2048619220625011E-2</v>
      </c>
      <c r="CM203" s="23">
        <f>EXP(-LN(2)/2)*CM202+(1-EXP(-LN(2)/2))/(LN(2)/2)*CG203*CJ203*VLOOKUP('Données projet'!$B$12,Paramètres!$A$1:$I$89,3,0)*0.475*44/12</f>
        <v>1.7592673895089716E-25</v>
      </c>
      <c r="CN203" s="24">
        <f t="shared" si="172"/>
        <v>0.33905316152109793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-5.3205440053716299E-14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310.95287409903602</v>
      </c>
      <c r="CZ203" s="62">
        <f t="shared" si="208"/>
        <v>224.10083380795163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1.3467943429205997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1.2392705892426346</v>
      </c>
      <c r="BV205" s="88">
        <f>EXP(LN('Données projet'!B114)/'Données projet'!A114)</f>
        <v>1.244502252163008</v>
      </c>
      <c r="CQ205" s="88">
        <f>EXP(LN('Données projet'!B140)/'Données projet'!A140)</f>
        <v>1.2880503926580862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Q21" sqref="Q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0.41830000000000001</v>
      </c>
      <c r="C6" s="156">
        <f ca="1">IF(OR('Données projet'!B9="",'Données projet'!C9="",'Données projet'!C9=0%),0,Calculateur!S3)</f>
        <v>253.73326067725128</v>
      </c>
      <c r="D6" s="156">
        <f>IF(OR('Données projet'!B9="",'Données projet'!C9="",'Données projet'!C9=0%),0,Calculateur!T3)</f>
        <v>317.76427047458026</v>
      </c>
      <c r="E6" s="156">
        <f ca="1">MIN(C6,D6)</f>
        <v>253.73326067725128</v>
      </c>
      <c r="F6" s="156">
        <f ca="1">E6*B6</f>
        <v>106.13662294129421</v>
      </c>
      <c r="G6" s="156">
        <f ca="1">F6*(100%-'Données projet'!$C$24)*(100%-'Données projet'!$C$25)*(100%-'Données projet'!$C$26)*(100%-'Données projet'!$C$27)</f>
        <v>90.746812614806544</v>
      </c>
      <c r="H6" s="157">
        <f>IF(OR('Données projet'!B9="",'Données projet'!C9="",'Données projet'!C9=0%),0,AVERAGE(Calculateur!$AC$3:$AC$33)*B6)</f>
        <v>4.2817875835759631</v>
      </c>
      <c r="I6" s="158">
        <f>H6*(100%-'Données projet'!$C$24)*(100%-'Données projet'!$C$25)*(100%-'Données projet'!$C$26)*(100%-'Données projet'!$C$27)</f>
        <v>3.6609283839574482</v>
      </c>
      <c r="J6" s="159">
        <f>IF(OR('Données projet'!B9="",'Données projet'!C9="",'Données projet'!C9=0%),0,SUM(Calculateur!$V$3:$V$33)*VLOOKUP('Données projet'!$B$9,Paramètres!$A$1:$I$89,9,0)*B6)</f>
        <v>15.8954</v>
      </c>
      <c r="K6" s="160">
        <f>J6*(100%-'Données projet'!$C$24)*(100%-'Données projet'!$C$25)*(100%-'Données projet'!$C$26)*(100%-'Données projet'!$C$27)</f>
        <v>13.590567</v>
      </c>
      <c r="L6" s="161">
        <f ca="1">G6+I6+K6</f>
        <v>107.99830799876401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chevelu</v>
      </c>
      <c r="B7" s="163">
        <f>'Données projet'!D10</f>
        <v>0.41830000000000001</v>
      </c>
      <c r="C7" s="156">
        <f ca="1">IF(OR('Données projet'!B10="",'Données projet'!C10="",'Données projet'!C10=0%),0,Calculateur!AN3)</f>
        <v>406.17572122067492</v>
      </c>
      <c r="D7" s="156">
        <f>IF(OR('Données projet'!B10="",'Données projet'!C10="",'Données projet'!C10=0%),0,Calculateur!AO3)</f>
        <v>244.4332618279085</v>
      </c>
      <c r="E7" s="156">
        <f t="shared" ref="E7:E15" ca="1" si="0">MIN(C7,D7)</f>
        <v>244.4332618279085</v>
      </c>
      <c r="F7" s="156">
        <f t="shared" ref="F7:F15" ca="1" si="1">E7*B7</f>
        <v>102.24643342261413</v>
      </c>
      <c r="G7" s="156">
        <f ca="1">F7*(100%-'Données projet'!$C$24)*(100%-'Données projet'!$C$25)*(100%-'Données projet'!$C$26)*(100%-'Données projet'!$C$27)</f>
        <v>87.420700576335079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6.4836499999999999</v>
      </c>
      <c r="K7" s="160">
        <f>J7*(100%-'Données projet'!$C$24)*(100%-'Données projet'!$C$25)*(100%-'Données projet'!$C$26)*(100%-'Données projet'!$C$27)</f>
        <v>5.5435207499999999</v>
      </c>
      <c r="L7" s="161">
        <f t="shared" ref="L7:L15" ca="1" si="2">G7+I7+K7</f>
        <v>92.964221326335078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1.6020000000000001</v>
      </c>
      <c r="C8" s="156">
        <f ca="1">IF(OR('Données projet'!B11="",'Données projet'!C11="",'Données projet'!C11=0%),0,Calculateur!BI3)</f>
        <v>344.49457749226184</v>
      </c>
      <c r="D8" s="156">
        <f>IF(OR('Données projet'!B11="",'Données projet'!C11="",'Données projet'!C11=0%),0,Calculateur!BJ3)</f>
        <v>207.92972431357452</v>
      </c>
      <c r="E8" s="156">
        <f t="shared" ca="1" si="0"/>
        <v>207.92972431357452</v>
      </c>
      <c r="F8" s="156">
        <f t="shared" ca="1" si="1"/>
        <v>333.10341835034643</v>
      </c>
      <c r="G8" s="156">
        <f ca="1">F8*(100%-'Données projet'!$C$24)*(100%-'Données projet'!$C$25)*(100%-'Données projet'!$C$26)*(100%-'Données projet'!$C$27)</f>
        <v>284.80342268954615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24.831000000000003</v>
      </c>
      <c r="K8" s="160">
        <f>J8*(100%-'Données projet'!$C$24)*(100%-'Données projet'!$C$25)*(100%-'Données projet'!$C$26)*(100%-'Données projet'!$C$27)</f>
        <v>21.230505000000001</v>
      </c>
      <c r="L8" s="161">
        <f t="shared" ca="1" si="2"/>
        <v>306.03392768954615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laricio</v>
      </c>
      <c r="B9" s="163">
        <f>'Données projet'!D12</f>
        <v>0.60075000000000012</v>
      </c>
      <c r="C9" s="156">
        <f ca="1">IF(OR('Données projet'!B12="",'Données projet'!C12="",'Données projet'!C12=0%),0,Calculateur!CD3)</f>
        <v>287.69656598881124</v>
      </c>
      <c r="D9" s="156">
        <f>IF(OR('Données projet'!B12="",'Données projet'!C12="",'Données projet'!C12=0%),0,Calculateur!CE3)</f>
        <v>221.9773436301067</v>
      </c>
      <c r="E9" s="156">
        <f t="shared" ca="1" si="0"/>
        <v>221.9773436301067</v>
      </c>
      <c r="F9" s="156">
        <f t="shared" ca="1" si="1"/>
        <v>133.35288918578664</v>
      </c>
      <c r="G9" s="156">
        <f ca="1">F9*(100%-'Données projet'!$C$24)*(100%-'Données projet'!$C$25)*(100%-'Données projet'!$C$26)*(100%-'Données projet'!$C$27)</f>
        <v>114.01672025384758</v>
      </c>
      <c r="H9" s="164">
        <f>IF(OR('Données projet'!B12="",'Données projet'!C12="",'Données projet'!C12=0%),0,AVERAGE(Calculateur!$CN$3:$CN$33)*B9)</f>
        <v>1.7476995611910628</v>
      </c>
      <c r="I9" s="158">
        <f>H9*(100%-'Données projet'!$C$24)*(100%-'Données projet'!$C$25)*(100%-'Données projet'!$C$26)*(100%-'Données projet'!$C$27)</f>
        <v>1.4942831248183586</v>
      </c>
      <c r="J9" s="159">
        <f>IF(OR('Données projet'!B12="",'Données projet'!C12="",'Données projet'!C12=0%),0,SUM(Calculateur!$CG$3:$CG$33)*VLOOKUP('Données projet'!$B$12,Paramètres!$A$1:$I$89,9,0)*B9)</f>
        <v>17.307607500000003</v>
      </c>
      <c r="K9" s="160">
        <f>J9*(100%-'Données projet'!$C$24)*(100%-'Données projet'!$C$25)*(100%-'Données projet'!$C$26)*(100%-'Données projet'!$C$27)</f>
        <v>14.798004412500003</v>
      </c>
      <c r="L9" s="161">
        <f t="shared" ca="1" si="2"/>
        <v>130.30900779116593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Cèdre de l'Atlas</v>
      </c>
      <c r="B10" s="163">
        <f>'Données projet'!D13</f>
        <v>1.3794999999999999</v>
      </c>
      <c r="C10" s="156">
        <f ca="1">IF(OR('Données projet'!B13="",'Données projet'!C13="",'Données projet'!C13=0%),0,Calculateur!CY3)</f>
        <v>310.95287409903602</v>
      </c>
      <c r="D10" s="156">
        <f>IF(OR('Données projet'!B13="",'Données projet'!C13="",'Données projet'!C13=0%),0,Calculateur!CZ3)</f>
        <v>224.10083380795163</v>
      </c>
      <c r="E10" s="156">
        <f t="shared" ca="1" si="0"/>
        <v>224.10083380795163</v>
      </c>
      <c r="F10" s="156">
        <f t="shared" ca="1" si="1"/>
        <v>309.14710023806924</v>
      </c>
      <c r="G10" s="156">
        <f ca="1">F10*(100%-'Données projet'!$C$24)*(100%-'Données projet'!$C$25)*(100%-'Données projet'!$C$26)*(100%-'Données projet'!$C$27)</f>
        <v>264.32077070354921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264.32077070354921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983.9864641381107</v>
      </c>
      <c r="G16" s="175">
        <f t="shared" ca="1" si="3"/>
        <v>841.30842683808453</v>
      </c>
      <c r="H16" s="176">
        <f t="shared" si="3"/>
        <v>6.0294871447670264</v>
      </c>
      <c r="I16" s="176">
        <f t="shared" si="3"/>
        <v>5.1552115087758068</v>
      </c>
      <c r="J16" s="177">
        <f t="shared" si="3"/>
        <v>64.517657500000013</v>
      </c>
      <c r="K16" s="177">
        <f t="shared" si="3"/>
        <v>55.162597162500006</v>
      </c>
      <c r="L16" s="178">
        <f t="shared" ca="1" si="3"/>
        <v>901.62623550936041</v>
      </c>
      <c r="M16" s="25">
        <f ca="1">L16/SUM(B6:B10)</f>
        <v>204.04092365872577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chevelu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Cèdre de l'Atlas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9" zoomScale="90" zoomScaleNormal="90" workbookViewId="0">
      <selection activeCell="J26" sqref="J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2255.8663915188254</v>
      </c>
      <c r="U10" s="190">
        <f>'Données projet'!D9</f>
        <v>0.41830000000000001</v>
      </c>
      <c r="V10" s="189">
        <f>U10*T10</f>
        <v>943.62891157232468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chevelu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771.66802392222075</v>
      </c>
      <c r="U11" s="190">
        <f>'Données projet'!D10</f>
        <v>0.41830000000000001</v>
      </c>
      <c r="V11" s="189">
        <f t="shared" ref="V11" si="0">U11*T11</f>
        <v>322.78873440666496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808.93385075014908</v>
      </c>
      <c r="U12" s="190">
        <f>'Données projet'!D11</f>
        <v>1.6020000000000001</v>
      </c>
      <c r="V12" s="189">
        <f t="shared" ref="V12:V19" si="1">U12*T12</f>
        <v>1295.9120289017389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laricio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2130.5619458115543</v>
      </c>
      <c r="U13" s="190">
        <f>'Données projet'!D12</f>
        <v>0.60075000000000012</v>
      </c>
      <c r="V13" s="189">
        <f t="shared" si="1"/>
        <v>1279.9350889462914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Cèdre de l'Atlas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1539.3405671136984</v>
      </c>
      <c r="U14" s="190">
        <f>'Données projet'!D13</f>
        <v>1.3794999999999999</v>
      </c>
      <c r="V14" s="189">
        <f t="shared" si="1"/>
        <v>2123.5203123333467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60.000000000000085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2700.0000000000036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9735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1454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755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21</v>
      </c>
      <c r="C23" s="206">
        <v>9</v>
      </c>
      <c r="D23" s="194">
        <f>B23*C23</f>
        <v>189</v>
      </c>
      <c r="E23" s="206"/>
      <c r="F23" s="261"/>
      <c r="H23" s="203">
        <v>3</v>
      </c>
      <c r="I23" s="204">
        <v>768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-49618.094542675804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43</v>
      </c>
      <c r="C24" s="206">
        <v>10</v>
      </c>
      <c r="D24" s="194">
        <f t="shared" ref="D24:D42" si="2">B24*C24</f>
        <v>430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856.53743449309047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44</v>
      </c>
      <c r="C25" s="206">
        <v>11</v>
      </c>
      <c r="D25" s="194">
        <f t="shared" si="2"/>
        <v>484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-50474.631977168894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44</v>
      </c>
      <c r="C26" s="206">
        <v>20</v>
      </c>
      <c r="D26" s="194">
        <f t="shared" si="2"/>
        <v>880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42</v>
      </c>
      <c r="C27" s="206">
        <v>22</v>
      </c>
      <c r="D27" s="194">
        <f t="shared" si="2"/>
        <v>924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39</v>
      </c>
      <c r="C28" s="206">
        <v>25</v>
      </c>
      <c r="D28" s="194">
        <f t="shared" si="2"/>
        <v>975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36</v>
      </c>
      <c r="C29" s="206">
        <v>27</v>
      </c>
      <c r="D29" s="194">
        <f t="shared" si="2"/>
        <v>972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33</v>
      </c>
      <c r="C30" s="206">
        <v>40</v>
      </c>
      <c r="D30" s="194">
        <f t="shared" si="2"/>
        <v>1320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29</v>
      </c>
      <c r="C31" s="206">
        <v>40</v>
      </c>
      <c r="D31" s="194">
        <f t="shared" si="2"/>
        <v>1160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26</v>
      </c>
      <c r="C32" s="206">
        <v>45</v>
      </c>
      <c r="D32" s="194">
        <f t="shared" si="2"/>
        <v>1170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23</v>
      </c>
      <c r="C33" s="206">
        <v>50</v>
      </c>
      <c r="D33" s="194">
        <f t="shared" si="2"/>
        <v>1150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70</v>
      </c>
      <c r="B34" s="193">
        <f>'Données projet'!D47</f>
        <v>249</v>
      </c>
      <c r="C34" s="206">
        <v>60</v>
      </c>
      <c r="D34" s="194">
        <f t="shared" si="2"/>
        <v>14940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chevelu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04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04">
        <v>4</v>
      </c>
      <c r="D55" s="191">
        <f t="shared" ref="D55:D73" si="4">B55*C55</f>
        <v>112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04">
        <v>4</v>
      </c>
      <c r="D56" s="191">
        <f t="shared" si="4"/>
        <v>112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04">
        <v>8</v>
      </c>
      <c r="D57" s="191">
        <f t="shared" si="4"/>
        <v>224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04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4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4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4">
        <v>15</v>
      </c>
      <c r="D63" s="191">
        <f t="shared" si="4"/>
        <v>420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4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4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331</v>
      </c>
      <c r="C73" s="204">
        <v>150</v>
      </c>
      <c r="D73" s="191">
        <f t="shared" si="4"/>
        <v>49650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04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04">
        <v>4</v>
      </c>
      <c r="D86" s="191">
        <f t="shared" ref="D86:D104" si="6">B86*C86</f>
        <v>112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04">
        <v>4</v>
      </c>
      <c r="D87" s="191">
        <f t="shared" si="6"/>
        <v>112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04">
        <v>8</v>
      </c>
      <c r="D88" s="191">
        <f t="shared" si="6"/>
        <v>224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04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04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04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04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04">
        <v>15</v>
      </c>
      <c r="D94" s="191">
        <f t="shared" si="6"/>
        <v>420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04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04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04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04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04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04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04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04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04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331</v>
      </c>
      <c r="C104" s="204">
        <v>150</v>
      </c>
      <c r="D104" s="191">
        <f t="shared" si="6"/>
        <v>49650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22</v>
      </c>
      <c r="B116" s="193">
        <f>'Données projet'!D114</f>
        <v>16</v>
      </c>
      <c r="C116" s="204">
        <v>5</v>
      </c>
      <c r="D116" s="191">
        <f>B116*C116</f>
        <v>80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17</v>
      </c>
      <c r="C117" s="204">
        <v>8</v>
      </c>
      <c r="D117" s="191">
        <f t="shared" ref="D117:D135" si="8">B117*C117</f>
        <v>136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34</v>
      </c>
      <c r="C118" s="204">
        <v>12</v>
      </c>
      <c r="D118" s="191">
        <f t="shared" si="8"/>
        <v>408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41</v>
      </c>
      <c r="C119" s="204">
        <v>25</v>
      </c>
      <c r="D119" s="191">
        <f t="shared" si="8"/>
        <v>1025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41</v>
      </c>
      <c r="C120" s="204">
        <v>28</v>
      </c>
      <c r="D120" s="191">
        <f t="shared" si="8"/>
        <v>1148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53</v>
      </c>
      <c r="C121" s="204">
        <v>30</v>
      </c>
      <c r="D121" s="191">
        <f t="shared" si="8"/>
        <v>1590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53</v>
      </c>
      <c r="C122" s="204">
        <v>35</v>
      </c>
      <c r="D122" s="191">
        <f t="shared" si="8"/>
        <v>1855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58</v>
      </c>
      <c r="B123" s="193">
        <f>'Données projet'!D121</f>
        <v>78</v>
      </c>
      <c r="C123" s="204">
        <v>37</v>
      </c>
      <c r="D123" s="191">
        <f t="shared" si="8"/>
        <v>2886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66</v>
      </c>
      <c r="B124" s="193">
        <f>'Données projet'!D122</f>
        <v>65</v>
      </c>
      <c r="C124" s="204">
        <v>40</v>
      </c>
      <c r="D124" s="191">
        <f t="shared" si="8"/>
        <v>2600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74</v>
      </c>
      <c r="B125" s="193">
        <f>'Données projet'!D123</f>
        <v>37</v>
      </c>
      <c r="C125" s="204">
        <v>43</v>
      </c>
      <c r="D125" s="191">
        <f t="shared" si="8"/>
        <v>1591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82</v>
      </c>
      <c r="B126" s="193">
        <f>'Données projet'!D124</f>
        <v>555</v>
      </c>
      <c r="C126" s="204">
        <v>45</v>
      </c>
      <c r="D126" s="191">
        <f t="shared" si="8"/>
        <v>24975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Cèdre de l'Atlas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40</v>
      </c>
      <c r="B149" s="187">
        <f>'Données projet'!D142</f>
        <v>88</v>
      </c>
      <c r="C149" s="204">
        <v>22</v>
      </c>
      <c r="D149" s="194">
        <f t="shared" si="10"/>
        <v>1936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50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60</v>
      </c>
      <c r="B151" s="187">
        <f>'Données projet'!D144</f>
        <v>102</v>
      </c>
      <c r="C151" s="204">
        <v>30</v>
      </c>
      <c r="D151" s="194">
        <f t="shared" si="10"/>
        <v>3060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70</v>
      </c>
      <c r="B152" s="187">
        <f>'Données projet'!D145</f>
        <v>113</v>
      </c>
      <c r="C152" s="204">
        <v>35</v>
      </c>
      <c r="D152" s="194">
        <f t="shared" si="10"/>
        <v>3955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80</v>
      </c>
      <c r="B153" s="187">
        <f>'Données projet'!D146</f>
        <v>124</v>
      </c>
      <c r="C153" s="204">
        <v>40</v>
      </c>
      <c r="D153" s="194">
        <f t="shared" si="10"/>
        <v>4960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90</v>
      </c>
      <c r="B154" s="187">
        <f>'Données projet'!D147</f>
        <v>135</v>
      </c>
      <c r="C154" s="204">
        <v>50</v>
      </c>
      <c r="D154" s="194">
        <f t="shared" si="10"/>
        <v>6750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100</v>
      </c>
      <c r="B155" s="187">
        <f>'Données projet'!D148</f>
        <v>723</v>
      </c>
      <c r="C155" s="204">
        <v>60</v>
      </c>
      <c r="D155" s="194">
        <f t="shared" si="10"/>
        <v>43380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2024-03-06T15:47:59Z</dcterms:modified>
</cp:coreProperties>
</file>