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LAURESSES (46) - Feyt\Dossier à déposer\"/>
    </mc:Choice>
  </mc:AlternateContent>
  <xr:revisionPtr revIDLastSave="0" documentId="13_ncr:1_{1A060E71-51C1-4319-B629-7D854C815BE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A155" i="2"/>
  <c r="ED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D159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HG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EX164" i="2"/>
  <c r="FR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D174" i="2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V185" i="2"/>
  <c r="EW185" i="2"/>
  <c r="EA185" i="2"/>
  <c r="ED184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EW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D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HI193" i="2" l="1"/>
  <c r="ED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D194" i="2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EB201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G202" i="2" l="1"/>
  <c r="HI202" i="2"/>
  <c r="FS202" i="2"/>
  <c r="ED201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51" i="2" a="1"/>
  <c r="GT51" i="2" s="1"/>
  <c r="GT133" i="2" a="1"/>
  <c r="GT133" i="2" s="1"/>
  <c r="GT152" i="2" a="1"/>
  <c r="GT152" i="2" s="1"/>
  <c r="EI153" i="2" a="1"/>
  <c r="EI153" i="2" s="1"/>
  <c r="EI106" i="2" a="1"/>
  <c r="EI106" i="2" s="1"/>
  <c r="EI150" i="2" a="1"/>
  <c r="EI150" i="2" s="1"/>
  <c r="EI162" i="2" a="1"/>
  <c r="EI162" i="2" s="1"/>
  <c r="EI145" i="2" a="1"/>
  <c r="EI145" i="2" s="1"/>
  <c r="EI178" i="2" a="1"/>
  <c r="EI178" i="2" s="1"/>
  <c r="DN137" i="2" a="1"/>
  <c r="DN137" i="2" s="1"/>
  <c r="DN186" i="2" a="1"/>
  <c r="DN186" i="2" s="1"/>
  <c r="DN177" i="2" a="1"/>
  <c r="DN177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90" i="2" a="1"/>
  <c r="GT190" i="2" s="1"/>
  <c r="GT107" i="2" a="1"/>
  <c r="GT107" i="2" s="1"/>
  <c r="GT138" i="2" a="1"/>
  <c r="GT138" i="2" s="1"/>
  <c r="GT15" i="2" a="1"/>
  <c r="GT15" i="2" s="1"/>
  <c r="EI38" i="2" a="1"/>
  <c r="EI38" i="2" s="1"/>
  <c r="EI165" i="2" a="1"/>
  <c r="EI165" i="2" s="1"/>
  <c r="EI34" i="2" a="1"/>
  <c r="EI34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DN168" i="2" a="1"/>
  <c r="DN168" i="2" s="1"/>
  <c r="DN38" i="2" a="1"/>
  <c r="DN38" i="2" s="1"/>
  <c r="DN135" i="2" a="1"/>
  <c r="DN135" i="2" s="1"/>
  <c r="DN164" i="2" a="1"/>
  <c r="DN164" i="2" s="1"/>
  <c r="DN49" i="2" a="1"/>
  <c r="DN49" i="2" s="1"/>
  <c r="DN110" i="2" a="1"/>
  <c r="DN110" i="2" s="1"/>
  <c r="DN55" i="2" a="1"/>
  <c r="DN55" i="2" s="1"/>
  <c r="DN70" i="2" a="1"/>
  <c r="DN70" i="2" s="1"/>
  <c r="DN6" i="2" a="1"/>
  <c r="DN6" i="2" s="1"/>
  <c r="DO6" i="2" s="1"/>
  <c r="FD82" i="2" a="1"/>
  <c r="FD82" i="2" s="1"/>
  <c r="HJ202" i="2"/>
  <c r="EY202" i="2"/>
  <c r="AX200" i="2"/>
  <c r="DN187" i="2" l="1" a="1"/>
  <c r="DN187" i="2" s="1"/>
  <c r="DN176" i="2" a="1"/>
  <c r="DN176" i="2" s="1"/>
  <c r="DN190" i="2" a="1"/>
  <c r="DN190" i="2" s="1"/>
  <c r="DN133" i="2" a="1"/>
  <c r="DN133" i="2" s="1"/>
  <c r="DN123" i="2" a="1"/>
  <c r="DN123" i="2" s="1"/>
  <c r="DN150" i="2" a="1"/>
  <c r="DN150" i="2" s="1"/>
  <c r="DN192" i="2" a="1"/>
  <c r="DN192" i="2" s="1"/>
  <c r="DN188" i="2" a="1"/>
  <c r="DN188" i="2" s="1"/>
  <c r="DN86" i="2" a="1"/>
  <c r="DN86" i="2" s="1"/>
  <c r="DN155" i="2" a="1"/>
  <c r="DN155" i="2" s="1"/>
  <c r="DN65" i="2" a="1"/>
  <c r="DN65" i="2" s="1"/>
  <c r="DN80" i="2" a="1"/>
  <c r="DN80" i="2" s="1"/>
  <c r="DN66" i="2" a="1"/>
  <c r="DN66" i="2" s="1"/>
  <c r="DN45" i="2" a="1"/>
  <c r="DN45" i="2" s="1"/>
  <c r="DN31" i="2" a="1"/>
  <c r="DN31" i="2" s="1"/>
  <c r="DN115" i="2" a="1"/>
  <c r="DN115" i="2" s="1"/>
  <c r="DN167" i="2" a="1"/>
  <c r="DN167" i="2" s="1"/>
  <c r="DN63" i="2" a="1"/>
  <c r="DN63" i="2" s="1"/>
  <c r="DN153" i="2" a="1"/>
  <c r="DN153" i="2" s="1"/>
  <c r="DN30" i="2" a="1"/>
  <c r="DN30" i="2" s="1"/>
  <c r="DN16" i="2" a="1"/>
  <c r="DN16" i="2" s="1"/>
  <c r="DN114" i="2" a="1"/>
  <c r="DN114" i="2" s="1"/>
  <c r="DN50" i="2" a="1"/>
  <c r="DN50" i="2" s="1"/>
  <c r="DN132" i="2" a="1"/>
  <c r="DN132" i="2" s="1"/>
  <c r="DN46" i="2" a="1"/>
  <c r="DN46" i="2" s="1"/>
  <c r="DN162" i="2" a="1"/>
  <c r="DN162" i="2" s="1"/>
  <c r="DN103" i="2" a="1"/>
  <c r="DN103" i="2" s="1"/>
  <c r="DN25" i="2" a="1"/>
  <c r="DN25" i="2" s="1"/>
  <c r="DN170" i="2" a="1"/>
  <c r="DN170" i="2" s="1"/>
  <c r="DN129" i="2" a="1"/>
  <c r="DN129" i="2" s="1"/>
  <c r="DN113" i="2" a="1"/>
  <c r="DN113" i="2" s="1"/>
  <c r="DN29" i="2" a="1"/>
  <c r="DN29" i="2" s="1"/>
  <c r="DN41" i="2" a="1"/>
  <c r="DN41" i="2" s="1"/>
  <c r="DN184" i="2" a="1"/>
  <c r="DN184" i="2" s="1"/>
  <c r="DN152" i="2" a="1"/>
  <c r="DN152" i="2" s="1"/>
  <c r="DN43" i="2" a="1"/>
  <c r="DN43" i="2" s="1"/>
  <c r="GT33" i="2" a="1"/>
  <c r="GT33" i="2" s="1"/>
  <c r="HG203" i="2"/>
  <c r="CS120" i="2" a="1"/>
  <c r="CS120" i="2" s="1"/>
  <c r="GT121" i="2" a="1"/>
  <c r="GT121" i="2" s="1"/>
  <c r="EI20" i="2" a="1"/>
  <c r="EI20" i="2" s="1"/>
  <c r="GT174" i="2" a="1"/>
  <c r="GT174" i="2" s="1"/>
  <c r="EI29" i="2" a="1"/>
  <c r="EI29" i="2" s="1"/>
  <c r="GT122" i="2" a="1"/>
  <c r="GT122" i="2" s="1"/>
  <c r="BC47" i="2" a="1"/>
  <c r="BC47" i="2" s="1"/>
  <c r="GT68" i="2" a="1"/>
  <c r="GT68" i="2" s="1"/>
  <c r="EI166" i="2" a="1"/>
  <c r="EI166" i="2" s="1"/>
  <c r="GT181" i="2" a="1"/>
  <c r="GT181" i="2" s="1"/>
  <c r="EI37" i="2" a="1"/>
  <c r="EI37" i="2" s="1"/>
  <c r="EI57" i="2" a="1"/>
  <c r="EI57" i="2" s="1"/>
  <c r="GT126" i="2" a="1"/>
  <c r="GT126" i="2" s="1"/>
  <c r="BC31" i="2" a="1"/>
  <c r="BC31" i="2" s="1"/>
  <c r="EI198" i="2" a="1"/>
  <c r="EI198" i="2" s="1"/>
  <c r="GT184" i="2" a="1"/>
  <c r="GT184" i="2" s="1"/>
  <c r="EI71" i="2" a="1"/>
  <c r="EI71" i="2" s="1"/>
  <c r="EI35" i="2" a="1"/>
  <c r="EI35" i="2" s="1"/>
  <c r="EI36" i="2" a="1"/>
  <c r="EI36" i="2" s="1"/>
  <c r="GT74" i="2" a="1"/>
  <c r="GT74" i="2" s="1"/>
  <c r="BC84" i="2" a="1"/>
  <c r="BC84" i="2" s="1"/>
  <c r="CS66" i="2" a="1"/>
  <c r="CS66" i="2" s="1"/>
  <c r="GT11" i="2" a="1"/>
  <c r="GT11" i="2" s="1"/>
  <c r="GT115" i="2" a="1"/>
  <c r="GT115" i="2" s="1"/>
  <c r="GT191" i="2" a="1"/>
  <c r="GT191" i="2" s="1"/>
  <c r="GT38" i="2" a="1"/>
  <c r="GT38" i="2" s="1"/>
  <c r="CS24" i="2" a="1"/>
  <c r="CS24" i="2" s="1"/>
  <c r="EI139" i="2" a="1"/>
  <c r="EI139" i="2" s="1"/>
  <c r="EI87" i="2" a="1"/>
  <c r="EI87" i="2" s="1"/>
  <c r="GT178" i="2" a="1"/>
  <c r="GT178" i="2" s="1"/>
  <c r="BC32" i="2" a="1"/>
  <c r="BC32" i="2" s="1"/>
  <c r="CS137" i="2" a="1"/>
  <c r="CS137" i="2" s="1"/>
  <c r="GT102" i="2" a="1"/>
  <c r="GT102" i="2" s="1"/>
  <c r="EI109" i="2" a="1"/>
  <c r="EI109" i="2" s="1"/>
  <c r="GT189" i="2" a="1"/>
  <c r="GT189" i="2" s="1"/>
  <c r="EI142" i="2" a="1"/>
  <c r="EI142" i="2" s="1"/>
  <c r="GT147" i="2" a="1"/>
  <c r="GT147" i="2" s="1"/>
  <c r="BC117" i="2" a="1"/>
  <c r="BC117" i="2" s="1"/>
  <c r="FS203" i="2"/>
  <c r="DN124" i="2" a="1"/>
  <c r="DN124" i="2" s="1"/>
  <c r="CS114" i="2" a="1"/>
  <c r="CS114" i="2" s="1"/>
  <c r="CS72" i="2" a="1"/>
  <c r="CS72" i="2" s="1"/>
  <c r="CS134" i="2" a="1"/>
  <c r="CS134" i="2" s="1"/>
  <c r="AH199" i="2" a="1"/>
  <c r="AH199" i="2" s="1"/>
  <c r="BX107" i="2" a="1"/>
  <c r="BX107" i="2" s="1"/>
  <c r="CS116" i="2" a="1"/>
  <c r="CS116" i="2" s="1"/>
  <c r="CS185" i="2" a="1"/>
  <c r="CS185" i="2" s="1"/>
  <c r="CS38" i="2" a="1"/>
  <c r="CS38" i="2" s="1"/>
  <c r="CS105" i="2" a="1"/>
  <c r="CS105" i="2" s="1"/>
  <c r="CS161" i="2" a="1"/>
  <c r="CS161" i="2" s="1"/>
  <c r="CS77" i="2" a="1"/>
  <c r="CS77" i="2" s="1"/>
  <c r="CS129" i="2" a="1"/>
  <c r="CS129" i="2" s="1"/>
  <c r="CS56" i="2" a="1"/>
  <c r="CS56" i="2" s="1"/>
  <c r="CS52" i="2" a="1"/>
  <c r="CS52" i="2" s="1"/>
  <c r="BC82" i="2" a="1"/>
  <c r="BC82" i="2" s="1"/>
  <c r="BC58" i="2" a="1"/>
  <c r="BC58" i="2" s="1"/>
  <c r="BC7" i="2" a="1"/>
  <c r="BC7" i="2" s="1"/>
  <c r="BD7" i="2" s="1"/>
  <c r="BC34" i="2" a="1"/>
  <c r="BC34" i="2" s="1"/>
  <c r="BC151" i="2" a="1"/>
  <c r="BC151" i="2" s="1"/>
  <c r="BC185" i="2" a="1"/>
  <c r="BC185" i="2" s="1"/>
  <c r="BC143" i="2" a="1"/>
  <c r="BC143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7" i="2" l="1"/>
  <c r="CY14" i="2"/>
  <c r="CY87" i="2"/>
  <c r="CY48" i="2"/>
  <c r="CY89" i="2"/>
  <c r="CY26" i="2"/>
  <c r="CY192" i="2"/>
  <c r="CY38" i="2"/>
  <c r="CY191" i="2"/>
  <c r="CY32" i="2"/>
  <c r="CY201" i="2"/>
  <c r="CY29" i="2"/>
  <c r="CY68" i="2"/>
  <c r="CY3" i="2"/>
  <c r="C10" i="4" s="1"/>
  <c r="E10" i="4" s="1"/>
  <c r="F10" i="4" s="1"/>
  <c r="G10" i="4" s="1"/>
  <c r="L10" i="4" s="1"/>
  <c r="M10" i="4" s="1"/>
  <c r="CY159" i="2"/>
  <c r="CY64" i="2"/>
  <c r="CY91" i="2"/>
  <c r="CY50" i="2"/>
  <c r="CY67" i="2"/>
  <c r="CY59" i="2"/>
  <c r="CY47" i="2"/>
  <c r="CY158" i="2"/>
  <c r="CY124" i="2"/>
  <c r="CY104" i="2"/>
  <c r="CY72" i="2"/>
  <c r="CY106" i="2"/>
  <c r="CY153" i="2"/>
  <c r="CY172" i="2"/>
  <c r="CY174" i="2"/>
  <c r="CY100" i="2"/>
  <c r="CY143" i="2"/>
  <c r="CY16" i="2"/>
  <c r="CY94" i="2"/>
  <c r="CY194" i="2"/>
  <c r="CY40" i="2"/>
  <c r="CY147" i="2"/>
  <c r="CY44" i="2"/>
  <c r="CY21" i="2"/>
  <c r="CY36" i="2"/>
  <c r="CY55" i="2"/>
  <c r="CY135" i="2"/>
  <c r="CY107" i="2"/>
  <c r="CY112" i="2"/>
  <c r="CY17" i="2"/>
  <c r="CY180" i="2"/>
  <c r="CY142" i="2"/>
  <c r="CY97" i="2"/>
  <c r="CY39" i="2"/>
  <c r="CY156" i="2"/>
  <c r="CY176" i="2"/>
  <c r="CY51" i="2"/>
  <c r="CY30" i="2"/>
  <c r="CY129" i="2"/>
  <c r="CY195" i="2"/>
  <c r="CY35" i="2"/>
  <c r="CY70" i="2"/>
  <c r="CY202" i="2"/>
  <c r="CY154" i="2"/>
  <c r="CY61" i="2"/>
  <c r="CY57" i="2"/>
  <c r="CY137" i="2"/>
  <c r="CY186" i="2"/>
  <c r="CY127" i="2"/>
  <c r="CY43" i="2"/>
  <c r="CY157" i="2"/>
  <c r="CY126" i="2"/>
  <c r="CY58" i="2"/>
  <c r="CY18" i="2"/>
  <c r="CY185" i="2"/>
  <c r="CY85" i="2"/>
  <c r="CY49" i="2"/>
  <c r="CY92" i="2"/>
  <c r="CY140" i="2"/>
  <c r="CY125" i="2"/>
  <c r="CY168" i="2"/>
  <c r="CY170" i="2"/>
  <c r="CY193" i="2"/>
  <c r="CY73" i="2"/>
  <c r="CY115" i="2"/>
  <c r="CY134" i="2"/>
  <c r="CY131" i="2"/>
  <c r="CY56" i="2"/>
  <c r="CY136" i="2"/>
  <c r="CY98" i="2"/>
  <c r="CY114" i="2"/>
  <c r="CY69" i="2"/>
  <c r="CY11" i="2"/>
  <c r="CY101" i="2"/>
  <c r="CY9" i="2"/>
  <c r="CY199" i="2"/>
  <c r="CY164" i="2"/>
  <c r="CY165" i="2"/>
  <c r="CY102" i="2"/>
  <c r="CY145" i="2"/>
  <c r="CY78" i="2"/>
  <c r="CY179" i="2"/>
  <c r="CY177" i="2"/>
  <c r="CY71" i="2"/>
  <c r="CY183" i="2"/>
  <c r="CY167" i="2"/>
  <c r="CY175" i="2"/>
  <c r="CY120" i="2"/>
  <c r="CY108" i="2"/>
  <c r="CY74" i="2"/>
  <c r="CY5" i="2"/>
  <c r="CY62" i="2"/>
  <c r="CY133" i="2"/>
  <c r="CY118" i="2"/>
  <c r="CY42" i="2"/>
  <c r="CY160" i="2"/>
  <c r="CY65" i="2"/>
  <c r="CY182" i="2"/>
  <c r="CY203" i="2"/>
  <c r="CY149" i="2"/>
  <c r="CY15" i="2"/>
  <c r="CY83" i="2"/>
  <c r="CY54" i="2"/>
  <c r="CY121" i="2"/>
  <c r="CY113" i="2"/>
  <c r="CY141" i="2"/>
  <c r="CY77" i="2"/>
  <c r="CY45" i="2"/>
  <c r="CY86" i="2"/>
  <c r="CY96" i="2"/>
  <c r="CY190" i="2"/>
  <c r="CY19" i="2"/>
  <c r="CY200" i="2"/>
  <c r="CY171" i="2"/>
  <c r="CY188" i="2"/>
  <c r="CY20" i="2"/>
  <c r="CY144" i="2"/>
  <c r="CY12" i="2"/>
  <c r="CY122" i="2"/>
  <c r="CY146" i="2"/>
  <c r="CY60" i="2"/>
  <c r="CY13" i="2"/>
  <c r="CY22" i="2"/>
  <c r="CY95" i="2"/>
  <c r="CY88" i="2"/>
  <c r="CY6" i="2"/>
  <c r="CY130" i="2"/>
  <c r="CY119" i="2"/>
  <c r="CY109" i="2"/>
  <c r="CY82" i="2"/>
  <c r="CY162" i="2"/>
  <c r="CY138" i="2"/>
  <c r="CY173" i="2"/>
  <c r="CY187" i="2"/>
  <c r="CY139" i="2"/>
  <c r="CY25" i="2"/>
  <c r="CY53" i="2"/>
  <c r="CY24" i="2"/>
  <c r="CY63" i="2"/>
  <c r="CY155" i="2"/>
  <c r="CY184" i="2"/>
  <c r="CY166" i="2"/>
  <c r="CY178" i="2"/>
  <c r="CY10" i="2"/>
  <c r="CY75" i="2"/>
  <c r="CY103" i="2"/>
  <c r="CY52" i="2"/>
  <c r="CY151" i="2"/>
  <c r="CY189" i="2"/>
  <c r="CY169" i="2"/>
  <c r="CY28" i="2"/>
  <c r="CY41" i="2"/>
  <c r="CY4" i="2"/>
  <c r="CY79" i="2"/>
  <c r="CY150" i="2"/>
  <c r="CY37" i="2"/>
  <c r="CY198" i="2"/>
  <c r="CY7" i="2"/>
  <c r="CY99" i="2"/>
  <c r="CY8" i="2"/>
  <c r="CY163" i="2"/>
  <c r="CY123" i="2"/>
  <c r="CY93" i="2"/>
  <c r="CY116" i="2"/>
  <c r="CY105" i="2"/>
  <c r="CY161" i="2"/>
  <c r="CY197" i="2"/>
  <c r="CY128" i="2"/>
  <c r="CY181" i="2"/>
  <c r="CY84" i="2"/>
  <c r="CY110" i="2"/>
  <c r="CY152" i="2"/>
  <c r="CY111" i="2"/>
  <c r="CY46" i="2"/>
  <c r="CY90" i="2"/>
  <c r="CY34" i="2"/>
  <c r="CY33" i="2"/>
  <c r="CY196" i="2"/>
  <c r="CY132" i="2"/>
  <c r="CY80" i="2"/>
  <c r="CY66" i="2"/>
  <c r="CY148" i="2"/>
  <c r="CY31" i="2"/>
  <c r="CY117" i="2"/>
  <c r="CY81" i="2"/>
  <c r="CY76" i="2"/>
  <c r="CY2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M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3" i="2" l="1"/>
  <c r="CD50" i="2"/>
  <c r="CD174" i="2"/>
  <c r="CD132" i="2"/>
  <c r="CD15" i="2"/>
  <c r="CD176" i="2"/>
  <c r="CD173" i="2"/>
  <c r="CD75" i="2"/>
  <c r="CD128" i="2"/>
  <c r="CD38" i="2"/>
  <c r="CD60" i="2"/>
  <c r="CD10" i="2"/>
  <c r="CD102" i="2"/>
  <c r="CD73" i="2"/>
  <c r="CD54" i="2"/>
  <c r="CD140" i="2"/>
  <c r="CD68" i="2"/>
  <c r="CD190" i="2"/>
  <c r="CD78" i="2"/>
  <c r="CD200" i="2"/>
  <c r="CD166" i="2"/>
  <c r="CD162" i="2"/>
  <c r="CD142" i="2"/>
  <c r="CD53" i="2"/>
  <c r="CD153" i="2"/>
  <c r="CD91" i="2"/>
  <c r="CD16" i="2"/>
  <c r="CD109" i="2"/>
  <c r="CD86" i="2"/>
  <c r="CD119" i="2"/>
  <c r="CD5" i="2"/>
  <c r="CD155" i="2"/>
  <c r="CD189" i="2"/>
  <c r="CD201" i="2"/>
  <c r="CD105" i="2"/>
  <c r="CD115" i="2"/>
  <c r="CD124" i="2"/>
  <c r="CD148" i="2"/>
  <c r="CD88" i="2"/>
  <c r="CD72" i="2"/>
  <c r="CD110" i="2"/>
  <c r="CD198" i="2"/>
  <c r="CD92" i="2"/>
  <c r="CD122" i="2"/>
  <c r="CD82" i="2"/>
  <c r="CD46" i="2"/>
  <c r="CD42" i="2"/>
  <c r="CD71" i="2"/>
  <c r="CD98" i="2"/>
  <c r="CD93" i="2"/>
  <c r="CD30" i="2"/>
  <c r="CD35" i="2"/>
  <c r="CD90" i="2"/>
  <c r="CD41" i="2"/>
  <c r="CD149" i="2"/>
  <c r="CD194" i="2"/>
  <c r="CD57" i="2"/>
  <c r="CD11" i="2"/>
  <c r="CD116" i="2"/>
  <c r="CD152" i="2"/>
  <c r="CD61" i="2"/>
  <c r="CD45" i="2"/>
  <c r="CD203" i="2"/>
  <c r="CD83" i="2"/>
  <c r="CD160" i="2"/>
  <c r="CD48" i="2"/>
  <c r="CD182" i="2"/>
  <c r="CD81" i="2"/>
  <c r="CD193" i="2"/>
  <c r="CD67" i="2"/>
  <c r="CD12" i="2"/>
  <c r="CD150" i="2"/>
  <c r="CD195" i="2"/>
  <c r="CD21" i="2"/>
  <c r="CD44" i="2"/>
  <c r="CD188" i="2"/>
  <c r="CD95" i="2"/>
  <c r="CD117" i="2"/>
  <c r="CD18" i="2"/>
  <c r="CD39" i="2"/>
  <c r="CD179" i="2"/>
  <c r="CD163" i="2"/>
  <c r="CD85" i="2"/>
  <c r="CD183" i="2"/>
  <c r="CD27" i="2"/>
  <c r="CD170" i="2"/>
  <c r="CD129" i="2"/>
  <c r="CD77" i="2"/>
  <c r="CD156" i="2"/>
  <c r="CD62" i="2"/>
  <c r="CD159" i="2"/>
  <c r="CD65" i="2"/>
  <c r="CD144" i="2"/>
  <c r="CD145" i="2"/>
  <c r="CD79" i="2"/>
  <c r="CD37" i="2"/>
  <c r="CD97" i="2"/>
  <c r="CD127" i="2"/>
  <c r="CD58" i="2"/>
  <c r="CD40" i="2"/>
  <c r="CD66" i="2"/>
  <c r="CD29" i="2"/>
  <c r="CD100" i="2"/>
  <c r="CD43" i="2"/>
  <c r="CD112" i="2"/>
  <c r="CD26" i="2"/>
  <c r="CD55" i="2"/>
  <c r="CD154" i="2"/>
  <c r="CD3" i="2"/>
  <c r="C9" i="4" s="1"/>
  <c r="E9" i="4" s="1"/>
  <c r="F9" i="4" s="1"/>
  <c r="G9" i="4" s="1"/>
  <c r="L9" i="4" s="1"/>
  <c r="M9" i="4" s="1"/>
  <c r="CD4" i="2"/>
  <c r="CD177" i="2"/>
  <c r="CD202" i="2"/>
  <c r="CD8" i="2"/>
  <c r="CD131" i="2"/>
  <c r="CD168" i="2"/>
  <c r="CD104" i="2"/>
  <c r="CD17" i="2"/>
  <c r="CD134" i="2"/>
  <c r="CD158" i="2"/>
  <c r="CD111" i="2"/>
  <c r="CD59" i="2"/>
  <c r="CD151" i="2"/>
  <c r="CD28" i="2"/>
  <c r="CD47" i="2"/>
  <c r="CD13" i="2"/>
  <c r="CD80" i="2"/>
  <c r="CD185" i="2"/>
  <c r="CD138" i="2"/>
  <c r="CD178" i="2"/>
  <c r="CD167" i="2"/>
  <c r="CD130" i="2"/>
  <c r="CD87" i="2"/>
  <c r="CD56" i="2"/>
  <c r="CD14" i="2"/>
  <c r="CD118" i="2"/>
  <c r="CD141" i="2"/>
  <c r="CD99" i="2"/>
  <c r="CD33" i="2"/>
  <c r="CD106" i="2"/>
  <c r="CD9" i="2"/>
  <c r="CD180" i="2"/>
  <c r="CD136" i="2"/>
  <c r="CD113" i="2"/>
  <c r="CD184" i="2"/>
  <c r="CD76" i="2"/>
  <c r="CD69" i="2"/>
  <c r="CD125" i="2"/>
  <c r="CD32" i="2"/>
  <c r="CD31" i="2"/>
  <c r="CD147" i="2"/>
  <c r="CD171" i="2"/>
  <c r="CD6" i="2"/>
  <c r="CD52" i="2"/>
  <c r="CD169" i="2"/>
  <c r="CD157" i="2"/>
  <c r="CD103" i="2"/>
  <c r="CD197" i="2"/>
  <c r="CD196" i="2"/>
  <c r="CD24" i="2"/>
  <c r="CD19" i="2"/>
  <c r="CD108" i="2"/>
  <c r="CD199" i="2"/>
  <c r="CD123" i="2"/>
  <c r="CD34" i="2"/>
  <c r="CD137" i="2"/>
  <c r="CD120" i="2"/>
  <c r="CD7" i="2"/>
  <c r="CD139" i="2"/>
  <c r="CD89" i="2"/>
  <c r="CD74" i="2"/>
  <c r="CD192" i="2"/>
  <c r="CD84" i="2"/>
  <c r="CD181" i="2"/>
  <c r="CD191" i="2"/>
  <c r="CD20" i="2"/>
  <c r="CD121" i="2"/>
  <c r="CD101" i="2"/>
  <c r="CD135" i="2"/>
  <c r="CD49" i="2"/>
  <c r="CD143" i="2"/>
  <c r="CD187" i="2"/>
  <c r="CD161" i="2"/>
  <c r="CD114" i="2"/>
  <c r="CD186" i="2"/>
  <c r="CD25" i="2"/>
  <c r="CD165" i="2"/>
  <c r="CD70" i="2"/>
  <c r="CD22" i="2"/>
  <c r="CD107" i="2"/>
  <c r="CD133" i="2"/>
  <c r="CD172" i="2"/>
  <c r="CD146" i="2"/>
  <c r="CD94" i="2"/>
  <c r="CD164" i="2"/>
  <c r="CD51" i="2"/>
  <c r="CD96" i="2"/>
  <c r="CD36" i="2"/>
  <c r="CD175" i="2"/>
  <c r="CD64" i="2"/>
  <c r="CD126" i="2"/>
  <c r="CD2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203" i="2" l="1"/>
  <c r="BI25" i="2"/>
  <c r="BI58" i="2"/>
  <c r="BI16" i="2"/>
  <c r="BI143" i="2"/>
  <c r="BI178" i="2"/>
  <c r="BI14" i="2"/>
  <c r="BI9" i="2"/>
  <c r="BI35" i="2"/>
  <c r="BI79" i="2"/>
  <c r="BI78" i="2"/>
  <c r="BI117" i="2"/>
  <c r="BI169" i="2"/>
  <c r="BI177" i="2"/>
  <c r="BI11" i="2"/>
  <c r="BI107" i="2"/>
  <c r="BI95" i="2"/>
  <c r="BI86" i="2"/>
  <c r="BI60" i="2"/>
  <c r="BI114" i="2"/>
  <c r="BI98" i="2"/>
  <c r="BI111" i="2"/>
  <c r="BI139" i="2"/>
  <c r="BI85" i="2"/>
  <c r="BI141" i="2"/>
  <c r="BI4" i="2"/>
  <c r="BI75" i="2"/>
  <c r="BI133" i="2"/>
  <c r="BI148" i="2"/>
  <c r="BI124" i="2"/>
  <c r="BI101" i="2"/>
  <c r="BI109" i="2"/>
  <c r="BI149" i="2"/>
  <c r="BI194" i="2"/>
  <c r="BI53" i="2"/>
  <c r="BI110" i="2"/>
  <c r="BI32" i="2"/>
  <c r="BI66" i="2"/>
  <c r="BI120" i="2"/>
  <c r="BI76" i="2"/>
  <c r="BI80" i="2"/>
  <c r="BI27" i="2"/>
  <c r="BI127" i="2"/>
  <c r="BI61" i="2"/>
  <c r="BI49" i="2"/>
  <c r="BI96" i="2"/>
  <c r="BI171" i="2"/>
  <c r="BI29" i="2"/>
  <c r="BI92" i="2"/>
  <c r="BI140" i="2"/>
  <c r="BI74" i="2"/>
  <c r="BI180" i="2"/>
  <c r="BI103" i="2"/>
  <c r="BI40" i="2"/>
  <c r="BI44" i="2"/>
  <c r="BI99" i="2"/>
  <c r="BI77" i="2"/>
  <c r="BI83" i="2"/>
  <c r="BI190" i="2"/>
  <c r="BI31" i="2"/>
  <c r="BI106" i="2"/>
  <c r="BI51" i="2"/>
  <c r="BI158" i="2"/>
  <c r="BI59" i="2"/>
  <c r="BI70" i="2"/>
  <c r="BI82" i="2"/>
  <c r="BI186" i="2"/>
  <c r="BI28" i="2"/>
  <c r="BI47" i="2"/>
  <c r="BI156" i="2"/>
  <c r="BI129" i="2"/>
  <c r="BI176" i="2"/>
  <c r="BI42" i="2"/>
  <c r="BI50" i="2"/>
  <c r="BI105" i="2"/>
  <c r="BI46" i="2"/>
  <c r="BI43" i="2"/>
  <c r="BI122" i="2"/>
  <c r="BI184" i="2"/>
  <c r="BI116" i="2"/>
  <c r="BI179" i="2"/>
  <c r="BI147" i="2"/>
  <c r="BI182" i="2"/>
  <c r="BI154" i="2"/>
  <c r="BI195" i="2"/>
  <c r="BI39" i="2"/>
  <c r="BI38" i="2"/>
  <c r="BI22" i="2"/>
  <c r="BI162" i="2"/>
  <c r="BI55" i="2"/>
  <c r="BI54" i="2"/>
  <c r="BI73" i="2"/>
  <c r="BI191" i="2"/>
  <c r="BI41" i="2"/>
  <c r="BI174" i="2"/>
  <c r="BI62" i="2"/>
  <c r="BI18" i="2"/>
  <c r="BI112" i="2"/>
  <c r="BI125" i="2"/>
  <c r="BI115" i="2"/>
  <c r="BI36" i="2"/>
  <c r="BI185" i="2"/>
  <c r="BI33" i="2"/>
  <c r="BI89" i="2"/>
  <c r="BI196" i="2"/>
  <c r="BI20" i="2"/>
  <c r="BI170" i="2"/>
  <c r="BI192" i="2"/>
  <c r="BI175" i="2"/>
  <c r="BI138" i="2"/>
  <c r="BI160" i="2"/>
  <c r="BI90" i="2"/>
  <c r="BI94" i="2"/>
  <c r="BI6" i="2"/>
  <c r="BI201" i="2"/>
  <c r="BI132" i="2"/>
  <c r="BI91" i="2"/>
  <c r="BI93" i="2"/>
  <c r="BI52" i="2"/>
  <c r="BI65" i="2"/>
  <c r="BI163" i="2"/>
  <c r="BI159" i="2"/>
  <c r="BI100" i="2"/>
  <c r="BI69" i="2"/>
  <c r="BI26" i="2"/>
  <c r="BI81" i="2"/>
  <c r="BI130" i="2"/>
  <c r="BI187" i="2"/>
  <c r="BI17" i="2"/>
  <c r="BI172" i="2"/>
  <c r="BI64" i="2"/>
  <c r="BI136" i="2"/>
  <c r="BI153" i="2"/>
  <c r="BI113" i="2"/>
  <c r="BI142" i="2"/>
  <c r="BI135" i="2"/>
  <c r="BI202" i="2"/>
  <c r="BI7" i="2"/>
  <c r="BI173" i="2"/>
  <c r="BI108" i="2"/>
  <c r="BI12" i="2"/>
  <c r="BI118" i="2"/>
  <c r="BI67" i="2"/>
  <c r="BI167" i="2"/>
  <c r="BI45" i="2"/>
  <c r="BI102" i="2"/>
  <c r="BI21" i="2"/>
  <c r="BI131" i="2"/>
  <c r="BI166" i="2"/>
  <c r="BI13" i="2"/>
  <c r="BI123" i="2"/>
  <c r="BI199" i="2"/>
  <c r="BI128" i="2"/>
  <c r="BI181" i="2"/>
  <c r="BI119" i="2"/>
  <c r="BI24" i="2"/>
  <c r="BI48" i="2"/>
  <c r="BI145" i="2"/>
  <c r="BI87" i="2"/>
  <c r="BI37" i="2"/>
  <c r="BI188" i="2"/>
  <c r="BI197" i="2"/>
  <c r="BI63" i="2"/>
  <c r="BI134" i="2"/>
  <c r="BI121" i="2"/>
  <c r="BI165" i="2"/>
  <c r="BI88" i="2"/>
  <c r="BI137" i="2"/>
  <c r="BI72" i="2"/>
  <c r="BI5" i="2"/>
  <c r="BI71" i="2"/>
  <c r="BI146" i="2"/>
  <c r="BI193" i="2"/>
  <c r="BI155" i="2"/>
  <c r="BI84" i="2"/>
  <c r="BI189" i="2"/>
  <c r="BI57" i="2"/>
  <c r="BI126" i="2"/>
  <c r="BI23" i="2"/>
  <c r="BI157" i="2"/>
  <c r="BI168" i="2"/>
  <c r="BI152" i="2"/>
  <c r="BI3" i="2"/>
  <c r="C8" i="4" s="1"/>
  <c r="E8" i="4" s="1"/>
  <c r="F8" i="4" s="1"/>
  <c r="G8" i="4" s="1"/>
  <c r="L8" i="4" s="1"/>
  <c r="M8" i="4" s="1"/>
  <c r="BI97" i="2"/>
  <c r="BI200" i="2"/>
  <c r="BI164" i="2"/>
  <c r="BI144" i="2"/>
  <c r="BI161" i="2"/>
  <c r="BI15" i="2"/>
  <c r="BI150" i="2"/>
  <c r="BI68" i="2"/>
  <c r="BI10" i="2"/>
  <c r="BI104" i="2"/>
  <c r="BI19" i="2"/>
  <c r="BI151" i="2"/>
  <c r="BI56" i="2"/>
  <c r="BI30" i="2"/>
  <c r="BI183" i="2"/>
  <c r="BI198" i="2"/>
  <c r="BI34" i="2"/>
  <c r="BI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<sst xmlns="http://schemas.openxmlformats.org/spreadsheetml/2006/main" count="1174" uniqueCount="324">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</sst>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3.1291263698053959</c:v>
                </c:pt>
                <c:pt idx="2">
                  <c:v>3.6882374283129304</c:v>
                </c:pt>
                <c:pt idx="3">
                  <c:v>4.3476138015210708</c:v>
                </c:pt>
                <c:pt idx="4">
                  <c:v>5.1252975639123264</c:v>
                </c:pt>
                <c:pt idx="5">
                  <c:v>6.0425877090327118</c:v>
                </c:pt>
                <c:pt idx="6">
                  <c:v>7.124629823720201</c:v>
                </c:pt>
                <c:pt idx="7">
                  <c:v>8.401112816150091</c:v>
                </c:pt>
                <c:pt idx="8">
                  <c:v>9.9070921817342779</c:v>
                </c:pt>
                <c:pt idx="9">
                  <c:v>11.683962845158574</c:v>
                </c:pt>
                <c:pt idx="10">
                  <c:v>13.780608820795868</c:v>
                </c:pt>
                <c:pt idx="11">
                  <c:v>16.254761906381365</c:v>
                </c:pt>
                <c:pt idx="12">
                  <c:v>19.174607506995212</c:v>
                </c:pt>
                <c:pt idx="13">
                  <c:v>22.620682644722852</c:v>
                </c:pt>
                <c:pt idx="14">
                  <c:v>26.688119441097104</c:v>
                </c:pt>
                <c:pt idx="15">
                  <c:v>31.489297098020021</c:v>
                </c:pt>
                <c:pt idx="16">
                  <c:v>37.156976924635664</c:v>
                </c:pt>
                <c:pt idx="17">
                  <c:v>43.848008589644458</c:v>
                </c:pt>
                <c:pt idx="18">
                  <c:v>51.747711907965105</c:v>
                </c:pt>
                <c:pt idx="19">
                  <c:v>61.075057555746376</c:v>
                </c:pt>
                <c:pt idx="20">
                  <c:v>72.088792691014348</c:v>
                </c:pt>
                <c:pt idx="21">
                  <c:v>85.094684180942437</c:v>
                </c:pt>
                <c:pt idx="22">
                  <c:v>100.45408376115385</c:v>
                </c:pt>
                <c:pt idx="23">
                  <c:v>118.5940568777324</c:v>
                </c:pt>
                <c:pt idx="24">
                  <c:v>140.01936125439684</c:v>
                </c:pt>
                <c:pt idx="25">
                  <c:v>165.3266136473124</c:v>
                </c:pt>
                <c:pt idx="26">
                  <c:v>163.0568489007332</c:v>
                </c:pt>
                <c:pt idx="27">
                  <c:v>178.93013103704493</c:v>
                </c:pt>
                <c:pt idx="28">
                  <c:v>194.77041295233732</c:v>
                </c:pt>
                <c:pt idx="29">
                  <c:v>210.58075731770046</c:v>
                </c:pt>
                <c:pt idx="30">
                  <c:v>226.3637288579913</c:v>
                </c:pt>
                <c:pt idx="31">
                  <c:v>196.5787725137653</c:v>
                </c:pt>
                <c:pt idx="32">
                  <c:v>214.19062279087038</c:v>
                </c:pt>
                <c:pt idx="33">
                  <c:v>231.76913324998421</c:v>
                </c:pt>
                <c:pt idx="34">
                  <c:v>249.31718852631707</c:v>
                </c:pt>
                <c:pt idx="35">
                  <c:v>266.83723378272913</c:v>
                </c:pt>
                <c:pt idx="36">
                  <c:v>238.52184729375207</c:v>
                </c:pt>
                <c:pt idx="37">
                  <c:v>257.4067095917905</c:v>
                </c:pt>
                <c:pt idx="38">
                  <c:v>276.26024969794497</c:v>
                </c:pt>
                <c:pt idx="39">
                  <c:v>295.08490550123878</c:v>
                </c:pt>
                <c:pt idx="40">
                  <c:v>313.88277839914394</c:v>
                </c:pt>
                <c:pt idx="41">
                  <c:v>285.67604975379066</c:v>
                </c:pt>
                <c:pt idx="42">
                  <c:v>304.48706974706403</c:v>
                </c:pt>
                <c:pt idx="43">
                  <c:v>323.27225207911926</c:v>
                </c:pt>
                <c:pt idx="44">
                  <c:v>342.0333089023552</c:v>
                </c:pt>
                <c:pt idx="45">
                  <c:v>360.77174923572994</c:v>
                </c:pt>
                <c:pt idx="46">
                  <c:v>332.65569753778635</c:v>
                </c:pt>
                <c:pt idx="47">
                  <c:v>351.40526877970325</c:v>
                </c:pt>
                <c:pt idx="48">
                  <c:v>370.13291266764736</c:v>
                </c:pt>
                <c:pt idx="49">
                  <c:v>388.8398943000654</c:v>
                </c:pt>
                <c:pt idx="50">
                  <c:v>407.52734715549929</c:v>
                </c:pt>
                <c:pt idx="51">
                  <c:v>378.59808340312702</c:v>
                </c:pt>
                <c:pt idx="52">
                  <c:v>396.40615590256056</c:v>
                </c:pt>
                <c:pt idx="53">
                  <c:v>414.19690225230175</c:v>
                </c:pt>
                <c:pt idx="54">
                  <c:v>431.97117107689928</c:v>
                </c:pt>
                <c:pt idx="55">
                  <c:v>449.72973549516269</c:v>
                </c:pt>
                <c:pt idx="56">
                  <c:v>419.53087649406808</c:v>
                </c:pt>
                <c:pt idx="57">
                  <c:v>435.96819114245915</c:v>
                </c:pt>
                <c:pt idx="58">
                  <c:v>452.39221015864706</c:v>
                </c:pt>
                <c:pt idx="59">
                  <c:v>468.80348401547394</c:v>
                </c:pt>
                <c:pt idx="60">
                  <c:v>485.20252151676618</c:v>
                </c:pt>
                <c:pt idx="61">
                  <c:v>454.61068299689799</c:v>
                </c:pt>
                <c:pt idx="62">
                  <c:v>470.57693415697912</c:v>
                </c:pt>
                <c:pt idx="63">
                  <c:v>486.531651496753</c:v>
                </c:pt>
                <c:pt idx="64">
                  <c:v>502.47526635010666</c:v>
                </c:pt>
                <c:pt idx="65">
                  <c:v>518.4081804575975</c:v>
                </c:pt>
                <c:pt idx="66">
                  <c:v>486.97467768184464</c:v>
                </c:pt>
                <c:pt idx="67">
                  <c:v>502.0325344479125</c:v>
                </c:pt>
                <c:pt idx="68">
                  <c:v>517.0808370063063</c:v>
                </c:pt>
                <c:pt idx="69">
                  <c:v>532.11990246351093</c:v>
                </c:pt>
                <c:pt idx="70">
                  <c:v>547.1500285472024</c:v>
                </c:pt>
                <c:pt idx="71">
                  <c:v>514.86843803268494</c:v>
                </c:pt>
                <c:pt idx="72">
                  <c:v>529.02436456380519</c:v>
                </c:pt>
                <c:pt idx="73">
                  <c:v>543.17231966165343</c:v>
                </c:pt>
                <c:pt idx="74">
                  <c:v>557.312540132923</c:v>
                </c:pt>
                <c:pt idx="75">
                  <c:v>571.44524979248843</c:v>
                </c:pt>
                <c:pt idx="76">
                  <c:v>538.30984418974811</c:v>
                </c:pt>
                <c:pt idx="77">
                  <c:v>551.56899378437458</c:v>
                </c:pt>
                <c:pt idx="78">
                  <c:v>564.82146359224396</c:v>
                </c:pt>
                <c:pt idx="79">
                  <c:v>578.06743237383068</c:v>
                </c:pt>
                <c:pt idx="80">
                  <c:v>591.30707003217458</c:v>
                </c:pt>
                <c:pt idx="81">
                  <c:v>557.312540132923</c:v>
                </c:pt>
                <c:pt idx="82">
                  <c:v>569.67906448193605</c:v>
                </c:pt>
                <c:pt idx="83">
                  <c:v>582.03998092921665</c:v>
                </c:pt>
                <c:pt idx="84">
                  <c:v>594.39542532030839</c:v>
                </c:pt>
                <c:pt idx="85">
                  <c:v>606.74552739447847</c:v>
                </c:pt>
                <c:pt idx="86">
                  <c:v>572.32829966055533</c:v>
                </c:pt>
                <c:pt idx="87">
                  <c:v>584.24670779950236</c:v>
                </c:pt>
                <c:pt idx="88">
                  <c:v>596.16004974436112</c:v>
                </c:pt>
                <c:pt idx="89">
                  <c:v>608.06844097522594</c:v>
                </c:pt>
                <c:pt idx="90">
                  <c:v>619.97199208161828</c:v>
                </c:pt>
                <c:pt idx="91">
                  <c:v>584.68803230277911</c:v>
                </c:pt>
                <c:pt idx="92">
                  <c:v>595.71890383853554</c:v>
                </c:pt>
                <c:pt idx="93">
                  <c:v>606.74552739447824</c:v>
                </c:pt>
                <c:pt idx="94">
                  <c:v>617.76799103507392</c:v>
                </c:pt>
                <c:pt idx="95">
                  <c:v>628.78637942674561</c:v>
                </c:pt>
                <c:pt idx="96">
                  <c:v>593.07188547985902</c:v>
                </c:pt>
                <c:pt idx="97">
                  <c:v>603.65849584125021</c:v>
                </c:pt>
                <c:pt idx="98">
                  <c:v>614.24125004409859</c:v>
                </c:pt>
                <c:pt idx="99">
                  <c:v>624.82022387786935</c:v>
                </c:pt>
                <c:pt idx="100">
                  <c:v>635.39549035690607</c:v>
                </c:pt>
                <c:pt idx="101">
                  <c:v>598.80678277824757</c:v>
                </c:pt>
                <c:pt idx="102">
                  <c:v>608.50939888371124</c:v>
                </c:pt>
                <c:pt idx="103">
                  <c:v>618.2088042631143</c:v>
                </c:pt>
                <c:pt idx="104">
                  <c:v>627.90505638634102</c:v>
                </c:pt>
                <c:pt idx="105">
                  <c:v>637.59821080388053</c:v>
                </c:pt>
                <c:pt idx="106">
                  <c:v>602.77642666090821</c:v>
                </c:pt>
                <c:pt idx="107">
                  <c:v>612.03682380942735</c:v>
                </c:pt>
                <c:pt idx="108">
                  <c:v>621.29431474512046</c:v>
                </c:pt>
                <c:pt idx="109">
                  <c:v>630.54894887243427</c:v>
                </c:pt>
                <c:pt idx="110">
                  <c:v>639.80077402749487</c:v>
                </c:pt>
                <c:pt idx="111">
                  <c:v>606.30454289742727</c:v>
                </c:pt>
                <c:pt idx="112">
                  <c:v>614.68211558125302</c:v>
                </c:pt>
                <c:pt idx="113">
                  <c:v>623.05732096597683</c:v>
                </c:pt>
                <c:pt idx="114">
                  <c:v>631.43019535928761</c:v>
                </c:pt>
                <c:pt idx="115">
                  <c:v>639.80077402749509</c:v>
                </c:pt>
                <c:pt idx="116">
                  <c:v>608.06844097522594</c:v>
                </c:pt>
                <c:pt idx="117">
                  <c:v>616.00467286998548</c:v>
                </c:pt>
                <c:pt idx="118">
                  <c:v>623.93878531469602</c:v>
                </c:pt>
                <c:pt idx="119">
                  <c:v>631.8708090614997</c:v>
                </c:pt>
                <c:pt idx="120">
                  <c:v>639.80077402749532</c:v>
                </c:pt>
                <c:pt idx="121">
                  <c:v>3.2541982832721012E-12</c:v>
                </c:pt>
                <c:pt idx="122">
                  <c:v>3.2541982832721012E-12</c:v>
                </c:pt>
                <c:pt idx="123">
                  <c:v>3.2541982832721012E-12</c:v>
                </c:pt>
                <c:pt idx="124">
                  <c:v>3.2541982832721012E-12</c:v>
                </c:pt>
                <c:pt idx="125">
                  <c:v>3.2541982832721012E-12</c:v>
                </c:pt>
                <c:pt idx="126">
                  <c:v>3.2541982832721012E-12</c:v>
                </c:pt>
                <c:pt idx="127">
                  <c:v>3.2541982832721012E-12</c:v>
                </c:pt>
                <c:pt idx="128">
                  <c:v>3.2541982832721012E-12</c:v>
                </c:pt>
                <c:pt idx="129">
                  <c:v>3.2541982832721012E-12</c:v>
                </c:pt>
                <c:pt idx="130">
                  <c:v>3.2541982832721012E-12</c:v>
                </c:pt>
                <c:pt idx="131">
                  <c:v>3.2541982832721012E-12</c:v>
                </c:pt>
                <c:pt idx="132">
                  <c:v>3.2541982832721012E-12</c:v>
                </c:pt>
                <c:pt idx="133">
                  <c:v>3.2541982832721012E-12</c:v>
                </c:pt>
                <c:pt idx="134">
                  <c:v>3.2541982832721012E-12</c:v>
                </c:pt>
                <c:pt idx="135">
                  <c:v>3.2541982832721012E-12</c:v>
                </c:pt>
                <c:pt idx="136">
                  <c:v>3.2541982832721012E-12</c:v>
                </c:pt>
                <c:pt idx="137">
                  <c:v>3.2541982832721012E-12</c:v>
                </c:pt>
                <c:pt idx="138">
                  <c:v>3.2541982832721012E-12</c:v>
                </c:pt>
                <c:pt idx="139">
                  <c:v>3.2541982832721012E-12</c:v>
                </c:pt>
                <c:pt idx="140">
                  <c:v>3.2541982832721012E-12</c:v>
                </c:pt>
                <c:pt idx="141">
                  <c:v>3.2541982832721012E-12</c:v>
                </c:pt>
                <c:pt idx="142">
                  <c:v>3.2541982832721012E-12</c:v>
                </c:pt>
                <c:pt idx="143">
                  <c:v>3.2541982832721012E-12</c:v>
                </c:pt>
                <c:pt idx="144">
                  <c:v>3.2541982832721012E-12</c:v>
                </c:pt>
                <c:pt idx="145">
                  <c:v>3.2541982832721012E-12</c:v>
                </c:pt>
                <c:pt idx="146">
                  <c:v>3.2541982832721012E-12</c:v>
                </c:pt>
                <c:pt idx="147">
                  <c:v>3.2541982832721012E-12</c:v>
                </c:pt>
                <c:pt idx="148">
                  <c:v>3.2541982832721012E-12</c:v>
                </c:pt>
                <c:pt idx="149">
                  <c:v>3.2541982832721012E-12</c:v>
                </c:pt>
                <c:pt idx="150">
                  <c:v>3.2541982832721012E-12</c:v>
                </c:pt>
                <c:pt idx="151">
                  <c:v>3.2541982832721012E-12</c:v>
                </c:pt>
                <c:pt idx="152">
                  <c:v>3.2541982832721012E-12</c:v>
                </c:pt>
                <c:pt idx="153">
                  <c:v>3.2541982832721012E-12</c:v>
                </c:pt>
                <c:pt idx="154">
                  <c:v>3.2541982832721012E-12</c:v>
                </c:pt>
                <c:pt idx="155">
                  <c:v>3.2541982832721012E-12</c:v>
                </c:pt>
                <c:pt idx="156">
                  <c:v>3.2541982832721012E-12</c:v>
                </c:pt>
                <c:pt idx="157">
                  <c:v>3.2541982832721012E-12</c:v>
                </c:pt>
                <c:pt idx="158">
                  <c:v>3.2541982832721012E-12</c:v>
                </c:pt>
                <c:pt idx="159">
                  <c:v>3.2541982832721012E-12</c:v>
                </c:pt>
                <c:pt idx="160">
                  <c:v>3.2541982832721012E-12</c:v>
                </c:pt>
                <c:pt idx="161">
                  <c:v>3.2541982832721012E-12</c:v>
                </c:pt>
                <c:pt idx="162">
                  <c:v>3.2541982832721012E-12</c:v>
                </c:pt>
                <c:pt idx="163">
                  <c:v>3.2541982832721012E-12</c:v>
                </c:pt>
                <c:pt idx="164">
                  <c:v>3.2541982832721012E-12</c:v>
                </c:pt>
                <c:pt idx="165">
                  <c:v>3.2541982832721012E-12</c:v>
                </c:pt>
                <c:pt idx="166">
                  <c:v>3.2541982832721012E-12</c:v>
                </c:pt>
                <c:pt idx="167">
                  <c:v>3.2541982832721012E-12</c:v>
                </c:pt>
                <c:pt idx="168">
                  <c:v>3.2541982832721012E-12</c:v>
                </c:pt>
                <c:pt idx="169">
                  <c:v>3.2541982832721012E-12</c:v>
                </c:pt>
                <c:pt idx="170">
                  <c:v>3.2541982832721012E-12</c:v>
                </c:pt>
                <c:pt idx="171">
                  <c:v>3.2541982832721012E-12</c:v>
                </c:pt>
                <c:pt idx="172">
                  <c:v>3.2541982832721012E-12</c:v>
                </c:pt>
                <c:pt idx="173">
                  <c:v>3.2541982832721012E-12</c:v>
                </c:pt>
                <c:pt idx="174">
                  <c:v>3.2541982832721012E-12</c:v>
                </c:pt>
                <c:pt idx="175">
                  <c:v>3.2541982832721012E-12</c:v>
                </c:pt>
                <c:pt idx="176">
                  <c:v>3.2541982832721012E-12</c:v>
                </c:pt>
                <c:pt idx="177">
                  <c:v>3.2541982832721012E-12</c:v>
                </c:pt>
                <c:pt idx="178">
                  <c:v>3.2541982832721012E-12</c:v>
                </c:pt>
                <c:pt idx="179">
                  <c:v>3.2541982832721012E-12</c:v>
                </c:pt>
                <c:pt idx="180">
                  <c:v>3.2541982832721012E-12</c:v>
                </c:pt>
                <c:pt idx="181">
                  <c:v>3.2541982832721012E-12</c:v>
                </c:pt>
                <c:pt idx="182">
                  <c:v>3.2541982832721012E-12</c:v>
                </c:pt>
                <c:pt idx="183">
                  <c:v>3.2541982832721012E-12</c:v>
                </c:pt>
                <c:pt idx="184">
                  <c:v>3.2541982832721012E-12</c:v>
                </c:pt>
                <c:pt idx="185">
                  <c:v>3.2541982832721012E-12</c:v>
                </c:pt>
                <c:pt idx="186">
                  <c:v>3.2541982832721012E-12</c:v>
                </c:pt>
                <c:pt idx="187">
                  <c:v>3.2541982832721012E-12</c:v>
                </c:pt>
                <c:pt idx="188">
                  <c:v>3.2541982832721012E-12</c:v>
                </c:pt>
                <c:pt idx="189">
                  <c:v>3.2541982832721012E-12</c:v>
                </c:pt>
                <c:pt idx="190">
                  <c:v>3.2541982832721012E-12</c:v>
                </c:pt>
                <c:pt idx="191">
                  <c:v>3.2541982832721012E-12</c:v>
                </c:pt>
                <c:pt idx="192">
                  <c:v>3.2541982832721012E-12</c:v>
                </c:pt>
                <c:pt idx="193">
                  <c:v>3.2541982832721012E-12</c:v>
                </c:pt>
                <c:pt idx="194">
                  <c:v>3.2541982832721012E-12</c:v>
                </c:pt>
                <c:pt idx="195">
                  <c:v>3.2541982832721012E-12</c:v>
                </c:pt>
                <c:pt idx="196">
                  <c:v>3.2541982832721012E-12</c:v>
                </c:pt>
                <c:pt idx="197">
                  <c:v>3.2541982832721012E-12</c:v>
                </c:pt>
                <c:pt idx="198">
                  <c:v>3.2541982832721012E-12</c:v>
                </c:pt>
                <c:pt idx="199">
                  <c:v>3.2541982832721012E-12</c:v>
                </c:pt>
                <c:pt idx="200">
                  <c:v>3.2541982832721012E-12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4.5886434194472097</c:v>
                </c:pt>
                <c:pt idx="2">
                  <c:v>8.9636687377965352</c:v>
                </c:pt>
                <c:pt idx="3">
                  <c:v>13.269706132449135</c:v>
                </c:pt>
                <c:pt idx="4">
                  <c:v>17.533217765763155</c:v>
                </c:pt>
                <c:pt idx="5">
                  <c:v>21.766197157206353</c:v>
                </c:pt>
                <c:pt idx="6">
                  <c:v>25.975485911026567</c:v>
                </c:pt>
                <c:pt idx="7">
                  <c:v>30.165494544947876</c:v>
                </c:pt>
                <c:pt idx="8">
                  <c:v>34.339295158692252</c:v>
                </c:pt>
                <c:pt idx="9">
                  <c:v>38.499145784635608</c:v>
                </c:pt>
                <c:pt idx="10">
                  <c:v>42.646773232900564</c:v>
                </c:pt>
                <c:pt idx="11">
                  <c:v>46.783538966407939</c:v>
                </c:pt>
                <c:pt idx="12">
                  <c:v>50.910542711359376</c:v>
                </c:pt>
                <c:pt idx="13">
                  <c:v>55.028690454418275</c:v>
                </c:pt>
                <c:pt idx="14">
                  <c:v>59.138740881857935</c:v>
                </c:pt>
                <c:pt idx="15">
                  <c:v>63.241338154663673</c:v>
                </c:pt>
                <c:pt idx="16">
                  <c:v>67.33703568660134</c:v>
                </c:pt>
                <c:pt idx="17">
                  <c:v>71.426313804835232</c:v>
                </c:pt>
                <c:pt idx="18">
                  <c:v>75.509593135212413</c:v>
                </c:pt>
                <c:pt idx="19">
                  <c:v>79.587244927763109</c:v>
                </c:pt>
                <c:pt idx="20">
                  <c:v>83.659599146398236</c:v>
                </c:pt>
                <c:pt idx="21">
                  <c:v>87.726950894688045</c:v>
                </c:pt>
                <c:pt idx="22">
                  <c:v>91.789565583004389</c:v>
                </c:pt>
                <c:pt idx="23">
                  <c:v>95.847683129625409</c:v>
                </c:pt>
                <c:pt idx="24">
                  <c:v>99.901521410597297</c:v>
                </c:pt>
                <c:pt idx="25">
                  <c:v>103.95127911841739</c:v>
                </c:pt>
                <c:pt idx="26">
                  <c:v>107.99713815045283</c:v>
                </c:pt>
                <c:pt idx="27">
                  <c:v>112.03926561957492</c:v>
                </c:pt>
                <c:pt idx="28">
                  <c:v>116.07781555854824</c:v>
                </c:pt>
                <c:pt idx="29">
                  <c:v>120.1129303740931</c:v>
                </c:pt>
                <c:pt idx="30">
                  <c:v>124.14474209475338</c:v>
                </c:pt>
                <c:pt idx="31">
                  <c:v>128.17337344770758</c:v>
                </c:pt>
                <c:pt idx="32">
                  <c:v>132.19893879273394</c:v>
                </c:pt>
                <c:pt idx="33">
                  <c:v>136.22154493615011</c:v>
                </c:pt>
                <c:pt idx="34">
                  <c:v>140.24129184332125</c:v>
                </c:pt>
                <c:pt idx="35">
                  <c:v>144.25827326498873</c:v>
                </c:pt>
                <c:pt idx="36">
                  <c:v>148.27257729000584</c:v>
                </c:pt>
                <c:pt idx="37">
                  <c:v>152.28428683493206</c:v>
                </c:pt>
                <c:pt idx="38">
                  <c:v>156.29348007921035</c:v>
                </c:pt>
                <c:pt idx="39">
                  <c:v>160.30023085324646</c:v>
                </c:pt>
                <c:pt idx="40">
                  <c:v>164.30460898556655</c:v>
                </c:pt>
                <c:pt idx="41">
                  <c:v>168.30668061428079</c:v>
                </c:pt>
                <c:pt idx="42">
                  <c:v>172.30650846730569</c:v>
                </c:pt>
                <c:pt idx="43">
                  <c:v>176.3041521151456</c:v>
                </c:pt>
                <c:pt idx="44">
                  <c:v>180.29966819949834</c:v>
                </c:pt>
                <c:pt idx="45">
                  <c:v>184.29311064049193</c:v>
                </c:pt>
                <c:pt idx="46">
                  <c:v>188.28453082498095</c:v>
                </c:pt>
                <c:pt idx="47">
                  <c:v>192.27397777800752</c:v>
                </c:pt>
                <c:pt idx="48">
                  <c:v>196.26149831925849</c:v>
                </c:pt>
                <c:pt idx="49">
                  <c:v>200.24713720611564</c:v>
                </c:pt>
                <c:pt idx="50">
                  <c:v>204.23093726469929</c:v>
                </c:pt>
                <c:pt idx="51">
                  <c:v>208.21293951013206</c:v>
                </c:pt>
                <c:pt idx="52">
                  <c:v>212.19318325710347</c:v>
                </c:pt>
                <c:pt idx="53">
                  <c:v>216.17170622168953</c:v>
                </c:pt>
                <c:pt idx="54">
                  <c:v>220.14854461526991</c:v>
                </c:pt>
                <c:pt idx="55">
                  <c:v>224.1237332312927</c:v>
                </c:pt>
                <c:pt idx="56">
                  <c:v>228.09730552554888</c:v>
                </c:pt>
                <c:pt idx="57">
                  <c:v>232.06929369055158</c:v>
                </c:pt>
                <c:pt idx="58">
                  <c:v>236.03972872454821</c:v>
                </c:pt>
                <c:pt idx="59">
                  <c:v>240.00864049563742</c:v>
                </c:pt>
                <c:pt idx="60">
                  <c:v>243.9760578014166</c:v>
                </c:pt>
                <c:pt idx="61">
                  <c:v>247.94200842454026</c:v>
                </c:pt>
                <c:pt idx="62">
                  <c:v>251.90651918453139</c:v>
                </c:pt>
                <c:pt idx="63">
                  <c:v>255.86961598615619</c:v>
                </c:pt>
                <c:pt idx="64">
                  <c:v>259.83132386463916</c:v>
                </c:pt>
                <c:pt idx="65">
                  <c:v>263.79166702797352</c:v>
                </c:pt>
                <c:pt idx="66">
                  <c:v>267.75066889655244</c:v>
                </c:pt>
                <c:pt idx="67">
                  <c:v>271.70835214033167</c:v>
                </c:pt>
                <c:pt idx="68">
                  <c:v>275.66473871370903</c:v>
                </c:pt>
                <c:pt idx="69">
                  <c:v>279.61984988829551</c:v>
                </c:pt>
                <c:pt idx="70">
                  <c:v>283.57370628373098</c:v>
                </c:pt>
                <c:pt idx="71">
                  <c:v>287.52632789669013</c:v>
                </c:pt>
                <c:pt idx="72">
                  <c:v>291.47773412820743</c:v>
                </c:pt>
                <c:pt idx="73">
                  <c:v>295.42794380944093</c:v>
                </c:pt>
                <c:pt idx="74">
                  <c:v>299.3769752259837</c:v>
                </c:pt>
                <c:pt idx="75">
                  <c:v>303.32484614082495</c:v>
                </c:pt>
                <c:pt idx="76">
                  <c:v>307.27157381605042</c:v>
                </c:pt>
                <c:pt idx="77">
                  <c:v>311.21717503336862</c:v>
                </c:pt>
                <c:pt idx="78">
                  <c:v>315.16166611354106</c:v>
                </c:pt>
                <c:pt idx="79">
                  <c:v>319.10506293478636</c:v>
                </c:pt>
                <c:pt idx="80">
                  <c:v>323.04738095022725</c:v>
                </c:pt>
                <c:pt idx="81">
                  <c:v>326.98863520443973</c:v>
                </c:pt>
                <c:pt idx="82">
                  <c:v>330.92884034916182</c:v>
                </c:pt>
                <c:pt idx="83">
                  <c:v>240.16988414674799</c:v>
                </c:pt>
                <c:pt idx="84">
                  <c:v>245.77196628808744</c:v>
                </c:pt>
                <c:pt idx="85">
                  <c:v>251.37114790417323</c:v>
                </c:pt>
                <c:pt idx="86">
                  <c:v>256.96750282496765</c:v>
                </c:pt>
                <c:pt idx="87">
                  <c:v>262.56110139698171</c:v>
                </c:pt>
                <c:pt idx="88">
                  <c:v>268.1520107200306</c:v>
                </c:pt>
                <c:pt idx="89">
                  <c:v>273.74029486318602</c:v>
                </c:pt>
                <c:pt idx="90">
                  <c:v>279.32601506215059</c:v>
                </c:pt>
                <c:pt idx="91">
                  <c:v>284.90922990000058</c:v>
                </c:pt>
                <c:pt idx="92">
                  <c:v>290.4899954730036</c:v>
                </c:pt>
                <c:pt idx="93">
                  <c:v>296.0683655430135</c:v>
                </c:pt>
                <c:pt idx="94">
                  <c:v>301.64439167776601</c:v>
                </c:pt>
                <c:pt idx="95">
                  <c:v>307.21812338024853</c:v>
                </c:pt>
                <c:pt idx="96">
                  <c:v>312.78960820817969</c:v>
                </c:pt>
                <c:pt idx="97">
                  <c:v>318.35889188452308</c:v>
                </c:pt>
                <c:pt idx="98">
                  <c:v>323.92601839985667</c:v>
                </c:pt>
                <c:pt idx="99">
                  <c:v>267.65695444045951</c:v>
                </c:pt>
                <c:pt idx="100">
                  <c:v>272.56227975003588</c:v>
                </c:pt>
                <c:pt idx="101">
                  <c:v>277.46562005534423</c:v>
                </c:pt>
                <c:pt idx="102">
                  <c:v>282.36701544352098</c:v>
                </c:pt>
                <c:pt idx="103">
                  <c:v>287.26650449418548</c:v>
                </c:pt>
                <c:pt idx="104">
                  <c:v>292.1641243614655</c:v>
                </c:pt>
                <c:pt idx="105">
                  <c:v>297.05991085022777</c:v>
                </c:pt>
                <c:pt idx="106">
                  <c:v>301.95389848701461</c:v>
                </c:pt>
                <c:pt idx="107">
                  <c:v>306.84612058613607</c:v>
                </c:pt>
                <c:pt idx="108">
                  <c:v>311.73660931132196</c:v>
                </c:pt>
                <c:pt idx="109">
                  <c:v>316.62539573329803</c:v>
                </c:pt>
                <c:pt idx="110">
                  <c:v>321.51250988361738</c:v>
                </c:pt>
                <c:pt idx="111">
                  <c:v>326.3979808050434</c:v>
                </c:pt>
                <c:pt idx="112">
                  <c:v>331.28183659875589</c:v>
                </c:pt>
                <c:pt idx="113">
                  <c:v>336.16410446862534</c:v>
                </c:pt>
                <c:pt idx="114">
                  <c:v>341.04481076277688</c:v>
                </c:pt>
                <c:pt idx="115">
                  <c:v>345.92398101265036</c:v>
                </c:pt>
                <c:pt idx="116">
                  <c:v>286.00049181927756</c:v>
                </c:pt>
                <c:pt idx="117">
                  <c:v>290.16399467433467</c:v>
                </c:pt>
                <c:pt idx="118">
                  <c:v>294.3261624838579</c:v>
                </c:pt>
                <c:pt idx="119">
                  <c:v>298.48701682427873</c:v>
                </c:pt>
                <c:pt idx="120">
                  <c:v>302.64657862038121</c:v>
                </c:pt>
                <c:pt idx="121">
                  <c:v>306.80486817387435</c:v>
                </c:pt>
                <c:pt idx="122">
                  <c:v>310.96190519033468</c:v>
                </c:pt>
                <c:pt idx="123">
                  <c:v>315.11770880462871</c:v>
                </c:pt>
                <c:pt idx="124">
                  <c:v>319.27229760492457</c:v>
                </c:pt>
                <c:pt idx="125">
                  <c:v>323.42568965538584</c:v>
                </c:pt>
                <c:pt idx="126">
                  <c:v>327.5779025176376</c:v>
                </c:pt>
                <c:pt idx="127">
                  <c:v>331.72895327108625</c:v>
                </c:pt>
                <c:pt idx="128">
                  <c:v>335.87885853216784</c:v>
                </c:pt>
                <c:pt idx="129">
                  <c:v>340.02763447259417</c:v>
                </c:pt>
                <c:pt idx="130">
                  <c:v>344.17529683666083</c:v>
                </c:pt>
                <c:pt idx="131">
                  <c:v>348.32186095767696</c:v>
                </c:pt>
                <c:pt idx="132">
                  <c:v>352.46734177357035</c:v>
                </c:pt>
                <c:pt idx="133">
                  <c:v>356.61175384171958</c:v>
                </c:pt>
                <c:pt idx="134">
                  <c:v>360.7551113530601</c:v>
                </c:pt>
                <c:pt idx="135">
                  <c:v>364.89742814550715</c:v>
                </c:pt>
                <c:pt idx="136">
                  <c:v>301.36042524222955</c:v>
                </c:pt>
                <c:pt idx="137">
                  <c:v>304.8344304580358</c:v>
                </c:pt>
                <c:pt idx="138">
                  <c:v>308.30755520417773</c:v>
                </c:pt>
                <c:pt idx="139">
                  <c:v>311.77981081702757</c:v>
                </c:pt>
                <c:pt idx="140">
                  <c:v>315.25120835940533</c:v>
                </c:pt>
                <c:pt idx="141">
                  <c:v>318.7217586301893</c:v>
                </c:pt>
                <c:pt idx="142">
                  <c:v>322.19147217348507</c:v>
                </c:pt>
                <c:pt idx="143">
                  <c:v>325.66035928737932</c:v>
                </c:pt>
                <c:pt idx="144">
                  <c:v>329.12843003230029</c:v>
                </c:pt>
                <c:pt idx="145">
                  <c:v>332.59569423900672</c:v>
                </c:pt>
                <c:pt idx="146">
                  <c:v>336.06216151622641</c:v>
                </c:pt>
                <c:pt idx="147">
                  <c:v>339.52784125796194</c:v>
                </c:pt>
                <c:pt idx="148">
                  <c:v>342.99274265048325</c:v>
                </c:pt>
                <c:pt idx="149">
                  <c:v>346.45687467902189</c:v>
                </c:pt>
                <c:pt idx="150">
                  <c:v>349.92024613418266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560.93211702073938</c:v>
                </c:pt>
                <c:pt idx="92">
                  <c:v>571.61000006387746</c:v>
                </c:pt>
                <c:pt idx="93">
                  <c:v>582.2837175289161</c:v>
                </c:pt>
                <c:pt idx="94">
                  <c:v>592.95335652703068</c:v>
                </c:pt>
                <c:pt idx="95">
                  <c:v>603.61900077928863</c:v>
                </c:pt>
                <c:pt idx="96">
                  <c:v>564.13592464467149</c:v>
                </c:pt>
                <c:pt idx="97">
                  <c:v>574.45672836329322</c:v>
                </c:pt>
                <c:pt idx="98">
                  <c:v>584.77366162583451</c:v>
                </c:pt>
                <c:pt idx="99">
                  <c:v>595.08680233554503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567.33935171273708</c:v>
                </c:pt>
                <c:pt idx="112">
                  <c:v>575.52417545438084</c:v>
                </c:pt>
                <c:pt idx="113">
                  <c:v>583.70656984568836</c:v>
                </c:pt>
                <c:pt idx="114">
                  <c:v>591.88657374650074</c:v>
                </c:pt>
                <c:pt idx="115">
                  <c:v>600.06422485487678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2.1136668957173543</c:v>
                </c:pt>
                <c:pt idx="2">
                  <c:v>2.6384072631741566</c:v>
                </c:pt>
                <c:pt idx="3">
                  <c:v>3.2939301224383963</c:v>
                </c:pt>
                <c:pt idx="4">
                  <c:v>4.1129507930564033</c:v>
                </c:pt>
                <c:pt idx="5">
                  <c:v>5.1363964892035039</c:v>
                </c:pt>
                <c:pt idx="6">
                  <c:v>6.4154741643884039</c:v>
                </c:pt>
                <c:pt idx="7">
                  <c:v>8.0142605915044562</c:v>
                </c:pt>
                <c:pt idx="8">
                  <c:v>10.012946923908471</c:v>
                </c:pt>
                <c:pt idx="9">
                  <c:v>12.511903553873749</c:v>
                </c:pt>
                <c:pt idx="10">
                  <c:v>15.636773196306708</c:v>
                </c:pt>
                <c:pt idx="11">
                  <c:v>23.462378520605142</c:v>
                </c:pt>
                <c:pt idx="12">
                  <c:v>32.696361721259329</c:v>
                </c:pt>
                <c:pt idx="13">
                  <c:v>41.857672771648545</c:v>
                </c:pt>
                <c:pt idx="14">
                  <c:v>50.964656929234877</c:v>
                </c:pt>
                <c:pt idx="15">
                  <c:v>60.028460935167708</c:v>
                </c:pt>
                <c:pt idx="16">
                  <c:v>69.928557673965017</c:v>
                </c:pt>
                <c:pt idx="17">
                  <c:v>85.580297878456406</c:v>
                </c:pt>
                <c:pt idx="18">
                  <c:v>101.15975656350797</c:v>
                </c:pt>
                <c:pt idx="19">
                  <c:v>116.67967451151615</c:v>
                </c:pt>
                <c:pt idx="20">
                  <c:v>132.14910489975802</c:v>
                </c:pt>
                <c:pt idx="21">
                  <c:v>128.42920528646451</c:v>
                </c:pt>
                <c:pt idx="22">
                  <c:v>139.01002906464348</c:v>
                </c:pt>
                <c:pt idx="23">
                  <c:v>149.5715086569696</c:v>
                </c:pt>
                <c:pt idx="24">
                  <c:v>160.11520400933264</c:v>
                </c:pt>
                <c:pt idx="25">
                  <c:v>170.6424524976421</c:v>
                </c:pt>
                <c:pt idx="26">
                  <c:v>152.70791420506629</c:v>
                </c:pt>
                <c:pt idx="27">
                  <c:v>164.66947441295133</c:v>
                </c:pt>
                <c:pt idx="28">
                  <c:v>176.61050837522291</c:v>
                </c:pt>
                <c:pt idx="29">
                  <c:v>188.5326005305686</c:v>
                </c:pt>
                <c:pt idx="30">
                  <c:v>200.43711831314491</c:v>
                </c:pt>
                <c:pt idx="31">
                  <c:v>179.45076540077795</c:v>
                </c:pt>
                <c:pt idx="32">
                  <c:v>191.08500506258926</c:v>
                </c:pt>
                <c:pt idx="33">
                  <c:v>202.70275417831499</c:v>
                </c:pt>
                <c:pt idx="34">
                  <c:v>214.3050917284944</c:v>
                </c:pt>
                <c:pt idx="35">
                  <c:v>225.89297020726829</c:v>
                </c:pt>
                <c:pt idx="36">
                  <c:v>201.57001001287566</c:v>
                </c:pt>
                <c:pt idx="37">
                  <c:v>212.60811330323995</c:v>
                </c:pt>
                <c:pt idx="38">
                  <c:v>223.63301478908227</c:v>
                </c:pt>
                <c:pt idx="39">
                  <c:v>234.64545749430451</c:v>
                </c:pt>
                <c:pt idx="40">
                  <c:v>245.6461089428318</c:v>
                </c:pt>
                <c:pt idx="41">
                  <c:v>220.80733295017686</c:v>
                </c:pt>
                <c:pt idx="42">
                  <c:v>231.2582990895022</c:v>
                </c:pt>
                <c:pt idx="43">
                  <c:v>241.69847457925638</c:v>
                </c:pt>
                <c:pt idx="44">
                  <c:v>252.12839156974823</c:v>
                </c:pt>
                <c:pt idx="45">
                  <c:v>262.54853455193683</c:v>
                </c:pt>
                <c:pt idx="46">
                  <c:v>236.90294203691144</c:v>
                </c:pt>
                <c:pt idx="47">
                  <c:v>246.4918421810082</c:v>
                </c:pt>
                <c:pt idx="48">
                  <c:v>256.07227305218692</c:v>
                </c:pt>
                <c:pt idx="49">
                  <c:v>265.64459645110577</c:v>
                </c:pt>
                <c:pt idx="50">
                  <c:v>275.20914595206574</c:v>
                </c:pt>
                <c:pt idx="51">
                  <c:v>250.71952474895662</c:v>
                </c:pt>
                <c:pt idx="52">
                  <c:v>260.01478024169944</c:v>
                </c:pt>
                <c:pt idx="53">
                  <c:v>269.3025307162747</c:v>
                </c:pt>
                <c:pt idx="54">
                  <c:v>278.58307172178729</c:v>
                </c:pt>
                <c:pt idx="55">
                  <c:v>287.85667749117118</c:v>
                </c:pt>
                <c:pt idx="56">
                  <c:v>263.95593695845793</c:v>
                </c:pt>
                <c:pt idx="57">
                  <c:v>272.39683147829243</c:v>
                </c:pt>
                <c:pt idx="58">
                  <c:v>280.83184541341711</c:v>
                </c:pt>
                <c:pt idx="59">
                  <c:v>289.26118046969771</c:v>
                </c:pt>
                <c:pt idx="60">
                  <c:v>297.68502562639242</c:v>
                </c:pt>
                <c:pt idx="61">
                  <c:v>274.64673495114681</c:v>
                </c:pt>
                <c:pt idx="62">
                  <c:v>282.51816051208363</c:v>
                </c:pt>
                <c:pt idx="63">
                  <c:v>290.3846730326959</c:v>
                </c:pt>
                <c:pt idx="64">
                  <c:v>298.2464245147807</c:v>
                </c:pt>
                <c:pt idx="65">
                  <c:v>306.10355828446768</c:v>
                </c:pt>
                <c:pt idx="66">
                  <c:v>285.04721070608593</c:v>
                </c:pt>
                <c:pt idx="67">
                  <c:v>292.06972985560316</c:v>
                </c:pt>
                <c:pt idx="68">
                  <c:v>299.08847869495412</c:v>
                </c:pt>
                <c:pt idx="69">
                  <c:v>306.10355828446768</c:v>
                </c:pt>
                <c:pt idx="70">
                  <c:v>313.11506466918667</c:v>
                </c:pt>
                <c:pt idx="71">
                  <c:v>293.19298034625791</c:v>
                </c:pt>
                <c:pt idx="72">
                  <c:v>299.93048004385577</c:v>
                </c:pt>
                <c:pt idx="73">
                  <c:v>306.66460904976032</c:v>
                </c:pt>
                <c:pt idx="74">
                  <c:v>313.39545190962332</c:v>
                </c:pt>
                <c:pt idx="75">
                  <c:v>320.12308923699328</c:v>
                </c:pt>
                <c:pt idx="76">
                  <c:v>301.33369868276151</c:v>
                </c:pt>
                <c:pt idx="77">
                  <c:v>307.78664217339758</c:v>
                </c:pt>
                <c:pt idx="78">
                  <c:v>314.23658026588947</c:v>
                </c:pt>
                <c:pt idx="79">
                  <c:v>320.68358342397431</c:v>
                </c:pt>
                <c:pt idx="80">
                  <c:v>327.12771904371107</c:v>
                </c:pt>
                <c:pt idx="81">
                  <c:v>310.31088495066086</c:v>
                </c:pt>
                <c:pt idx="82">
                  <c:v>315.91868734548376</c:v>
                </c:pt>
                <c:pt idx="83">
                  <c:v>321.52428406625791</c:v>
                </c:pt>
                <c:pt idx="84">
                  <c:v>327.12771904371107</c:v>
                </c:pt>
                <c:pt idx="85">
                  <c:v>332.72903457884462</c:v>
                </c:pt>
                <c:pt idx="86">
                  <c:v>317.03998171357244</c:v>
                </c:pt>
                <c:pt idx="87">
                  <c:v>322.36493607230227</c:v>
                </c:pt>
                <c:pt idx="88">
                  <c:v>327.6879452877991</c:v>
                </c:pt>
                <c:pt idx="89">
                  <c:v>333.0090454577047</c:v>
                </c:pt>
                <c:pt idx="90">
                  <c:v>338.32827143043073</c:v>
                </c:pt>
                <c:pt idx="91">
                  <c:v>2.6186856170506036E-12</c:v>
                </c:pt>
                <c:pt idx="92">
                  <c:v>2.6186856170506036E-12</c:v>
                </c:pt>
                <c:pt idx="93">
                  <c:v>2.6186856170506036E-12</c:v>
                </c:pt>
                <c:pt idx="94">
                  <c:v>2.6186856170506036E-12</c:v>
                </c:pt>
                <c:pt idx="95">
                  <c:v>2.6186856170506036E-12</c:v>
                </c:pt>
                <c:pt idx="96">
                  <c:v>2.6186856170506036E-12</c:v>
                </c:pt>
                <c:pt idx="97">
                  <c:v>2.6186856170506036E-12</c:v>
                </c:pt>
                <c:pt idx="98">
                  <c:v>2.6186856170506036E-12</c:v>
                </c:pt>
                <c:pt idx="99">
                  <c:v>2.6186856170506036E-12</c:v>
                </c:pt>
                <c:pt idx="100">
                  <c:v>2.6186856170506036E-12</c:v>
                </c:pt>
                <c:pt idx="101">
                  <c:v>2.6186856170506036E-12</c:v>
                </c:pt>
                <c:pt idx="102">
                  <c:v>2.6186856170506036E-12</c:v>
                </c:pt>
                <c:pt idx="103">
                  <c:v>2.6186856170506036E-12</c:v>
                </c:pt>
                <c:pt idx="104">
                  <c:v>2.6186856170506036E-12</c:v>
                </c:pt>
                <c:pt idx="105">
                  <c:v>2.6186856170506036E-12</c:v>
                </c:pt>
                <c:pt idx="106">
                  <c:v>2.6186856170506036E-12</c:v>
                </c:pt>
                <c:pt idx="107">
                  <c:v>2.6186856170506036E-12</c:v>
                </c:pt>
                <c:pt idx="108">
                  <c:v>2.6186856170506036E-12</c:v>
                </c:pt>
                <c:pt idx="109">
                  <c:v>2.6186856170506036E-12</c:v>
                </c:pt>
                <c:pt idx="110">
                  <c:v>2.6186856170506036E-12</c:v>
                </c:pt>
                <c:pt idx="111">
                  <c:v>2.6186856170506036E-12</c:v>
                </c:pt>
                <c:pt idx="112">
                  <c:v>2.6186856170506036E-12</c:v>
                </c:pt>
                <c:pt idx="113">
                  <c:v>2.6186856170506036E-12</c:v>
                </c:pt>
                <c:pt idx="114">
                  <c:v>2.6186856170506036E-12</c:v>
                </c:pt>
                <c:pt idx="115">
                  <c:v>2.6186856170506036E-12</c:v>
                </c:pt>
                <c:pt idx="116">
                  <c:v>2.6186856170506036E-12</c:v>
                </c:pt>
                <c:pt idx="117">
                  <c:v>2.6186856170506036E-12</c:v>
                </c:pt>
                <c:pt idx="118">
                  <c:v>2.6186856170506036E-12</c:v>
                </c:pt>
                <c:pt idx="119">
                  <c:v>2.6186856170506036E-12</c:v>
                </c:pt>
                <c:pt idx="120">
                  <c:v>2.6186856170506036E-12</c:v>
                </c:pt>
                <c:pt idx="121">
                  <c:v>2.6186856170506036E-12</c:v>
                </c:pt>
                <c:pt idx="122">
                  <c:v>2.6186856170506036E-12</c:v>
                </c:pt>
                <c:pt idx="123">
                  <c:v>2.6186856170506036E-12</c:v>
                </c:pt>
                <c:pt idx="124">
                  <c:v>2.6186856170506036E-12</c:v>
                </c:pt>
                <c:pt idx="125">
                  <c:v>2.6186856170506036E-12</c:v>
                </c:pt>
                <c:pt idx="126">
                  <c:v>2.6186856170506036E-12</c:v>
                </c:pt>
                <c:pt idx="127">
                  <c:v>2.6186856170506036E-12</c:v>
                </c:pt>
                <c:pt idx="128">
                  <c:v>2.6186856170506036E-12</c:v>
                </c:pt>
                <c:pt idx="129">
                  <c:v>2.6186856170506036E-12</c:v>
                </c:pt>
                <c:pt idx="130">
                  <c:v>2.6186856170506036E-12</c:v>
                </c:pt>
                <c:pt idx="131">
                  <c:v>2.6186856170506036E-12</c:v>
                </c:pt>
                <c:pt idx="132">
                  <c:v>2.6186856170506036E-12</c:v>
                </c:pt>
                <c:pt idx="133">
                  <c:v>2.6186856170506036E-12</c:v>
                </c:pt>
                <c:pt idx="134">
                  <c:v>2.6186856170506036E-12</c:v>
                </c:pt>
                <c:pt idx="135">
                  <c:v>2.6186856170506036E-12</c:v>
                </c:pt>
                <c:pt idx="136">
                  <c:v>2.6186856170506036E-12</c:v>
                </c:pt>
                <c:pt idx="137">
                  <c:v>2.6186856170506036E-12</c:v>
                </c:pt>
                <c:pt idx="138">
                  <c:v>2.6186856170506036E-12</c:v>
                </c:pt>
                <c:pt idx="139">
                  <c:v>2.6186856170506036E-12</c:v>
                </c:pt>
                <c:pt idx="140">
                  <c:v>2.6186856170506036E-12</c:v>
                </c:pt>
                <c:pt idx="141">
                  <c:v>2.6186856170506036E-12</c:v>
                </c:pt>
                <c:pt idx="142">
                  <c:v>2.6186856170506036E-12</c:v>
                </c:pt>
                <c:pt idx="143">
                  <c:v>2.6186856170506036E-12</c:v>
                </c:pt>
                <c:pt idx="144">
                  <c:v>2.6186856170506036E-12</c:v>
                </c:pt>
                <c:pt idx="145">
                  <c:v>2.6186856170506036E-12</c:v>
                </c:pt>
                <c:pt idx="146">
                  <c:v>2.6186856170506036E-12</c:v>
                </c:pt>
                <c:pt idx="147">
                  <c:v>2.6186856170506036E-12</c:v>
                </c:pt>
                <c:pt idx="148">
                  <c:v>2.6186856170506036E-12</c:v>
                </c:pt>
                <c:pt idx="149">
                  <c:v>2.6186856170506036E-12</c:v>
                </c:pt>
                <c:pt idx="150">
                  <c:v>2.6186856170506036E-12</c:v>
                </c:pt>
                <c:pt idx="151">
                  <c:v>2.6186856170506036E-12</c:v>
                </c:pt>
                <c:pt idx="152">
                  <c:v>2.6186856170506036E-12</c:v>
                </c:pt>
                <c:pt idx="153">
                  <c:v>2.6186856170506036E-12</c:v>
                </c:pt>
                <c:pt idx="154">
                  <c:v>2.6186856170506036E-12</c:v>
                </c:pt>
                <c:pt idx="155">
                  <c:v>2.6186856170506036E-12</c:v>
                </c:pt>
                <c:pt idx="156">
                  <c:v>2.6186856170506036E-12</c:v>
                </c:pt>
                <c:pt idx="157">
                  <c:v>2.6186856170506036E-12</c:v>
                </c:pt>
                <c:pt idx="158">
                  <c:v>2.6186856170506036E-12</c:v>
                </c:pt>
                <c:pt idx="159">
                  <c:v>2.6186856170506036E-12</c:v>
                </c:pt>
                <c:pt idx="160">
                  <c:v>2.6186856170506036E-12</c:v>
                </c:pt>
                <c:pt idx="161">
                  <c:v>2.6186856170506036E-12</c:v>
                </c:pt>
                <c:pt idx="162">
                  <c:v>2.6186856170506036E-12</c:v>
                </c:pt>
                <c:pt idx="163">
                  <c:v>2.6186856170506036E-12</c:v>
                </c:pt>
                <c:pt idx="164">
                  <c:v>2.6186856170506036E-12</c:v>
                </c:pt>
                <c:pt idx="165">
                  <c:v>2.6186856170506036E-12</c:v>
                </c:pt>
                <c:pt idx="166">
                  <c:v>2.6186856170506036E-12</c:v>
                </c:pt>
                <c:pt idx="167">
                  <c:v>2.6186856170506036E-12</c:v>
                </c:pt>
                <c:pt idx="168">
                  <c:v>2.6186856170506036E-12</c:v>
                </c:pt>
                <c:pt idx="169">
                  <c:v>2.6186856170506036E-12</c:v>
                </c:pt>
                <c:pt idx="170">
                  <c:v>2.6186856170506036E-12</c:v>
                </c:pt>
                <c:pt idx="171">
                  <c:v>2.6186856170506036E-12</c:v>
                </c:pt>
                <c:pt idx="172">
                  <c:v>2.6186856170506036E-12</c:v>
                </c:pt>
                <c:pt idx="173">
                  <c:v>2.6186856170506036E-12</c:v>
                </c:pt>
                <c:pt idx="174">
                  <c:v>2.6186856170506036E-12</c:v>
                </c:pt>
                <c:pt idx="175">
                  <c:v>2.6186856170506036E-12</c:v>
                </c:pt>
                <c:pt idx="176">
                  <c:v>2.6186856170506036E-12</c:v>
                </c:pt>
                <c:pt idx="177">
                  <c:v>2.6186856170506036E-12</c:v>
                </c:pt>
                <c:pt idx="178">
                  <c:v>2.6186856170506036E-12</c:v>
                </c:pt>
                <c:pt idx="179">
                  <c:v>2.6186856170506036E-12</c:v>
                </c:pt>
                <c:pt idx="180">
                  <c:v>2.6186856170506036E-12</c:v>
                </c:pt>
                <c:pt idx="181">
                  <c:v>2.6186856170506036E-12</c:v>
                </c:pt>
                <c:pt idx="182">
                  <c:v>2.6186856170506036E-12</c:v>
                </c:pt>
                <c:pt idx="183">
                  <c:v>2.6186856170506036E-12</c:v>
                </c:pt>
                <c:pt idx="184">
                  <c:v>2.6186856170506036E-12</c:v>
                </c:pt>
                <c:pt idx="185">
                  <c:v>2.6186856170506036E-12</c:v>
                </c:pt>
                <c:pt idx="186">
                  <c:v>2.6186856170506036E-12</c:v>
                </c:pt>
                <c:pt idx="187">
                  <c:v>2.6186856170506036E-12</c:v>
                </c:pt>
                <c:pt idx="188">
                  <c:v>2.6186856170506036E-12</c:v>
                </c:pt>
                <c:pt idx="189">
                  <c:v>2.6186856170506036E-12</c:v>
                </c:pt>
                <c:pt idx="190">
                  <c:v>2.6186856170506036E-12</c:v>
                </c:pt>
                <c:pt idx="191">
                  <c:v>2.6186856170506036E-12</c:v>
                </c:pt>
                <c:pt idx="192">
                  <c:v>2.6186856170506036E-12</c:v>
                </c:pt>
                <c:pt idx="193">
                  <c:v>2.6186856170506036E-12</c:v>
                </c:pt>
                <c:pt idx="194">
                  <c:v>2.6186856170506036E-12</c:v>
                </c:pt>
                <c:pt idx="195">
                  <c:v>2.6186856170506036E-12</c:v>
                </c:pt>
                <c:pt idx="196">
                  <c:v>2.6186856170506036E-12</c:v>
                </c:pt>
                <c:pt idx="197">
                  <c:v>2.6186856170506036E-12</c:v>
                </c:pt>
                <c:pt idx="198">
                  <c:v>2.6186856170506036E-12</c:v>
                </c:pt>
                <c:pt idx="199">
                  <c:v>2.6186856170506036E-12</c:v>
                </c:pt>
                <c:pt idx="200">
                  <c:v>2.6186856170506036E-12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27" sqref="F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2.48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29</v>
      </c>
      <c r="C9" s="35">
        <v>6.0900000000000003E-2</v>
      </c>
      <c r="D9" s="36">
        <f t="shared" ref="D9:D18" si="0">C9*$C$5</f>
        <v>0.151032</v>
      </c>
      <c r="E9" s="37">
        <v>69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0.54800000000000004</v>
      </c>
      <c r="D10" s="36">
        <f t="shared" si="0"/>
        <v>1.35904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0.24679999999999999</v>
      </c>
      <c r="D11" s="36">
        <f t="shared" si="0"/>
        <v>0.61206399999999994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4.3499999999999997E-2</v>
      </c>
      <c r="D12" s="36">
        <f t="shared" si="0"/>
        <v>0.10787999999999999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</v>
      </c>
      <c r="C13" s="35">
        <v>6.0499999999999998E-2</v>
      </c>
      <c r="D13" s="36">
        <f t="shared" si="0"/>
        <v>0.15004000000000001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</v>
      </c>
      <c r="C14" s="35">
        <v>4.0300000000000002E-2</v>
      </c>
      <c r="D14" s="36">
        <f t="shared" si="0"/>
        <v>9.9944000000000005E-2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2.4800000000000004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Merisier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40</v>
      </c>
      <c r="C36" s="63">
        <v>1</v>
      </c>
      <c r="D36" s="63">
        <v>3</v>
      </c>
      <c r="E36" s="54"/>
      <c r="F36" s="54"/>
      <c r="G36" s="54">
        <v>1</v>
      </c>
      <c r="H36" s="54"/>
      <c r="I36" s="52">
        <f>IFERROR(B36/A36,"")</f>
        <v>2.6666666666666665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85</v>
      </c>
      <c r="C37" s="63">
        <v>2</v>
      </c>
      <c r="D37" s="63">
        <v>25</v>
      </c>
      <c r="E37" s="54"/>
      <c r="F37" s="54"/>
      <c r="G37" s="54">
        <v>1</v>
      </c>
      <c r="H37" s="54"/>
      <c r="I37" s="56">
        <f t="shared" ref="I37:I55" si="1">IF(A37&lt;&gt;0,(B37-(B36-D36))/(A37-A36),"")</f>
        <v>9.6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113</v>
      </c>
      <c r="C38" s="63">
        <v>3</v>
      </c>
      <c r="D38" s="63">
        <v>27</v>
      </c>
      <c r="E38" s="93"/>
      <c r="F38" s="93">
        <v>0.2</v>
      </c>
      <c r="G38" s="93">
        <v>0.8</v>
      </c>
      <c r="H38" s="54"/>
      <c r="I38" s="56">
        <f t="shared" si="1"/>
        <v>10.6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31</v>
      </c>
      <c r="B39" s="63">
        <v>155</v>
      </c>
      <c r="C39" s="63">
        <v>4</v>
      </c>
      <c r="D39" s="63">
        <v>36</v>
      </c>
      <c r="E39" s="93"/>
      <c r="F39" s="93"/>
      <c r="G39" s="93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37</v>
      </c>
      <c r="B40" s="63">
        <v>188</v>
      </c>
      <c r="C40" s="63">
        <v>5</v>
      </c>
      <c r="D40" s="63">
        <v>36</v>
      </c>
      <c r="E40" s="93"/>
      <c r="F40" s="93"/>
      <c r="G40" s="93"/>
      <c r="H40" s="54"/>
      <c r="I40" s="52">
        <f t="shared" si="1"/>
        <v>11.5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44</v>
      </c>
      <c r="B41" s="63">
        <v>230</v>
      </c>
      <c r="C41" s="63">
        <v>6</v>
      </c>
      <c r="D41" s="63">
        <v>43</v>
      </c>
      <c r="E41" s="93"/>
      <c r="F41" s="93"/>
      <c r="G41" s="93"/>
      <c r="H41" s="54"/>
      <c r="I41" s="56">
        <f t="shared" si="1"/>
        <v>11.142857142857142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52</v>
      </c>
      <c r="B42" s="63">
        <v>270</v>
      </c>
      <c r="C42" s="63">
        <v>7</v>
      </c>
      <c r="D42" s="63">
        <v>48</v>
      </c>
      <c r="E42" s="93"/>
      <c r="F42" s="93"/>
      <c r="G42" s="93"/>
      <c r="H42" s="54"/>
      <c r="I42" s="56">
        <f t="shared" si="1"/>
        <v>10.375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60</v>
      </c>
      <c r="B43" s="63">
        <v>297</v>
      </c>
      <c r="C43" s="63">
        <v>8</v>
      </c>
      <c r="D43" s="63">
        <v>47</v>
      </c>
      <c r="E43" s="93"/>
      <c r="F43" s="93"/>
      <c r="G43" s="93"/>
      <c r="H43" s="54"/>
      <c r="I43" s="52">
        <f t="shared" si="1"/>
        <v>9.375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3">
        <v>69</v>
      </c>
      <c r="B44" s="63">
        <v>328</v>
      </c>
      <c r="C44" s="63">
        <v>9</v>
      </c>
      <c r="D44" s="63">
        <v>328</v>
      </c>
      <c r="E44" s="93"/>
      <c r="F44" s="93"/>
      <c r="G44" s="93"/>
      <c r="H44" s="54"/>
      <c r="I44" s="52">
        <f t="shared" si="1"/>
        <v>8.6666666666666661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>
        <v>1</v>
      </c>
      <c r="H62" s="54"/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>
        <v>1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>
        <v>1</v>
      </c>
      <c r="H88" s="93"/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>
        <v>1</v>
      </c>
      <c r="H89" s="93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82</v>
      </c>
      <c r="B114" s="63">
        <v>323</v>
      </c>
      <c r="C114" s="53">
        <v>1</v>
      </c>
      <c r="D114" s="63">
        <v>96</v>
      </c>
      <c r="E114" s="54"/>
      <c r="F114" s="54"/>
      <c r="G114" s="54"/>
      <c r="H114" s="54"/>
      <c r="I114" s="56">
        <f>IFERROR(B114/A114,"")</f>
        <v>3.9390243902439024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98</v>
      </c>
      <c r="B115" s="63">
        <v>316</v>
      </c>
      <c r="C115" s="53">
        <v>2</v>
      </c>
      <c r="D115" s="63">
        <v>61</v>
      </c>
      <c r="E115" s="54"/>
      <c r="F115" s="54"/>
      <c r="G115" s="54"/>
      <c r="H115" s="54"/>
      <c r="I115" s="56">
        <f t="shared" ref="I115:I133" si="4">IF(A115&lt;&gt;0,(B115-(B114-D114))/(A115-A114),"")</f>
        <v>5.5625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115</v>
      </c>
      <c r="B116" s="63">
        <v>338</v>
      </c>
      <c r="C116" s="53">
        <v>3</v>
      </c>
      <c r="D116" s="63">
        <v>64</v>
      </c>
      <c r="E116" s="54"/>
      <c r="F116" s="54"/>
      <c r="G116" s="54"/>
      <c r="H116" s="54"/>
      <c r="I116" s="56">
        <f t="shared" si="4"/>
        <v>4.882352941176471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135</v>
      </c>
      <c r="B117" s="63">
        <v>357</v>
      </c>
      <c r="C117" s="53">
        <v>4</v>
      </c>
      <c r="D117" s="63">
        <v>67</v>
      </c>
      <c r="E117" s="54"/>
      <c r="F117" s="54"/>
      <c r="G117" s="54"/>
      <c r="H117" s="54"/>
      <c r="I117" s="56">
        <f t="shared" si="4"/>
        <v>4.1500000000000004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150</v>
      </c>
      <c r="B118" s="63">
        <v>342</v>
      </c>
      <c r="C118" s="53">
        <v>5</v>
      </c>
      <c r="D118" s="63">
        <v>342</v>
      </c>
      <c r="E118" s="54"/>
      <c r="F118" s="54"/>
      <c r="G118" s="54"/>
      <c r="H118" s="54"/>
      <c r="I118" s="56">
        <f t="shared" si="4"/>
        <v>3.4666666666666668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pédonculé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>
        <v>1</v>
      </c>
      <c r="H140" s="54"/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103</v>
      </c>
      <c r="C141" s="53">
        <v>2</v>
      </c>
      <c r="D141" s="63">
        <v>28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121</v>
      </c>
      <c r="C142" s="53">
        <v>3</v>
      </c>
      <c r="D142" s="63">
        <v>28</v>
      </c>
      <c r="E142" s="54"/>
      <c r="F142" s="54"/>
      <c r="G142" s="54"/>
      <c r="H142" s="54"/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v>332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115</v>
      </c>
      <c r="B159" s="59">
        <v>330</v>
      </c>
      <c r="C159" s="53">
        <v>20</v>
      </c>
      <c r="D159" s="61">
        <v>330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Aulne glutineux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10</v>
      </c>
      <c r="C166" s="63">
        <v>1</v>
      </c>
      <c r="D166" s="63">
        <v>1</v>
      </c>
      <c r="E166" s="54"/>
      <c r="F166" s="54"/>
      <c r="G166" s="54">
        <v>1</v>
      </c>
      <c r="H166" s="54"/>
      <c r="I166" s="52">
        <f>IFERROR(B166/A166,"")</f>
        <v>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40</v>
      </c>
      <c r="C167" s="63">
        <v>2</v>
      </c>
      <c r="D167" s="63">
        <v>4</v>
      </c>
      <c r="E167" s="54"/>
      <c r="F167" s="54"/>
      <c r="G167" s="54">
        <v>1</v>
      </c>
      <c r="H167" s="54"/>
      <c r="I167" s="52">
        <f t="shared" ref="I167:I183" si="6">IF(A167&lt;&gt;0,(B167-(B166-D166))/(A167-A166),"")</f>
        <v>6.2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90</v>
      </c>
      <c r="C168" s="63">
        <v>3</v>
      </c>
      <c r="D168" s="63">
        <v>10</v>
      </c>
      <c r="E168" s="54"/>
      <c r="F168" s="54"/>
      <c r="G168" s="54">
        <v>1</v>
      </c>
      <c r="H168" s="54"/>
      <c r="I168" s="52">
        <f t="shared" si="6"/>
        <v>10.8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117</v>
      </c>
      <c r="C169" s="63">
        <v>4</v>
      </c>
      <c r="D169" s="63">
        <v>21</v>
      </c>
      <c r="E169" s="54">
        <v>0.1</v>
      </c>
      <c r="F169" s="54"/>
      <c r="G169" s="54">
        <v>1</v>
      </c>
      <c r="H169" s="54"/>
      <c r="I169" s="52">
        <f t="shared" si="6"/>
        <v>7.4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138</v>
      </c>
      <c r="C170" s="63">
        <v>5</v>
      </c>
      <c r="D170" s="63">
        <v>23</v>
      </c>
      <c r="E170" s="54">
        <v>0.1</v>
      </c>
      <c r="F170" s="54"/>
      <c r="G170" s="54">
        <v>1</v>
      </c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156</v>
      </c>
      <c r="C171" s="63">
        <v>6</v>
      </c>
      <c r="D171" s="63">
        <v>25</v>
      </c>
      <c r="E171" s="54"/>
      <c r="F171" s="54"/>
      <c r="G171" s="54"/>
      <c r="H171" s="54"/>
      <c r="I171" s="52">
        <f t="shared" si="6"/>
        <v>8.1999999999999993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170</v>
      </c>
      <c r="C172" s="63">
        <v>7</v>
      </c>
      <c r="D172" s="63">
        <v>25</v>
      </c>
      <c r="E172" s="54"/>
      <c r="F172" s="54"/>
      <c r="G172" s="54"/>
      <c r="H172" s="54"/>
      <c r="I172" s="52">
        <f t="shared" si="6"/>
        <v>7.8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182</v>
      </c>
      <c r="C173" s="63">
        <v>8</v>
      </c>
      <c r="D173" s="53">
        <v>25</v>
      </c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191</v>
      </c>
      <c r="C174" s="63">
        <v>9</v>
      </c>
      <c r="D174" s="53">
        <v>24</v>
      </c>
      <c r="E174" s="54"/>
      <c r="F174" s="54"/>
      <c r="G174" s="54"/>
      <c r="H174" s="54"/>
      <c r="I174" s="52">
        <f t="shared" si="6"/>
        <v>6.8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200</v>
      </c>
      <c r="C175" s="63">
        <v>10</v>
      </c>
      <c r="D175" s="53">
        <v>23</v>
      </c>
      <c r="E175" s="54"/>
      <c r="F175" s="54"/>
      <c r="G175" s="54"/>
      <c r="H175" s="54"/>
      <c r="I175" s="52">
        <f t="shared" si="6"/>
        <v>6.6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207</v>
      </c>
      <c r="C176" s="63">
        <v>11</v>
      </c>
      <c r="D176" s="53">
        <v>22</v>
      </c>
      <c r="E176" s="54"/>
      <c r="F176" s="54"/>
      <c r="G176" s="54"/>
      <c r="H176" s="54"/>
      <c r="I176" s="52">
        <f t="shared" si="6"/>
        <v>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213</v>
      </c>
      <c r="C177" s="63">
        <v>12</v>
      </c>
      <c r="D177" s="53">
        <v>20</v>
      </c>
      <c r="E177" s="54"/>
      <c r="F177" s="54"/>
      <c r="G177" s="54"/>
      <c r="H177" s="54"/>
      <c r="I177" s="52">
        <f t="shared" si="6"/>
        <v>5.6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218</v>
      </c>
      <c r="C178" s="63">
        <v>13</v>
      </c>
      <c r="D178" s="53">
        <v>19</v>
      </c>
      <c r="E178" s="54"/>
      <c r="F178" s="54"/>
      <c r="G178" s="54"/>
      <c r="H178" s="54"/>
      <c r="I178" s="52">
        <f t="shared" si="6"/>
        <v>5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223</v>
      </c>
      <c r="C179" s="63">
        <v>14</v>
      </c>
      <c r="D179" s="53">
        <v>18</v>
      </c>
      <c r="E179" s="54"/>
      <c r="F179" s="54"/>
      <c r="G179" s="54"/>
      <c r="H179" s="54"/>
      <c r="I179" s="52">
        <f t="shared" si="6"/>
        <v>4.8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228</v>
      </c>
      <c r="C180" s="63">
        <v>15</v>
      </c>
      <c r="D180" s="53">
        <v>16</v>
      </c>
      <c r="E180" s="54"/>
      <c r="F180" s="54"/>
      <c r="G180" s="54"/>
      <c r="H180" s="54"/>
      <c r="I180" s="52">
        <f t="shared" si="6"/>
        <v>4.5999999999999996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85</v>
      </c>
      <c r="B181" s="53">
        <v>232</v>
      </c>
      <c r="C181" s="63">
        <v>16</v>
      </c>
      <c r="D181" s="53">
        <v>15</v>
      </c>
      <c r="E181" s="54"/>
      <c r="F181" s="54"/>
      <c r="G181" s="54"/>
      <c r="H181" s="54"/>
      <c r="I181" s="52">
        <f t="shared" si="6"/>
        <v>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90</v>
      </c>
      <c r="B182" s="53">
        <v>236</v>
      </c>
      <c r="C182" s="63">
        <v>17</v>
      </c>
      <c r="D182" s="53">
        <v>236</v>
      </c>
      <c r="E182" s="54"/>
      <c r="F182" s="54"/>
      <c r="G182" s="54"/>
      <c r="H182" s="54"/>
      <c r="I182" s="52">
        <f t="shared" si="6"/>
        <v>3.8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ref="I184:I185" si="7">IF(A184&lt;&gt;0,(B184-(B183-D183))/(A184-A183),"")</f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Merisier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chevelu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pédonculé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Aulne glutineux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288.82868507674738</v>
      </c>
      <c r="T3" s="62">
        <f>IF('Données projet'!E9&gt;30,$R$33-$H$33,LOOKUP('Données projet'!$E$9,$A$3:$A$203,R3:R203)-LOOKUP('Données projet'!$E$9,$A$3:$A$203,$H$3:$H$203))</f>
        <v>283.48738729114024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371.95849973474657</v>
      </c>
      <c r="AO3" s="62">
        <f>IF('Données projet'!E10&gt;30,$AM$33-$H$33,LOOKUP('Données projet'!$E$10,$A$3:$A$203,AM3:AM203)-LOOKUP('Données projet'!$E$10,$A$3:$A$203,$H$3:$H$203))</f>
        <v>233.32640143610547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423.40903481736001</v>
      </c>
      <c r="BJ3" s="62">
        <f>IF('Données projet'!E11&gt;30,$BH$33-$H$33,LOOKUP('Données projet'!$E$11,$A$3:$A$203,BH3:BH203)-LOOKUP('Données projet'!$E$11,$A$3:$A$203,$H$3:$H$203))</f>
        <v>263.03039552465799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264.88170274686757</v>
      </c>
      <c r="CE3" s="62">
        <f>IF('Données projet'!E12&gt;30,$CC$33-$H$33,LOOKUP('Données projet'!$E$12,$A$3:$A$203,CC3:CC203)-LOOKUP('Données projet'!$E$12,$A$3:$A$203,$H$3:$H$203))</f>
        <v>160.81140876142001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411.60020200960821</v>
      </c>
      <c r="CZ3" s="62">
        <f>IF('Données projet'!E13&gt;30,$CX$33-$H$33,LOOKUP('Données projet'!$E$13,$A$3:$A$203,CX3:CX203)-LOOKUP('Données projet'!$E$13,$A$3:$A$203,$H$3:$H$203))</f>
        <v>261.95434270986397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240.134073924311</v>
      </c>
      <c r="DU3" s="62">
        <f>IF('Données projet'!E14&gt;30,$DS$33-$H$33,LOOKUP('Données projet'!$E$14,$A$3:$A$203,DS3:DS203)-LOOKUP('Données projet'!$E$14,$A$3:$A$203,$H$3:$H$203))</f>
        <v>237.10378497981156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2.6666666666666665</v>
      </c>
      <c r="N4" s="14">
        <f>IF('Données projet'!$A$36&gt;35,N3+M4-V3,IF(A4&lt;'Données projet'!$A$36,$K$205^A4,IF(A4='Données projet'!$A$36,'Données projet'!$B$36,N3+M4-V3)))</f>
        <v>1.2788040393997409</v>
      </c>
      <c r="O4" s="14">
        <f>N4*VLOOKUP('Données projet'!$B$9,Paramètres!$A$1:$I$89,3,0)*VLOOKUP('Données projet'!$B$9,Paramètres!$A$1:$I$89,5,0)</f>
        <v>0.99746715073179792</v>
      </c>
      <c r="P4" s="14">
        <f>EXP(-1.0587+0.8836*LN(O4)+0.284)</f>
        <v>0.45981048445793882</v>
      </c>
      <c r="Q4" s="22">
        <f t="shared" ref="Q4:Q34" si="2">(O4+P4)*0.475*44/12</f>
        <v>2.5380918812887914</v>
      </c>
      <c r="R4" s="62">
        <f t="shared" si="0"/>
        <v>260.42698077017764</v>
      </c>
      <c r="S4" s="62">
        <f ca="1">AVERAGE(OFFSET($R$3,0,0,'Données projet'!$E$9+1,1))-AVERAGE(OFFSET($H$3,0,0,'Données projet'!$E$9+1,1))</f>
        <v>288.82868507674738</v>
      </c>
      <c r="T4" s="62">
        <f>$T$3</f>
        <v>283.48738729114024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260.61190763210914</v>
      </c>
      <c r="AN4" s="62">
        <f ca="1">AVERAGE(OFFSET($AM$3,0,0,'Données projet'!$E$10+1,1))-AVERAGE(OFFSET($H$3,0,0,'Données projet'!$E$10+1,1))</f>
        <v>371.95849973474657</v>
      </c>
      <c r="AO4" s="62">
        <f>$AO$3</f>
        <v>233.32640143610547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1.2395091441386554</v>
      </c>
      <c r="BF4" s="14">
        <f>EXP(-1.0587+0.8836*LN(BE4)+0.284)</f>
        <v>0.55711843661085447</v>
      </c>
      <c r="BG4" s="22">
        <f t="shared" ref="BG4:BG67" si="7">(BE4+BF4)*0.475*44/12</f>
        <v>3.1291263698053959</v>
      </c>
      <c r="BH4" s="62">
        <f t="shared" ref="BH4:BH67" si="8">BG4+(AY4+AZ4)*44/12</f>
        <v>261.01801525869428</v>
      </c>
      <c r="BI4" s="62">
        <f ca="1">AVERAGE(OFFSET($BH$3,0,0,'Données projet'!$E$11+1,1))-AVERAGE(OFFSET($H$3,0,0,'Données projet'!$E$11+1,1))</f>
        <v>423.40903481736001</v>
      </c>
      <c r="BJ4" s="62">
        <f>$BJ$3</f>
        <v>263.03039552465799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3.9390243902439024</v>
      </c>
      <c r="BY4" s="13">
        <f>IF('Données projet'!$A$114&gt;35,BY3+BX4-CG3,IF(A4&lt;'Données projet'!$A$114,$BV$205^A4,IF(A4='Données projet'!$A$114,'Données projet'!$B$114,BY3+BX4-CG3)))</f>
        <v>3.9390243902439024</v>
      </c>
      <c r="BZ4" s="14">
        <f>BY4*VLOOKUP('Données projet'!$B$12,Paramètres!$A$1:$I$89,3,0)*VLOOKUP('Données projet'!$B$12,Paramètres!$A$1:$I$89,5,0)</f>
        <v>1.8434634146341462</v>
      </c>
      <c r="CA4" s="14">
        <f>EXP(-1.0587+0.8836*LN(BZ4)+0.284)</f>
        <v>0.79116438600539962</v>
      </c>
      <c r="CB4" s="22">
        <f t="shared" ref="CB4:CB67" si="10">(BZ4+CA4)*0.475*44/12</f>
        <v>4.5886434194472097</v>
      </c>
      <c r="CC4" s="62">
        <f t="shared" ref="CC4:CC67" si="11">CB4+(BT4+BU4)*44/12</f>
        <v>262.47753230833609</v>
      </c>
      <c r="CD4" s="62">
        <f ca="1">AVERAGE(OFFSET($CC$3,0,0,'Données projet'!$E$12+1,1))-AVERAGE(OFFSET($H$3,0,0,'Données projet'!$E$12+1,1))</f>
        <v>264.88170274686757</v>
      </c>
      <c r="CE4" s="62">
        <f>$CE$3</f>
        <v>160.81140876142001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1.0439615443779955</v>
      </c>
      <c r="CV4" s="14">
        <f>EXP(-1.0587+0.8836*LN(CU4)+0.284)</f>
        <v>0.478698084995758</v>
      </c>
      <c r="CW4" s="22">
        <f t="shared" ref="CW4:CW67" si="13">(CU4+CV4)*0.475*44/12</f>
        <v>2.6519655211592874</v>
      </c>
      <c r="CX4" s="62">
        <f t="shared" ref="CX4:CX67" si="14">CW4+(CO4+CP4)*44/12</f>
        <v>260.54085441004815</v>
      </c>
      <c r="CY4" s="62">
        <f ca="1">AVERAGE(OFFSET($CX$3,0,0,'Données projet'!$E$13+1,1))-AVERAGE(OFFSET($H$3,0,0,'Données projet'!$E$13+1,1))</f>
        <v>411.60020200960821</v>
      </c>
      <c r="CZ4" s="62">
        <f>$CZ$3</f>
        <v>261.95434270986397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</v>
      </c>
      <c r="DO4" s="13">
        <f>IF('Données projet'!$A$166&gt;35,DO3+DN4-DW3,IF(A4&lt;'Données projet'!$A$166,$DL$205^A4,IF(A4='Données projet'!$A$166,'Données projet'!$B$166,DO3+DN4-DW3)))</f>
        <v>1.2589254117941673</v>
      </c>
      <c r="DP4" s="18">
        <f>DO4*VLOOKUP('Données projet'!$B$14,Paramètres!$A$1:$I$89,3,0)*VLOOKUP('Données projet'!$B$14,Paramètres!$A$1:$I$89,5,0)</f>
        <v>0.8248479298075384</v>
      </c>
      <c r="DQ4" s="14">
        <f>EXP(-1.0587+0.8836*LN(DP4)+0.284)</f>
        <v>0.38874071845122965</v>
      </c>
      <c r="DR4" s="22">
        <f t="shared" ref="DR4:DR67" si="16">(DP4+DQ4)*0.475*44/12</f>
        <v>2.1136668957173543</v>
      </c>
      <c r="DS4" s="62">
        <f t="shared" ref="DS4:DS67" si="17">DR4+(DJ4+DK4)*44/12</f>
        <v>260.00255578460622</v>
      </c>
      <c r="DT4" s="62">
        <f ca="1">AVERAGE(OFFSET($DS$3,0,0,'Données projet'!$E$14+1,1))-AVERAGE(OFFSET($H$3,0,0,'Données projet'!$E$14+1,1))</f>
        <v>240.134073924311</v>
      </c>
      <c r="DU4" s="62">
        <f>$DU$3</f>
        <v>237.10378497981156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2.6666666666666665</v>
      </c>
      <c r="N5" s="14">
        <f>IF('Données projet'!$A$36&gt;35,N4+M5-V4,IF(A5&lt;'Données projet'!$A$36,$K$205^A5,IF(A5='Données projet'!$A$36,'Données projet'!$B$36,N4+M5-V4)))</f>
        <v>1.6353397711850939</v>
      </c>
      <c r="O5" s="14">
        <f>N5*VLOOKUP('Données projet'!$B$9,Paramètres!$A$1:$I$89,3,0)*VLOOKUP('Données projet'!$B$9,Paramètres!$A$1:$I$89,5,0)</f>
        <v>1.2755650215243732</v>
      </c>
      <c r="P5" s="14">
        <f t="shared" ref="P5:P68" si="33">EXP(-1.0587+0.8836*LN(O5)+0.284)</f>
        <v>0.57141400910743001</v>
      </c>
      <c r="Q5" s="22">
        <f t="shared" si="2"/>
        <v>3.2168218116837237</v>
      </c>
      <c r="R5" s="62">
        <f t="shared" si="0"/>
        <v>262.32793292279484</v>
      </c>
      <c r="S5" s="62">
        <f ca="1">AVERAGE(OFFSET($R$3,0,0,'Données projet'!$E$9+1,1))-AVERAGE(OFFSET($H$3,0,0,'Données projet'!$E$9+1,1))</f>
        <v>288.82868507674738</v>
      </c>
      <c r="T5" s="62">
        <f t="shared" ref="T5:T68" si="34">$T$3</f>
        <v>283.48738729114024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262.32044908771906</v>
      </c>
      <c r="AN5" s="62">
        <f ca="1">AVERAGE(OFFSET($AM$3,0,0,'Données projet'!$E$10+1,1))-AVERAGE(OFFSET($H$3,0,0,'Données projet'!$E$10+1,1))</f>
        <v>371.95849973474657</v>
      </c>
      <c r="AO5" s="62">
        <f t="shared" ref="AO5:AO68" si="36">$AO$3</f>
        <v>233.32640143610547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1.4699415598960408</v>
      </c>
      <c r="BF5" s="14">
        <f t="shared" ref="BF5:BF68" si="37">EXP(-1.0587+0.8836*LN(BE5)+0.284)</f>
        <v>0.64770672430277143</v>
      </c>
      <c r="BG5" s="22">
        <f t="shared" si="7"/>
        <v>3.6882374283129304</v>
      </c>
      <c r="BH5" s="62">
        <f t="shared" si="8"/>
        <v>262.79934853942405</v>
      </c>
      <c r="BI5" s="62">
        <f ca="1">AVERAGE(OFFSET($BH$3,0,0,'Données projet'!$E$11+1,1))-AVERAGE(OFFSET($H$3,0,0,'Données projet'!$E$11+1,1))</f>
        <v>423.40903481736001</v>
      </c>
      <c r="BJ5" s="62">
        <f t="shared" ref="BJ5:BJ68" si="38">$BJ$3</f>
        <v>263.03039552465799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3.9390243902439024</v>
      </c>
      <c r="BY5" s="13">
        <f>IF('Données projet'!$A$114&gt;35,BY4+BX5-CG4,IF(A5&lt;'Données projet'!$A$114,$BV$205^A5,IF(A5='Données projet'!$A$114,'Données projet'!$B$114,BY4+BX5-CG4)))</f>
        <v>7.8780487804878048</v>
      </c>
      <c r="BZ5" s="14">
        <f>BY5*VLOOKUP('Données projet'!$B$12,Paramètres!$A$1:$I$89,3,0)*VLOOKUP('Données projet'!$B$12,Paramètres!$A$1:$I$89,5,0)</f>
        <v>3.6869268292682924</v>
      </c>
      <c r="CA5" s="14">
        <f t="shared" ref="CA5:CA68" si="39">EXP(-1.0587+0.8836*LN(BZ5)+0.284)</f>
        <v>1.4596772307105794</v>
      </c>
      <c r="CB5" s="22">
        <f t="shared" si="10"/>
        <v>8.9636687377965352</v>
      </c>
      <c r="CC5" s="62">
        <f t="shared" si="11"/>
        <v>268.07477984890767</v>
      </c>
      <c r="CD5" s="62">
        <f ca="1">AVERAGE(OFFSET($CC$3,0,0,'Données projet'!$E$12+1,1))-AVERAGE(OFFSET($H$3,0,0,'Données projet'!$E$12+1,1))</f>
        <v>264.88170274686757</v>
      </c>
      <c r="CE5" s="62">
        <f t="shared" ref="CE5:CE68" si="40">$CE$3</f>
        <v>160.81140876142001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1.2937508382479692</v>
      </c>
      <c r="CV5" s="14">
        <f t="shared" ref="CV5:CV68" si="41">EXP(-1.0587+0.8836*LN(CU5)+0.284)</f>
        <v>0.57860648124254321</v>
      </c>
      <c r="CW5" s="22">
        <f t="shared" si="13"/>
        <v>3.2610223314459752</v>
      </c>
      <c r="CX5" s="62">
        <f t="shared" si="14"/>
        <v>262.37213344255713</v>
      </c>
      <c r="CY5" s="62">
        <f ca="1">AVERAGE(OFFSET($CX$3,0,0,'Données projet'!$E$13+1,1))-AVERAGE(OFFSET($H$3,0,0,'Données projet'!$E$13+1,1))</f>
        <v>411.60020200960821</v>
      </c>
      <c r="CZ5" s="62">
        <f t="shared" ref="CZ5:CZ68" si="42">$CZ$3</f>
        <v>261.95434270986397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</v>
      </c>
      <c r="DO5" s="13">
        <f>IF('Données projet'!$A$166&gt;35,DO4+DN5-DW4,IF(A5&lt;'Données projet'!$A$166,$DL$205^A5,IF(A5='Données projet'!$A$166,'Données projet'!$B$166,DO4+DN5-DW4)))</f>
        <v>1.5848931924611136</v>
      </c>
      <c r="DP5" s="18">
        <f>DO5*VLOOKUP('Données projet'!$B$14,Paramètres!$A$1:$I$89,3,0)*VLOOKUP('Données projet'!$B$14,Paramètres!$A$1:$I$89,5,0)</f>
        <v>1.0384220197005216</v>
      </c>
      <c r="DQ5" s="14">
        <f t="shared" ref="DQ5:DQ68" si="43">EXP(-1.0587+0.8836*LN(DP5)+0.284)</f>
        <v>0.47645296394014247</v>
      </c>
      <c r="DR5" s="22">
        <f t="shared" si="16"/>
        <v>2.6384072631741566</v>
      </c>
      <c r="DS5" s="62">
        <f t="shared" si="17"/>
        <v>261.74951837428529</v>
      </c>
      <c r="DT5" s="62">
        <f ca="1">AVERAGE(OFFSET($DS$3,0,0,'Données projet'!$E$14+1,1))-AVERAGE(OFFSET($H$3,0,0,'Données projet'!$E$14+1,1))</f>
        <v>240.134073924311</v>
      </c>
      <c r="DU5" s="62">
        <f t="shared" ref="DU5:DU68" si="44">$DU$3</f>
        <v>237.10378497981156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2.6666666666666665</v>
      </c>
      <c r="N6" s="14">
        <f>IF('Données projet'!$A$36&gt;35,N5+M6-V5,IF(A6&lt;'Données projet'!$A$36,$K$205^A6,IF(A6='Données projet'!$A$36,'Données projet'!$B$36,N5+M6-V5)))</f>
        <v>2.0912791051825459</v>
      </c>
      <c r="O6" s="14">
        <f>N6*VLOOKUP('Données projet'!$B$9,Paramètres!$A$1:$I$89,3,0)*VLOOKUP('Données projet'!$B$9,Paramètres!$A$1:$I$89,5,0)</f>
        <v>1.6311977020423858</v>
      </c>
      <c r="P6" s="14">
        <f t="shared" si="33"/>
        <v>0.71010553443370616</v>
      </c>
      <c r="Q6" s="22">
        <f t="shared" si="2"/>
        <v>4.0777698035291934</v>
      </c>
      <c r="R6" s="62">
        <f t="shared" si="0"/>
        <v>264.41110313686249</v>
      </c>
      <c r="S6" s="62">
        <f ca="1">AVERAGE(OFFSET($R$3,0,0,'Données projet'!$E$9+1,1))-AVERAGE(OFFSET($H$3,0,0,'Données projet'!$E$9+1,1))</f>
        <v>288.82868507674738</v>
      </c>
      <c r="T6" s="62">
        <f t="shared" si="34"/>
        <v>283.48738729114024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264.1161634225117</v>
      </c>
      <c r="AN6" s="62">
        <f ca="1">AVERAGE(OFFSET($AM$3,0,0,'Données projet'!$E$10+1,1))-AVERAGE(OFFSET($H$3,0,0,'Données projet'!$E$10+1,1))</f>
        <v>371.95849973474657</v>
      </c>
      <c r="AO6" s="62">
        <f t="shared" si="36"/>
        <v>233.32640143610547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1.743212786873882</v>
      </c>
      <c r="BF6" s="14">
        <f t="shared" si="37"/>
        <v>0.75302480251620674</v>
      </c>
      <c r="BG6" s="22">
        <f t="shared" si="7"/>
        <v>4.3476138015210708</v>
      </c>
      <c r="BH6" s="62">
        <f t="shared" si="8"/>
        <v>264.68094713485436</v>
      </c>
      <c r="BI6" s="62">
        <f ca="1">AVERAGE(OFFSET($BH$3,0,0,'Données projet'!$E$11+1,1))-AVERAGE(OFFSET($H$3,0,0,'Données projet'!$E$11+1,1))</f>
        <v>423.40903481736001</v>
      </c>
      <c r="BJ6" s="62">
        <f t="shared" si="38"/>
        <v>263.03039552465799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3.9390243902439024</v>
      </c>
      <c r="BY6" s="13">
        <f>IF('Données projet'!$A$114&gt;35,BY5+BX6-CG5,IF(A6&lt;'Données projet'!$A$114,$BV$205^A6,IF(A6='Données projet'!$A$114,'Données projet'!$B$114,BY5+BX6-CG5)))</f>
        <v>11.817073170731707</v>
      </c>
      <c r="BZ6" s="14">
        <f>BY6*VLOOKUP('Données projet'!$B$12,Paramètres!$A$1:$I$89,3,0)*VLOOKUP('Données projet'!$B$12,Paramètres!$A$1:$I$89,5,0)</f>
        <v>5.5303902439024393</v>
      </c>
      <c r="CA6" s="14">
        <f t="shared" si="39"/>
        <v>2.0885797842980214</v>
      </c>
      <c r="CB6" s="22">
        <f t="shared" si="10"/>
        <v>13.269706132449135</v>
      </c>
      <c r="CC6" s="62">
        <f t="shared" si="11"/>
        <v>273.60303946578244</v>
      </c>
      <c r="CD6" s="62">
        <f ca="1">AVERAGE(OFFSET($CC$3,0,0,'Données projet'!$E$12+1,1))-AVERAGE(OFFSET($H$3,0,0,'Données projet'!$E$12+1,1))</f>
        <v>264.88170274686757</v>
      </c>
      <c r="CE6" s="62">
        <f t="shared" si="40"/>
        <v>160.81140876142001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1.6033073636487132</v>
      </c>
      <c r="CV6" s="14">
        <f t="shared" si="41"/>
        <v>0.69936661672428513</v>
      </c>
      <c r="CW6" s="22">
        <f t="shared" si="13"/>
        <v>4.0104905158163051</v>
      </c>
      <c r="CX6" s="62">
        <f t="shared" si="14"/>
        <v>264.3438238491496</v>
      </c>
      <c r="CY6" s="62">
        <f ca="1">AVERAGE(OFFSET($CX$3,0,0,'Données projet'!$E$13+1,1))-AVERAGE(OFFSET($H$3,0,0,'Données projet'!$E$13+1,1))</f>
        <v>411.60020200960821</v>
      </c>
      <c r="CZ6" s="62">
        <f t="shared" si="42"/>
        <v>261.95434270986397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</v>
      </c>
      <c r="DO6" s="13">
        <f>IF('Données projet'!$A$166&gt;35,DO5+DN6-DW5,IF(A6&lt;'Données projet'!$A$166,$DL$205^A6,IF(A6='Données projet'!$A$166,'Données projet'!$B$166,DO5+DN6-DW5)))</f>
        <v>1.99526231496888</v>
      </c>
      <c r="DP6" s="18">
        <f>DO6*VLOOKUP('Données projet'!$B$14,Paramètres!$A$1:$I$89,3,0)*VLOOKUP('Données projet'!$B$14,Paramètres!$A$1:$I$89,5,0)</f>
        <v>1.3072958687676102</v>
      </c>
      <c r="DQ6" s="14">
        <f t="shared" si="43"/>
        <v>0.58395587617309608</v>
      </c>
      <c r="DR6" s="22">
        <f t="shared" si="16"/>
        <v>3.2939301224383963</v>
      </c>
      <c r="DS6" s="62">
        <f t="shared" si="17"/>
        <v>263.6272634557717</v>
      </c>
      <c r="DT6" s="62">
        <f ca="1">AVERAGE(OFFSET($DS$3,0,0,'Données projet'!$E$14+1,1))-AVERAGE(OFFSET($H$3,0,0,'Données projet'!$E$14+1,1))</f>
        <v>240.134073924311</v>
      </c>
      <c r="DU6" s="62">
        <f t="shared" si="44"/>
        <v>237.10378497981156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2.6666666666666665</v>
      </c>
      <c r="N7" s="14">
        <f>IF('Données projet'!$A$36&gt;35,N6+M7-V6,IF(A7&lt;'Données projet'!$A$36,$K$205^A7,IF(A7='Données projet'!$A$36,'Données projet'!$B$36,N6+M7-V6)))</f>
        <v>2.6743361672197152</v>
      </c>
      <c r="O7" s="14">
        <f>N7*VLOOKUP('Données projet'!$B$9,Paramètres!$A$1:$I$89,3,0)*VLOOKUP('Données projet'!$B$9,Paramètres!$A$1:$I$89,5,0)</f>
        <v>2.0859822104313781</v>
      </c>
      <c r="P7" s="14">
        <f t="shared" si="33"/>
        <v>0.88245976121767966</v>
      </c>
      <c r="Q7" s="22">
        <f t="shared" si="2"/>
        <v>5.1700364339554419</v>
      </c>
      <c r="R7" s="62">
        <f t="shared" si="0"/>
        <v>266.72559198951097</v>
      </c>
      <c r="S7" s="62">
        <f ca="1">AVERAGE(OFFSET($R$3,0,0,'Données projet'!$E$9+1,1))-AVERAGE(OFFSET($H$3,0,0,'Données projet'!$E$9+1,1))</f>
        <v>288.82868507674738</v>
      </c>
      <c r="T7" s="62">
        <f t="shared" si="34"/>
        <v>283.48738729114024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266.01473029332345</v>
      </c>
      <c r="AN7" s="62">
        <f ca="1">AVERAGE(OFFSET($AM$3,0,0,'Données projet'!$E$10+1,1))-AVERAGE(OFFSET($H$3,0,0,'Données projet'!$E$10+1,1))</f>
        <v>371.95849973474657</v>
      </c>
      <c r="AO7" s="62">
        <f t="shared" si="36"/>
        <v>233.32640143610547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2.0672868250187575</v>
      </c>
      <c r="BF7" s="14">
        <f t="shared" si="37"/>
        <v>0.87546775713186098</v>
      </c>
      <c r="BG7" s="22">
        <f t="shared" si="7"/>
        <v>5.1252975639123264</v>
      </c>
      <c r="BH7" s="62">
        <f t="shared" si="8"/>
        <v>266.68085311946788</v>
      </c>
      <c r="BI7" s="62">
        <f ca="1">AVERAGE(OFFSET($BH$3,0,0,'Données projet'!$E$11+1,1))-AVERAGE(OFFSET($H$3,0,0,'Données projet'!$E$11+1,1))</f>
        <v>423.40903481736001</v>
      </c>
      <c r="BJ7" s="62">
        <f t="shared" si="38"/>
        <v>263.03039552465799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3.9390243902439024</v>
      </c>
      <c r="BY7" s="13">
        <f>IF('Données projet'!$A$114&gt;35,BY6+BX7-CG6,IF(A7&lt;'Données projet'!$A$114,$BV$205^A7,IF(A7='Données projet'!$A$114,'Données projet'!$B$114,BY6+BX7-CG6)))</f>
        <v>15.75609756097561</v>
      </c>
      <c r="BZ7" s="14">
        <f>BY7*VLOOKUP('Données projet'!$B$12,Paramètres!$A$1:$I$89,3,0)*VLOOKUP('Données projet'!$B$12,Paramètres!$A$1:$I$89,5,0)</f>
        <v>7.3738536585365848</v>
      </c>
      <c r="CA7" s="14">
        <f t="shared" si="39"/>
        <v>2.6930656328106819</v>
      </c>
      <c r="CB7" s="22">
        <f t="shared" si="10"/>
        <v>17.533217765763155</v>
      </c>
      <c r="CC7" s="62">
        <f t="shared" si="11"/>
        <v>279.08877332131868</v>
      </c>
      <c r="CD7" s="62">
        <f ca="1">AVERAGE(OFFSET($CC$3,0,0,'Données projet'!$E$12+1,1))-AVERAGE(OFFSET($H$3,0,0,'Données projet'!$E$12+1,1))</f>
        <v>264.88170274686757</v>
      </c>
      <c r="CE7" s="62">
        <f t="shared" si="40"/>
        <v>160.81140876142001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1.9869316612859962</v>
      </c>
      <c r="CV7" s="14">
        <f t="shared" si="41"/>
        <v>0.84533042826968274</v>
      </c>
      <c r="CW7" s="22">
        <f t="shared" si="13"/>
        <v>4.9328564726428068</v>
      </c>
      <c r="CX7" s="62">
        <f t="shared" si="14"/>
        <v>266.48841202819835</v>
      </c>
      <c r="CY7" s="62">
        <f ca="1">AVERAGE(OFFSET($CX$3,0,0,'Données projet'!$E$13+1,1))-AVERAGE(OFFSET($H$3,0,0,'Données projet'!$E$13+1,1))</f>
        <v>411.60020200960821</v>
      </c>
      <c r="CZ7" s="62">
        <f t="shared" si="42"/>
        <v>261.95434270986397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</v>
      </c>
      <c r="DO7" s="13">
        <f>IF('Données projet'!$A$166&gt;35,DO6+DN7-DW6,IF(A7&lt;'Données projet'!$A$166,$DL$205^A7,IF(A7='Données projet'!$A$166,'Données projet'!$B$166,DO6+DN7-DW6)))</f>
        <v>2.5118864315095806</v>
      </c>
      <c r="DP7" s="18">
        <f>DO7*VLOOKUP('Données projet'!$B$14,Paramètres!$A$1:$I$89,3,0)*VLOOKUP('Données projet'!$B$14,Paramètres!$A$1:$I$89,5,0)</f>
        <v>1.6457879899250774</v>
      </c>
      <c r="DQ7" s="14">
        <f t="shared" si="43"/>
        <v>0.71571485776280996</v>
      </c>
      <c r="DR7" s="22">
        <f t="shared" si="16"/>
        <v>4.1129507930564033</v>
      </c>
      <c r="DS7" s="62">
        <f t="shared" si="17"/>
        <v>265.66850634861197</v>
      </c>
      <c r="DT7" s="62">
        <f ca="1">AVERAGE(OFFSET($DS$3,0,0,'Données projet'!$E$14+1,1))-AVERAGE(OFFSET($H$3,0,0,'Données projet'!$E$14+1,1))</f>
        <v>240.134073924311</v>
      </c>
      <c r="DU7" s="62">
        <f t="shared" si="44"/>
        <v>237.10378497981156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2.6666666666666665</v>
      </c>
      <c r="N8" s="14">
        <f>IF('Données projet'!$A$36&gt;35,N7+M8-V7,IF(A8&lt;'Données projet'!$A$36,$K$205^A8,IF(A8='Données projet'!$A$36,'Données projet'!$B$36,N7+M8-V7)))</f>
        <v>3.4199518933533928</v>
      </c>
      <c r="O8" s="14">
        <f>N8*VLOOKUP('Données projet'!$B$9,Paramètres!$A$1:$I$89,3,0)*VLOOKUP('Données projet'!$B$9,Paramètres!$A$1:$I$89,5,0)</f>
        <v>2.6675624768156463</v>
      </c>
      <c r="P8" s="14">
        <f t="shared" si="33"/>
        <v>1.0966471776471767</v>
      </c>
      <c r="Q8" s="22">
        <f t="shared" si="2"/>
        <v>6.5559984815227494</v>
      </c>
      <c r="R8" s="62">
        <f t="shared" si="0"/>
        <v>269.33377625930052</v>
      </c>
      <c r="S8" s="62">
        <f ca="1">AVERAGE(OFFSET($R$3,0,0,'Données projet'!$E$9+1,1))-AVERAGE(OFFSET($H$3,0,0,'Données projet'!$E$9+1,1))</f>
        <v>288.82868507674738</v>
      </c>
      <c r="T8" s="62">
        <f t="shared" si="34"/>
        <v>283.48738729114024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268.03465872166612</v>
      </c>
      <c r="AN8" s="62">
        <f ca="1">AVERAGE(OFFSET($AM$3,0,0,'Données projet'!$E$10+1,1))-AVERAGE(OFFSET($H$3,0,0,'Données projet'!$E$10+1,1))</f>
        <v>371.95849973474657</v>
      </c>
      <c r="AO8" s="62">
        <f t="shared" si="36"/>
        <v>233.32640143610547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2.4516082311214298</v>
      </c>
      <c r="BF8" s="14">
        <f t="shared" si="37"/>
        <v>1.0178201185624238</v>
      </c>
      <c r="BG8" s="22">
        <f t="shared" si="7"/>
        <v>6.0425877090327118</v>
      </c>
      <c r="BH8" s="62">
        <f t="shared" si="8"/>
        <v>268.82036548681049</v>
      </c>
      <c r="BI8" s="62">
        <f ca="1">AVERAGE(OFFSET($BH$3,0,0,'Données projet'!$E$11+1,1))-AVERAGE(OFFSET($H$3,0,0,'Données projet'!$E$11+1,1))</f>
        <v>423.40903481736001</v>
      </c>
      <c r="BJ8" s="62">
        <f t="shared" si="38"/>
        <v>263.03039552465799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3.9390243902439024</v>
      </c>
      <c r="BY8" s="13">
        <f>IF('Données projet'!$A$114&gt;35,BY7+BX8-CG7,IF(A8&lt;'Données projet'!$A$114,$BV$205^A8,IF(A8='Données projet'!$A$114,'Données projet'!$B$114,BY7+BX8-CG7)))</f>
        <v>19.695121951219512</v>
      </c>
      <c r="BZ8" s="14">
        <f>BY8*VLOOKUP('Données projet'!$B$12,Paramètres!$A$1:$I$89,3,0)*VLOOKUP('Données projet'!$B$12,Paramètres!$A$1:$I$89,5,0)</f>
        <v>9.2173170731707312</v>
      </c>
      <c r="CA8" s="14">
        <f t="shared" si="39"/>
        <v>3.2800210075219134</v>
      </c>
      <c r="CB8" s="22">
        <f t="shared" si="10"/>
        <v>21.766197157206353</v>
      </c>
      <c r="CC8" s="62">
        <f t="shared" si="11"/>
        <v>284.54397493498413</v>
      </c>
      <c r="CD8" s="62">
        <f ca="1">AVERAGE(OFFSET($CC$3,0,0,'Données projet'!$E$12+1,1))-AVERAGE(OFFSET($H$3,0,0,'Données projet'!$E$12+1,1))</f>
        <v>264.88170274686757</v>
      </c>
      <c r="CE8" s="62">
        <f t="shared" si="40"/>
        <v>160.81140876142001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2.462345970666743</v>
      </c>
      <c r="CV8" s="14">
        <f t="shared" si="41"/>
        <v>1.021758139251189</v>
      </c>
      <c r="CW8" s="22">
        <f t="shared" si="13"/>
        <v>6.068147991440398</v>
      </c>
      <c r="CX8" s="62">
        <f t="shared" si="14"/>
        <v>268.84592576921818</v>
      </c>
      <c r="CY8" s="62">
        <f ca="1">AVERAGE(OFFSET($CX$3,0,0,'Données projet'!$E$13+1,1))-AVERAGE(OFFSET($H$3,0,0,'Données projet'!$E$13+1,1))</f>
        <v>411.60020200960821</v>
      </c>
      <c r="CZ8" s="62">
        <f t="shared" si="42"/>
        <v>261.95434270986397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</v>
      </c>
      <c r="DO8" s="13">
        <f>IF('Données projet'!$A$166&gt;35,DO7+DN8-DW7,IF(A8&lt;'Données projet'!$A$166,$DL$205^A8,IF(A8='Données projet'!$A$166,'Données projet'!$B$166,DO7+DN8-DW7)))</f>
        <v>3.16227766016838</v>
      </c>
      <c r="DP8" s="18">
        <f>DO8*VLOOKUP('Données projet'!$B$14,Paramètres!$A$1:$I$89,3,0)*VLOOKUP('Données projet'!$B$14,Paramètres!$A$1:$I$89,5,0)</f>
        <v>2.0719243229423228</v>
      </c>
      <c r="DQ8" s="14">
        <f t="shared" si="43"/>
        <v>0.87720284789222491</v>
      </c>
      <c r="DR8" s="22">
        <f t="shared" si="16"/>
        <v>5.1363964892035039</v>
      </c>
      <c r="DS8" s="62">
        <f t="shared" si="17"/>
        <v>267.91417426698126</v>
      </c>
      <c r="DT8" s="62">
        <f ca="1">AVERAGE(OFFSET($DS$3,0,0,'Données projet'!$E$14+1,1))-AVERAGE(OFFSET($H$3,0,0,'Données projet'!$E$14+1,1))</f>
        <v>240.134073924311</v>
      </c>
      <c r="DU8" s="62">
        <f t="shared" si="44"/>
        <v>237.10378497981156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2.6666666666666665</v>
      </c>
      <c r="N9" s="14">
        <f>IF('Données projet'!$A$36&gt;35,N8+M9-V8,IF(A9&lt;'Données projet'!$A$36,$K$205^A9,IF(A9='Données projet'!$A$36,'Données projet'!$B$36,N8+M9-V8)))</f>
        <v>4.3734482957731098</v>
      </c>
      <c r="O9" s="14">
        <f>N9*VLOOKUP('Données projet'!$B$9,Paramètres!$A$1:$I$89,3,0)*VLOOKUP('Données projet'!$B$9,Paramètres!$A$1:$I$89,5,0)</f>
        <v>3.4112896707030256</v>
      </c>
      <c r="P9" s="14">
        <f t="shared" si="33"/>
        <v>1.3628213830192535</v>
      </c>
      <c r="Q9" s="22">
        <f t="shared" si="2"/>
        <v>8.3149100852329703</v>
      </c>
      <c r="R9" s="62">
        <f t="shared" si="0"/>
        <v>272.31491008523295</v>
      </c>
      <c r="S9" s="62">
        <f ca="1">AVERAGE(OFFSET($R$3,0,0,'Données projet'!$E$9+1,1))-AVERAGE(OFFSET($H$3,0,0,'Données projet'!$E$9+1,1))</f>
        <v>288.82868507674738</v>
      </c>
      <c r="T9" s="62">
        <f t="shared" si="34"/>
        <v>283.48738729114024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270.19779917460153</v>
      </c>
      <c r="AN9" s="62">
        <f ca="1">AVERAGE(OFFSET($AM$3,0,0,'Données projet'!$E$10+1,1))-AVERAGE(OFFSET($H$3,0,0,'Données projet'!$E$10+1,1))</f>
        <v>371.95849973474657</v>
      </c>
      <c r="AO9" s="62">
        <f t="shared" si="36"/>
        <v>233.32640143610547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2.9073773634908209</v>
      </c>
      <c r="BF9" s="14">
        <f t="shared" si="37"/>
        <v>1.1833191860136008</v>
      </c>
      <c r="BG9" s="22">
        <f t="shared" si="7"/>
        <v>7.124629823720201</v>
      </c>
      <c r="BH9" s="62">
        <f t="shared" si="8"/>
        <v>271.12462982372023</v>
      </c>
      <c r="BI9" s="62">
        <f ca="1">AVERAGE(OFFSET($BH$3,0,0,'Données projet'!$E$11+1,1))-AVERAGE(OFFSET($H$3,0,0,'Données projet'!$E$11+1,1))</f>
        <v>423.40903481736001</v>
      </c>
      <c r="BJ9" s="62">
        <f t="shared" si="38"/>
        <v>263.03039552465799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3.9390243902439024</v>
      </c>
      <c r="BY9" s="13">
        <f>IF('Données projet'!$A$114&gt;35,BY8+BX9-CG8,IF(A9&lt;'Données projet'!$A$114,$BV$205^A9,IF(A9='Données projet'!$A$114,'Données projet'!$B$114,BY8+BX9-CG8)))</f>
        <v>23.634146341463413</v>
      </c>
      <c r="BZ9" s="14">
        <f>BY9*VLOOKUP('Données projet'!$B$12,Paramètres!$A$1:$I$89,3,0)*VLOOKUP('Données projet'!$B$12,Paramètres!$A$1:$I$89,5,0)</f>
        <v>11.060780487804879</v>
      </c>
      <c r="CA9" s="14">
        <f t="shared" si="39"/>
        <v>3.8533741022582242</v>
      </c>
      <c r="CB9" s="22">
        <f t="shared" si="10"/>
        <v>25.975485911026567</v>
      </c>
      <c r="CC9" s="62">
        <f t="shared" si="11"/>
        <v>289.97548591102657</v>
      </c>
      <c r="CD9" s="62">
        <f ca="1">AVERAGE(OFFSET($CC$3,0,0,'Données projet'!$E$12+1,1))-AVERAGE(OFFSET($H$3,0,0,'Données projet'!$E$12+1,1))</f>
        <v>264.88170274686757</v>
      </c>
      <c r="CE9" s="62">
        <f t="shared" si="40"/>
        <v>160.81140876142001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3.0515129419874016</v>
      </c>
      <c r="CV9" s="14">
        <f t="shared" si="41"/>
        <v>1.2350078267772846</v>
      </c>
      <c r="CW9" s="22">
        <f t="shared" si="13"/>
        <v>7.4656903389318279</v>
      </c>
      <c r="CX9" s="62">
        <f t="shared" si="14"/>
        <v>271.46569033893184</v>
      </c>
      <c r="CY9" s="62">
        <f ca="1">AVERAGE(OFFSET($CX$3,0,0,'Données projet'!$E$13+1,1))-AVERAGE(OFFSET($H$3,0,0,'Données projet'!$E$13+1,1))</f>
        <v>411.60020200960821</v>
      </c>
      <c r="CZ9" s="62">
        <f t="shared" si="42"/>
        <v>261.95434270986397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</v>
      </c>
      <c r="DO9" s="13">
        <f>IF('Données projet'!$A$166&gt;35,DO8+DN9-DW8,IF(A9&lt;'Données projet'!$A$166,$DL$205^A9,IF(A9='Données projet'!$A$166,'Données projet'!$B$166,DO8+DN9-DW8)))</f>
        <v>3.9810717055349736</v>
      </c>
      <c r="DP9" s="18">
        <f>DO9*VLOOKUP('Données projet'!$B$14,Paramètres!$A$1:$I$89,3,0)*VLOOKUP('Données projet'!$B$14,Paramètres!$A$1:$I$89,5,0)</f>
        <v>2.6083981814665145</v>
      </c>
      <c r="DQ9" s="14">
        <f t="shared" si="43"/>
        <v>1.0751276545459663</v>
      </c>
      <c r="DR9" s="22">
        <f t="shared" si="16"/>
        <v>6.4154741643884039</v>
      </c>
      <c r="DS9" s="62">
        <f t="shared" si="17"/>
        <v>270.4154741643884</v>
      </c>
      <c r="DT9" s="62">
        <f ca="1">AVERAGE(OFFSET($DS$3,0,0,'Données projet'!$E$14+1,1))-AVERAGE(OFFSET($H$3,0,0,'Données projet'!$E$14+1,1))</f>
        <v>240.134073924311</v>
      </c>
      <c r="DU9" s="62">
        <f t="shared" si="44"/>
        <v>237.10378497981156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2.6666666666666665</v>
      </c>
      <c r="N10" s="14">
        <f>IF('Données projet'!$A$36&gt;35,N9+M10-V9,IF(A10&lt;'Données projet'!$A$36,$K$205^A10,IF(A10='Données projet'!$A$36,'Données projet'!$B$36,N9+M10-V9)))</f>
        <v>5.5927833467405659</v>
      </c>
      <c r="O10" s="14">
        <f>N10*VLOOKUP('Données projet'!$B$9,Paramètres!$A$1:$I$89,3,0)*VLOOKUP('Données projet'!$B$9,Paramètres!$A$1:$I$89,5,0)</f>
        <v>4.3623710104576414</v>
      </c>
      <c r="P10" s="14">
        <f t="shared" si="33"/>
        <v>1.6936004212396314</v>
      </c>
      <c r="Q10" s="22">
        <f t="shared" si="2"/>
        <v>10.54748357687275</v>
      </c>
      <c r="R10" s="62">
        <f t="shared" si="0"/>
        <v>275.76970579909499</v>
      </c>
      <c r="S10" s="62">
        <f ca="1">AVERAGE(OFFSET($R$3,0,0,'Données projet'!$E$9+1,1))-AVERAGE(OFFSET($H$3,0,0,'Données projet'!$E$9+1,1))</f>
        <v>288.82868507674738</v>
      </c>
      <c r="T10" s="62">
        <f t="shared" si="34"/>
        <v>283.48738729114024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272.5299485819337</v>
      </c>
      <c r="AN10" s="62">
        <f ca="1">AVERAGE(OFFSET($AM$3,0,0,'Données projet'!$E$10+1,1))-AVERAGE(OFFSET($H$3,0,0,'Données projet'!$E$10+1,1))</f>
        <v>371.95849973474657</v>
      </c>
      <c r="AO10" s="62">
        <f t="shared" si="36"/>
        <v>233.32640143610547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3.4478767963151622</v>
      </c>
      <c r="BF10" s="14">
        <f t="shared" si="37"/>
        <v>1.3757286483643154</v>
      </c>
      <c r="BG10" s="22">
        <f t="shared" si="7"/>
        <v>8.401112816150091</v>
      </c>
      <c r="BH10" s="62">
        <f t="shared" si="8"/>
        <v>273.62333503837232</v>
      </c>
      <c r="BI10" s="62">
        <f ca="1">AVERAGE(OFFSET($BH$3,0,0,'Données projet'!$E$11+1,1))-AVERAGE(OFFSET($H$3,0,0,'Données projet'!$E$11+1,1))</f>
        <v>423.40903481736001</v>
      </c>
      <c r="BJ10" s="62">
        <f t="shared" si="38"/>
        <v>263.03039552465799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3.9390243902439024</v>
      </c>
      <c r="BY10" s="13">
        <f>IF('Données projet'!$A$114&gt;35,BY9+BX10-CG9,IF(A10&lt;'Données projet'!$A$114,$BV$205^A10,IF(A10='Données projet'!$A$114,'Données projet'!$B$114,BY9+BX10-CG9)))</f>
        <v>27.573170731707314</v>
      </c>
      <c r="BZ10" s="14">
        <f>BY10*VLOOKUP('Données projet'!$B$12,Paramètres!$A$1:$I$89,3,0)*VLOOKUP('Données projet'!$B$12,Paramètres!$A$1:$I$89,5,0)</f>
        <v>12.904243902439024</v>
      </c>
      <c r="CA10" s="14">
        <f t="shared" si="39"/>
        <v>4.4156572716937301</v>
      </c>
      <c r="CB10" s="22">
        <f t="shared" si="10"/>
        <v>30.165494544947876</v>
      </c>
      <c r="CC10" s="62">
        <f t="shared" si="11"/>
        <v>295.3877167671701</v>
      </c>
      <c r="CD10" s="62">
        <f ca="1">AVERAGE(OFFSET($CC$3,0,0,'Données projet'!$E$12+1,1))-AVERAGE(OFFSET($H$3,0,0,'Données projet'!$E$12+1,1))</f>
        <v>264.88170274686757</v>
      </c>
      <c r="CE10" s="62">
        <f t="shared" si="40"/>
        <v>160.81140876142001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3.7816502416982529</v>
      </c>
      <c r="CV10" s="14">
        <f t="shared" si="41"/>
        <v>1.492764553183741</v>
      </c>
      <c r="CW10" s="22">
        <f t="shared" si="13"/>
        <v>9.1862724344194735</v>
      </c>
      <c r="CX10" s="62">
        <f t="shared" si="14"/>
        <v>274.40849465664172</v>
      </c>
      <c r="CY10" s="62">
        <f ca="1">AVERAGE(OFFSET($CX$3,0,0,'Données projet'!$E$13+1,1))-AVERAGE(OFFSET($H$3,0,0,'Données projet'!$E$13+1,1))</f>
        <v>411.60020200960821</v>
      </c>
      <c r="CZ10" s="62">
        <f t="shared" si="42"/>
        <v>261.95434270986397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</v>
      </c>
      <c r="DO10" s="13">
        <f>IF('Données projet'!$A$166&gt;35,DO9+DN10-DW9,IF(A10&lt;'Données projet'!$A$166,$DL$205^A10,IF(A10='Données projet'!$A$166,'Données projet'!$B$166,DO9+DN10-DW9)))</f>
        <v>5.0118723362727247</v>
      </c>
      <c r="DP10" s="18">
        <f>DO10*VLOOKUP('Données projet'!$B$14,Paramètres!$A$1:$I$89,3,0)*VLOOKUP('Données projet'!$B$14,Paramètres!$A$1:$I$89,5,0)</f>
        <v>3.2837787547258892</v>
      </c>
      <c r="DQ10" s="14">
        <f t="shared" si="43"/>
        <v>1.3177105801092055</v>
      </c>
      <c r="DR10" s="22">
        <f t="shared" si="16"/>
        <v>8.0142605915044562</v>
      </c>
      <c r="DS10" s="62">
        <f t="shared" si="17"/>
        <v>273.2364828137267</v>
      </c>
      <c r="DT10" s="62">
        <f ca="1">AVERAGE(OFFSET($DS$3,0,0,'Données projet'!$E$14+1,1))-AVERAGE(OFFSET($H$3,0,0,'Données projet'!$E$14+1,1))</f>
        <v>240.134073924311</v>
      </c>
      <c r="DU10" s="62">
        <f t="shared" si="44"/>
        <v>237.10378497981156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2.6666666666666665</v>
      </c>
      <c r="N11" s="14">
        <f>IF('Données projet'!$A$36&gt;35,N10+M11-V10,IF(A11&lt;'Données projet'!$A$36,$K$205^A11,IF(A11='Données projet'!$A$36,'Données projet'!$B$36,N10+M11-V10)))</f>
        <v>7.1520739352994367</v>
      </c>
      <c r="O11" s="14">
        <f>N11*VLOOKUP('Données projet'!$B$9,Paramètres!$A$1:$I$89,3,0)*VLOOKUP('Données projet'!$B$9,Paramètres!$A$1:$I$89,5,0)</f>
        <v>5.5786176695335605</v>
      </c>
      <c r="P11" s="14">
        <f t="shared" si="33"/>
        <v>2.1046649418345189</v>
      </c>
      <c r="Q11" s="22">
        <f t="shared" si="2"/>
        <v>13.381717214799407</v>
      </c>
      <c r="R11" s="62">
        <f t="shared" si="0"/>
        <v>279.82616165924384</v>
      </c>
      <c r="S11" s="62">
        <f ca="1">AVERAGE(OFFSET($R$3,0,0,'Données projet'!$E$9+1,1))-AVERAGE(OFFSET($H$3,0,0,'Données projet'!$E$9+1,1))</f>
        <v>288.82868507674738</v>
      </c>
      <c r="T11" s="62">
        <f t="shared" si="34"/>
        <v>283.48738729114024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275.06156519923923</v>
      </c>
      <c r="AN11" s="62">
        <f ca="1">AVERAGE(OFFSET($AM$3,0,0,'Données projet'!$E$10+1,1))-AVERAGE(OFFSET($H$3,0,0,'Données projet'!$E$10+1,1))</f>
        <v>371.95849973474657</v>
      </c>
      <c r="AO11" s="62">
        <f t="shared" si="36"/>
        <v>233.32640143610547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4.0888584164716182</v>
      </c>
      <c r="BF11" s="14">
        <f t="shared" si="37"/>
        <v>1.5994241759116992</v>
      </c>
      <c r="BG11" s="22">
        <f t="shared" si="7"/>
        <v>9.9070921817342779</v>
      </c>
      <c r="BH11" s="62">
        <f t="shared" si="8"/>
        <v>276.35153662617876</v>
      </c>
      <c r="BI11" s="62">
        <f ca="1">AVERAGE(OFFSET($BH$3,0,0,'Données projet'!$E$11+1,1))-AVERAGE(OFFSET($H$3,0,0,'Données projet'!$E$11+1,1))</f>
        <v>423.40903481736001</v>
      </c>
      <c r="BJ11" s="62">
        <f t="shared" si="38"/>
        <v>263.03039552465799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3.9390243902439024</v>
      </c>
      <c r="BY11" s="13">
        <f>IF('Données projet'!$A$114&gt;35,BY10+BX11-CG10,IF(A11&lt;'Données projet'!$A$114,$BV$205^A11,IF(A11='Données projet'!$A$114,'Données projet'!$B$114,BY10+BX11-CG10)))</f>
        <v>31.512195121951216</v>
      </c>
      <c r="BZ11" s="14">
        <f>BY11*VLOOKUP('Données projet'!$B$12,Paramètres!$A$1:$I$89,3,0)*VLOOKUP('Données projet'!$B$12,Paramètres!$A$1:$I$89,5,0)</f>
        <v>14.747707317073168</v>
      </c>
      <c r="CA11" s="14">
        <f t="shared" si="39"/>
        <v>4.9686344008362626</v>
      </c>
      <c r="CB11" s="22">
        <f t="shared" si="10"/>
        <v>34.339295158692252</v>
      </c>
      <c r="CC11" s="62">
        <f t="shared" si="11"/>
        <v>300.78373960313672</v>
      </c>
      <c r="CD11" s="62">
        <f ca="1">AVERAGE(OFFSET($CC$3,0,0,'Données projet'!$E$12+1,1))-AVERAGE(OFFSET($H$3,0,0,'Données projet'!$E$12+1,1))</f>
        <v>264.88170274686757</v>
      </c>
      <c r="CE11" s="62">
        <f t="shared" si="40"/>
        <v>160.81140876142001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4.6864879233389463</v>
      </c>
      <c r="CV11" s="14">
        <f t="shared" si="41"/>
        <v>1.8043173192324258</v>
      </c>
      <c r="CW11" s="22">
        <f t="shared" si="13"/>
        <v>11.304819130811806</v>
      </c>
      <c r="CX11" s="62">
        <f t="shared" si="14"/>
        <v>277.74926357525624</v>
      </c>
      <c r="CY11" s="62">
        <f ca="1">AVERAGE(OFFSET($CX$3,0,0,'Données projet'!$E$13+1,1))-AVERAGE(OFFSET($H$3,0,0,'Données projet'!$E$13+1,1))</f>
        <v>411.60020200960821</v>
      </c>
      <c r="CZ11" s="62">
        <f t="shared" si="42"/>
        <v>261.95434270986397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</v>
      </c>
      <c r="DO11" s="13">
        <f>IF('Données projet'!$A$166&gt;35,DO10+DN11-DW10,IF(A11&lt;'Données projet'!$A$166,$DL$205^A11,IF(A11='Données projet'!$A$166,'Données projet'!$B$166,DO10+DN11-DW10)))</f>
        <v>6.3095734448019352</v>
      </c>
      <c r="DP11" s="18">
        <f>DO11*VLOOKUP('Données projet'!$B$14,Paramètres!$A$1:$I$89,3,0)*VLOOKUP('Données projet'!$B$14,Paramètres!$A$1:$I$89,5,0)</f>
        <v>4.1340325210342277</v>
      </c>
      <c r="DQ11" s="14">
        <f t="shared" si="43"/>
        <v>1.6150279137457551</v>
      </c>
      <c r="DR11" s="22">
        <f t="shared" si="16"/>
        <v>10.012946923908471</v>
      </c>
      <c r="DS11" s="62">
        <f t="shared" si="17"/>
        <v>276.45739136835294</v>
      </c>
      <c r="DT11" s="62">
        <f ca="1">AVERAGE(OFFSET($DS$3,0,0,'Données projet'!$E$14+1,1))-AVERAGE(OFFSET($H$3,0,0,'Données projet'!$E$14+1,1))</f>
        <v>240.134073924311</v>
      </c>
      <c r="DU11" s="62">
        <f t="shared" si="44"/>
        <v>237.10378497981156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2.6666666666666665</v>
      </c>
      <c r="N12" s="14">
        <f>IF('Données projet'!$A$36&gt;35,N11+M12-V11,IF(A12&lt;'Données projet'!$A$36,$K$205^A12,IF(A12='Données projet'!$A$36,'Données projet'!$B$36,N11+M12-V11)))</f>
        <v>9.1461010385465205</v>
      </c>
      <c r="O12" s="14">
        <f>N12*VLOOKUP('Données projet'!$B$9,Paramètres!$A$1:$I$89,3,0)*VLOOKUP('Données projet'!$B$9,Paramètres!$A$1:$I$89,5,0)</f>
        <v>7.1339588100662858</v>
      </c>
      <c r="P12" s="14">
        <f t="shared" si="33"/>
        <v>2.6155015444227643</v>
      </c>
      <c r="Q12" s="22">
        <f t="shared" si="2"/>
        <v>16.980310117401761</v>
      </c>
      <c r="R12" s="62">
        <f t="shared" si="0"/>
        <v>284.64697678406844</v>
      </c>
      <c r="S12" s="62">
        <f ca="1">AVERAGE(OFFSET($R$3,0,0,'Données projet'!$E$9+1,1))-AVERAGE(OFFSET($H$3,0,0,'Données projet'!$E$9+1,1))</f>
        <v>288.82868507674738</v>
      </c>
      <c r="T12" s="62">
        <f t="shared" si="34"/>
        <v>283.48738729114024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277.8286133100172</v>
      </c>
      <c r="AN12" s="62">
        <f ca="1">AVERAGE(OFFSET($AM$3,0,0,'Données projet'!$E$10+1,1))-AVERAGE(OFFSET($H$3,0,0,'Données projet'!$E$10+1,1))</f>
        <v>371.95849973474657</v>
      </c>
      <c r="AO12" s="62">
        <f t="shared" si="36"/>
        <v>233.32640143610547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4.8490024840268591</v>
      </c>
      <c r="BF12" s="14">
        <f t="shared" si="37"/>
        <v>1.8594929294613169</v>
      </c>
      <c r="BG12" s="22">
        <f t="shared" si="7"/>
        <v>11.683962845158574</v>
      </c>
      <c r="BH12" s="62">
        <f t="shared" si="8"/>
        <v>279.35062951182528</v>
      </c>
      <c r="BI12" s="62">
        <f ca="1">AVERAGE(OFFSET($BH$3,0,0,'Données projet'!$E$11+1,1))-AVERAGE(OFFSET($H$3,0,0,'Données projet'!$E$11+1,1))</f>
        <v>423.40903481736001</v>
      </c>
      <c r="BJ12" s="62">
        <f t="shared" si="38"/>
        <v>263.03039552465799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3.9390243902439024</v>
      </c>
      <c r="BY12" s="13">
        <f>IF('Données projet'!$A$114&gt;35,BY11+BX12-CG11,IF(A12&lt;'Données projet'!$A$114,$BV$205^A12,IF(A12='Données projet'!$A$114,'Données projet'!$B$114,BY11+BX12-CG11)))</f>
        <v>35.451219512195117</v>
      </c>
      <c r="BZ12" s="14">
        <f>BY12*VLOOKUP('Données projet'!$B$12,Paramètres!$A$1:$I$89,3,0)*VLOOKUP('Données projet'!$B$12,Paramètres!$A$1:$I$89,5,0)</f>
        <v>16.591170731707315</v>
      </c>
      <c r="CA12" s="14">
        <f t="shared" si="39"/>
        <v>5.5136019676049957</v>
      </c>
      <c r="CB12" s="22">
        <f t="shared" si="10"/>
        <v>38.499145784635608</v>
      </c>
      <c r="CC12" s="62">
        <f t="shared" si="11"/>
        <v>306.16581245130232</v>
      </c>
      <c r="CD12" s="62">
        <f ca="1">AVERAGE(OFFSET($CC$3,0,0,'Données projet'!$E$12+1,1))-AVERAGE(OFFSET($H$3,0,0,'Données projet'!$E$12+1,1))</f>
        <v>264.88170274686757</v>
      </c>
      <c r="CE12" s="62">
        <f t="shared" si="40"/>
        <v>160.81140876142001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5.8078266502347455</v>
      </c>
      <c r="CV12" s="14">
        <f t="shared" si="41"/>
        <v>2.1808938198181922</v>
      </c>
      <c r="CW12" s="22">
        <f t="shared" si="13"/>
        <v>13.913688152008866</v>
      </c>
      <c r="CX12" s="62">
        <f t="shared" si="14"/>
        <v>281.58035481867557</v>
      </c>
      <c r="CY12" s="62">
        <f ca="1">AVERAGE(OFFSET($CX$3,0,0,'Données projet'!$E$13+1,1))-AVERAGE(OFFSET($H$3,0,0,'Données projet'!$E$13+1,1))</f>
        <v>411.60020200960821</v>
      </c>
      <c r="CZ12" s="62">
        <f t="shared" si="42"/>
        <v>261.95434270986397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</v>
      </c>
      <c r="DO12" s="13">
        <f>IF('Données projet'!$A$166&gt;35,DO11+DN12-DW11,IF(A12&lt;'Données projet'!$A$166,$DL$205^A12,IF(A12='Données projet'!$A$166,'Données projet'!$B$166,DO11+DN12-DW11)))</f>
        <v>7.9432823472428185</v>
      </c>
      <c r="DP12" s="18">
        <f>DO12*VLOOKUP('Données projet'!$B$14,Paramètres!$A$1:$I$89,3,0)*VLOOKUP('Données projet'!$B$14,Paramètres!$A$1:$I$89,5,0)</f>
        <v>5.2044385939134949</v>
      </c>
      <c r="DQ12" s="14">
        <f t="shared" si="43"/>
        <v>1.9794294752963142</v>
      </c>
      <c r="DR12" s="22">
        <f t="shared" si="16"/>
        <v>12.511903553873749</v>
      </c>
      <c r="DS12" s="62">
        <f t="shared" si="17"/>
        <v>280.17857022054045</v>
      </c>
      <c r="DT12" s="62">
        <f ca="1">AVERAGE(OFFSET($DS$3,0,0,'Données projet'!$E$14+1,1))-AVERAGE(OFFSET($H$3,0,0,'Données projet'!$E$14+1,1))</f>
        <v>240.134073924311</v>
      </c>
      <c r="DU12" s="62">
        <f t="shared" si="44"/>
        <v>237.10378497981156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2.6666666666666665</v>
      </c>
      <c r="N13" s="14">
        <f>IF('Données projet'!$A$36&gt;35,N12+M13-V12,IF(A13&lt;'Données projet'!$A$36,$K$205^A13,IF(A13='Données projet'!$A$36,'Données projet'!$B$36,N12+M13-V12)))</f>
        <v>11.696070952851455</v>
      </c>
      <c r="O13" s="14">
        <f>N13*VLOOKUP('Données projet'!$B$9,Paramètres!$A$1:$I$89,3,0)*VLOOKUP('Données projet'!$B$9,Paramètres!$A$1:$I$89,5,0)</f>
        <v>9.1229353432241354</v>
      </c>
      <c r="P13" s="14">
        <f t="shared" si="33"/>
        <v>3.2503265450485803</v>
      </c>
      <c r="Q13" s="22">
        <f t="shared" si="2"/>
        <v>21.550097788741649</v>
      </c>
      <c r="R13" s="62">
        <f t="shared" si="0"/>
        <v>290.43898667763051</v>
      </c>
      <c r="S13" s="62">
        <f ca="1">AVERAGE(OFFSET($R$3,0,0,'Données projet'!$E$9+1,1))-AVERAGE(OFFSET($H$3,0,0,'Données projet'!$E$9+1,1))</f>
        <v>288.82868507674738</v>
      </c>
      <c r="T13" s="62">
        <f t="shared" si="34"/>
        <v>283.48738729114024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280.87356140756339</v>
      </c>
      <c r="AN13" s="62">
        <f ca="1">AVERAGE(OFFSET($AM$3,0,0,'Données projet'!$E$10+1,1))-AVERAGE(OFFSET($H$3,0,0,'Données projet'!$E$10+1,1))</f>
        <v>371.95849973474657</v>
      </c>
      <c r="AO13" s="62">
        <f t="shared" si="36"/>
        <v>233.32640143610547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5.7504620349237907</v>
      </c>
      <c r="BF13" s="14">
        <f t="shared" si="37"/>
        <v>2.1618492497436925</v>
      </c>
      <c r="BG13" s="22">
        <f t="shared" si="7"/>
        <v>13.780608820795868</v>
      </c>
      <c r="BH13" s="62">
        <f t="shared" si="8"/>
        <v>282.66949770968472</v>
      </c>
      <c r="BI13" s="62">
        <f ca="1">AVERAGE(OFFSET($BH$3,0,0,'Données projet'!$E$11+1,1))-AVERAGE(OFFSET($H$3,0,0,'Données projet'!$E$11+1,1))</f>
        <v>423.40903481736001</v>
      </c>
      <c r="BJ13" s="62">
        <f t="shared" si="38"/>
        <v>263.03039552465799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3.9390243902439024</v>
      </c>
      <c r="BY13" s="13">
        <f>IF('Données projet'!$A$114&gt;35,BY12+BX13-CG12,IF(A13&lt;'Données projet'!$A$114,$BV$205^A13,IF(A13='Données projet'!$A$114,'Données projet'!$B$114,BY12+BX13-CG12)))</f>
        <v>39.390243902439018</v>
      </c>
      <c r="BZ13" s="14">
        <f>BY13*VLOOKUP('Données projet'!$B$12,Paramètres!$A$1:$I$89,3,0)*VLOOKUP('Données projet'!$B$12,Paramètres!$A$1:$I$89,5,0)</f>
        <v>18.434634146341462</v>
      </c>
      <c r="CA13" s="14">
        <f t="shared" si="39"/>
        <v>6.0515514419268062</v>
      </c>
      <c r="CB13" s="22">
        <f t="shared" si="10"/>
        <v>42.646773232900564</v>
      </c>
      <c r="CC13" s="62">
        <f t="shared" si="11"/>
        <v>311.53566212178941</v>
      </c>
      <c r="CD13" s="62">
        <f ca="1">AVERAGE(OFFSET($CC$3,0,0,'Données projet'!$E$12+1,1))-AVERAGE(OFFSET($H$3,0,0,'Données projet'!$E$12+1,1))</f>
        <v>264.88170274686757</v>
      </c>
      <c r="CE13" s="62">
        <f t="shared" si="40"/>
        <v>160.81140876142001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7.1974687550554899</v>
      </c>
      <c r="CV13" s="14">
        <f t="shared" si="41"/>
        <v>2.6360650660630816</v>
      </c>
      <c r="CW13" s="22">
        <f t="shared" si="13"/>
        <v>17.126738071781514</v>
      </c>
      <c r="CX13" s="62">
        <f t="shared" si="14"/>
        <v>286.01562696067037</v>
      </c>
      <c r="CY13" s="62">
        <f ca="1">AVERAGE(OFFSET($CX$3,0,0,'Données projet'!$E$13+1,1))-AVERAGE(OFFSET($H$3,0,0,'Données projet'!$E$13+1,1))</f>
        <v>411.60020200960821</v>
      </c>
      <c r="CZ13" s="62">
        <f t="shared" si="42"/>
        <v>261.95434270986397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10</v>
      </c>
      <c r="DM13" s="13">
        <f>VLOOKUP(A13,'Données projet'!$A$165:$I$185,9,0)</f>
        <v>1</v>
      </c>
      <c r="DN13" s="13">
        <f t="array" ref="DN13">INDEX(DM:DM,MIN(IF(ISNUMBER(DM13:DM209),ROW(DM13:DM209),"")))</f>
        <v>1</v>
      </c>
      <c r="DO13" s="13">
        <f>IF('Données projet'!$A$166&gt;35,DO12+DN13-DW12,IF(A13&lt;'Données projet'!$A$166,$DL$205^A13,IF(A13='Données projet'!$A$166,'Données projet'!$B$166,DO12+DN13-DW12)))</f>
        <v>10</v>
      </c>
      <c r="DP13" s="18">
        <f>DO13*VLOOKUP('Données projet'!$B$14,Paramètres!$A$1:$I$89,3,0)*VLOOKUP('Données projet'!$B$14,Paramètres!$A$1:$I$89,5,0)</f>
        <v>6.5520000000000005</v>
      </c>
      <c r="DQ13" s="14">
        <f t="shared" si="43"/>
        <v>2.426051595965574</v>
      </c>
      <c r="DR13" s="22">
        <f t="shared" si="16"/>
        <v>15.636773196306708</v>
      </c>
      <c r="DS13" s="62">
        <f t="shared" si="17"/>
        <v>284.52566208519556</v>
      </c>
      <c r="DT13" s="62">
        <f ca="1">AVERAGE(OFFSET($DS$3,0,0,'Données projet'!$E$14+1,1))-AVERAGE(OFFSET($H$3,0,0,'Données projet'!$E$14+1,1))</f>
        <v>240.134073924311</v>
      </c>
      <c r="DU13" s="62">
        <f t="shared" si="44"/>
        <v>237.10378497981156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1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1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0.61819883444945034</v>
      </c>
      <c r="ED13" s="24">
        <f t="shared" si="18"/>
        <v>0.61819883444945034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2.6666666666666665</v>
      </c>
      <c r="N14" s="14">
        <f>IF('Données projet'!$A$36&gt;35,N13+M14-V13,IF(A14&lt;'Données projet'!$A$36,$K$205^A14,IF(A14='Données projet'!$A$36,'Données projet'!$B$36,N13+M14-V13)))</f>
        <v>14.956982779612416</v>
      </c>
      <c r="O14" s="14">
        <f>N14*VLOOKUP('Données projet'!$B$9,Paramètres!$A$1:$I$89,3,0)*VLOOKUP('Données projet'!$B$9,Paramètres!$A$1:$I$89,5,0)</f>
        <v>11.666446568097685</v>
      </c>
      <c r="P14" s="14">
        <f t="shared" si="33"/>
        <v>4.0392339557111736</v>
      </c>
      <c r="Q14" s="22">
        <f t="shared" si="2"/>
        <v>27.354060245633761</v>
      </c>
      <c r="R14" s="62">
        <f t="shared" si="0"/>
        <v>297.46517135674492</v>
      </c>
      <c r="S14" s="62">
        <f ca="1">AVERAGE(OFFSET($R$3,0,0,'Données projet'!$E$9+1,1))-AVERAGE(OFFSET($H$3,0,0,'Données projet'!$E$9+1,1))</f>
        <v>288.82868507674738</v>
      </c>
      <c r="T14" s="62">
        <f t="shared" si="34"/>
        <v>283.48738729114024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284.24656181124851</v>
      </c>
      <c r="AN14" s="62">
        <f ca="1">AVERAGE(OFFSET($AM$3,0,0,'Données projet'!$E$10+1,1))-AVERAGE(OFFSET($H$3,0,0,'Données projet'!$E$10+1,1))</f>
        <v>371.95849973474657</v>
      </c>
      <c r="AO14" s="62">
        <f t="shared" si="36"/>
        <v>233.32640143610547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6.8195084914946591</v>
      </c>
      <c r="BF14" s="14">
        <f t="shared" si="37"/>
        <v>2.5133691581022974</v>
      </c>
      <c r="BG14" s="22">
        <f t="shared" si="7"/>
        <v>16.254761906381365</v>
      </c>
      <c r="BH14" s="62">
        <f t="shared" si="8"/>
        <v>286.3658730174925</v>
      </c>
      <c r="BI14" s="62">
        <f ca="1">AVERAGE(OFFSET($BH$3,0,0,'Données projet'!$E$11+1,1))-AVERAGE(OFFSET($H$3,0,0,'Données projet'!$E$11+1,1))</f>
        <v>423.40903481736001</v>
      </c>
      <c r="BJ14" s="62">
        <f t="shared" si="38"/>
        <v>263.03039552465799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3.9390243902439024</v>
      </c>
      <c r="BY14" s="13">
        <f>IF('Données projet'!$A$114&gt;35,BY13+BX14-CG13,IF(A14&lt;'Données projet'!$A$114,$BV$205^A14,IF(A14='Données projet'!$A$114,'Données projet'!$B$114,BY13+BX14-CG13)))</f>
        <v>43.329268292682919</v>
      </c>
      <c r="BZ14" s="14">
        <f>BY14*VLOOKUP('Données projet'!$B$12,Paramètres!$A$1:$I$89,3,0)*VLOOKUP('Données projet'!$B$12,Paramètres!$A$1:$I$89,5,0)</f>
        <v>20.278097560975606</v>
      </c>
      <c r="CA14" s="14">
        <f t="shared" si="39"/>
        <v>6.5832645250002404</v>
      </c>
      <c r="CB14" s="22">
        <f t="shared" si="10"/>
        <v>46.783538966407939</v>
      </c>
      <c r="CC14" s="62">
        <f t="shared" si="11"/>
        <v>316.89465007751909</v>
      </c>
      <c r="CD14" s="62">
        <f ca="1">AVERAGE(OFFSET($CC$3,0,0,'Données projet'!$E$12+1,1))-AVERAGE(OFFSET($H$3,0,0,'Données projet'!$E$12+1,1))</f>
        <v>264.88170274686757</v>
      </c>
      <c r="CE14" s="62">
        <f t="shared" si="40"/>
        <v>160.81140876142001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8.9196113451330703</v>
      </c>
      <c r="CV14" s="14">
        <f t="shared" si="41"/>
        <v>3.186234455512118</v>
      </c>
      <c r="CW14" s="22">
        <f t="shared" si="13"/>
        <v>21.084348102790369</v>
      </c>
      <c r="CX14" s="62">
        <f t="shared" si="14"/>
        <v>291.19545921390153</v>
      </c>
      <c r="CY14" s="62">
        <f ca="1">AVERAGE(OFFSET($CX$3,0,0,'Données projet'!$E$13+1,1))-AVERAGE(OFFSET($H$3,0,0,'Données projet'!$E$13+1,1))</f>
        <v>411.60020200960821</v>
      </c>
      <c r="CZ14" s="62">
        <f t="shared" si="42"/>
        <v>261.95434270986397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6.2</v>
      </c>
      <c r="DO14" s="13">
        <f>IF('Données projet'!$A$166&gt;35,DO13+DN14-DW13,IF(A14&lt;'Données projet'!$A$166,$DL$205^A14,IF(A14='Données projet'!$A$166,'Données projet'!$B$166,DO13+DN14-DW13)))</f>
        <v>15.2</v>
      </c>
      <c r="DP14" s="18">
        <f>DO14*VLOOKUP('Données projet'!$B$14,Paramètres!$A$1:$I$89,3,0)*VLOOKUP('Données projet'!$B$14,Paramètres!$A$1:$I$89,5,0)</f>
        <v>9.9590399999999999</v>
      </c>
      <c r="DQ14" s="14">
        <f t="shared" si="43"/>
        <v>3.5121821170938623</v>
      </c>
      <c r="DR14" s="22">
        <f t="shared" si="16"/>
        <v>23.462378520605142</v>
      </c>
      <c r="DS14" s="62">
        <f t="shared" si="17"/>
        <v>293.57348963171626</v>
      </c>
      <c r="DT14" s="62">
        <f ca="1">AVERAGE(OFFSET($DS$3,0,0,'Données projet'!$E$14+1,1))-AVERAGE(OFFSET($H$3,0,0,'Données projet'!$E$14+1,1))</f>
        <v>240.134073924311</v>
      </c>
      <c r="DU14" s="62">
        <f t="shared" si="44"/>
        <v>237.10378497981156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0.43713258796082621</v>
      </c>
      <c r="ED14" s="24">
        <f t="shared" si="18"/>
        <v>0.43713258796082621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2.6666666666666665</v>
      </c>
      <c r="N15" s="14">
        <f>IF('Données projet'!$A$36&gt;35,N14+M15-V14,IF(A15&lt;'Données projet'!$A$36,$K$205^A15,IF(A15='Données projet'!$A$36,'Données projet'!$B$36,N14+M15-V14)))</f>
        <v>19.127049995800721</v>
      </c>
      <c r="O15" s="14">
        <f>N15*VLOOKUP('Données projet'!$B$9,Paramètres!$A$1:$I$89,3,0)*VLOOKUP('Données projet'!$B$9,Paramètres!$A$1:$I$89,5,0)</f>
        <v>14.919098996724562</v>
      </c>
      <c r="P15" s="14">
        <f t="shared" si="33"/>
        <v>5.019622097301081</v>
      </c>
      <c r="Q15" s="22">
        <f t="shared" si="2"/>
        <v>34.726605905427995</v>
      </c>
      <c r="R15" s="62">
        <f t="shared" si="0"/>
        <v>306.05993923876133</v>
      </c>
      <c r="S15" s="62">
        <f ca="1">AVERAGE(OFFSET($R$3,0,0,'Données projet'!$E$9+1,1))-AVERAGE(OFFSET($H$3,0,0,'Données projet'!$E$9+1,1))</f>
        <v>288.82868507674738</v>
      </c>
      <c r="T15" s="62">
        <f t="shared" si="34"/>
        <v>283.48738729114024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288.00684477481775</v>
      </c>
      <c r="AN15" s="62">
        <f ca="1">AVERAGE(OFFSET($AM$3,0,0,'Données projet'!$E$10+1,1))-AVERAGE(OFFSET($H$3,0,0,'Données projet'!$E$10+1,1))</f>
        <v>371.95849973474657</v>
      </c>
      <c r="AO15" s="62">
        <f t="shared" si="36"/>
        <v>233.32640143610547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8.0872972959613829</v>
      </c>
      <c r="BF15" s="14">
        <f t="shared" si="37"/>
        <v>2.9220467271937638</v>
      </c>
      <c r="BG15" s="22">
        <f t="shared" si="7"/>
        <v>19.174607506995212</v>
      </c>
      <c r="BH15" s="62">
        <f t="shared" si="8"/>
        <v>290.5079408403285</v>
      </c>
      <c r="BI15" s="62">
        <f ca="1">AVERAGE(OFFSET($BH$3,0,0,'Données projet'!$E$11+1,1))-AVERAGE(OFFSET($H$3,0,0,'Données projet'!$E$11+1,1))</f>
        <v>423.40903481736001</v>
      </c>
      <c r="BJ15" s="62">
        <f t="shared" si="38"/>
        <v>263.03039552465799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3.9390243902439024</v>
      </c>
      <c r="BY15" s="13">
        <f>IF('Données projet'!$A$114&gt;35,BY14+BX15-CG14,IF(A15&lt;'Données projet'!$A$114,$BV$205^A15,IF(A15='Données projet'!$A$114,'Données projet'!$B$114,BY14+BX15-CG14)))</f>
        <v>47.26829268292682</v>
      </c>
      <c r="BZ15" s="14">
        <f>BY15*VLOOKUP('Données projet'!$B$12,Paramètres!$A$1:$I$89,3,0)*VLOOKUP('Données projet'!$B$12,Paramètres!$A$1:$I$89,5,0)</f>
        <v>22.12156097560975</v>
      </c>
      <c r="CA15" s="14">
        <f t="shared" si="39"/>
        <v>7.1093726385678835</v>
      </c>
      <c r="CB15" s="22">
        <f t="shared" si="10"/>
        <v>50.910542711359376</v>
      </c>
      <c r="CC15" s="62">
        <f t="shared" si="11"/>
        <v>322.24387604469268</v>
      </c>
      <c r="CD15" s="62">
        <f ca="1">AVERAGE(OFFSET($CC$3,0,0,'Données projet'!$E$12+1,1))-AVERAGE(OFFSET($H$3,0,0,'Données projet'!$E$12+1,1))</f>
        <v>264.88170274686757</v>
      </c>
      <c r="CE15" s="62">
        <f t="shared" si="40"/>
        <v>160.81140876142001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11.053812007498347</v>
      </c>
      <c r="CV15" s="14">
        <f t="shared" si="41"/>
        <v>3.8512289154738402</v>
      </c>
      <c r="CW15" s="22">
        <f t="shared" si="13"/>
        <v>25.959612940843225</v>
      </c>
      <c r="CX15" s="62">
        <f t="shared" si="14"/>
        <v>297.29294627417653</v>
      </c>
      <c r="CY15" s="62">
        <f ca="1">AVERAGE(OFFSET($CX$3,0,0,'Données projet'!$E$13+1,1))-AVERAGE(OFFSET($H$3,0,0,'Données projet'!$E$13+1,1))</f>
        <v>411.60020200960821</v>
      </c>
      <c r="CZ15" s="62">
        <f t="shared" si="42"/>
        <v>261.95434270986397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6.2</v>
      </c>
      <c r="DO15" s="13">
        <f>IF('Données projet'!$A$166&gt;35,DO14+DN15-DW14,IF(A15&lt;'Données projet'!$A$166,$DL$205^A15,IF(A15='Données projet'!$A$166,'Données projet'!$B$166,DO14+DN15-DW14)))</f>
        <v>21.4</v>
      </c>
      <c r="DP15" s="18">
        <f>DO15*VLOOKUP('Données projet'!$B$14,Paramètres!$A$1:$I$89,3,0)*VLOOKUP('Données projet'!$B$14,Paramètres!$A$1:$I$89,5,0)</f>
        <v>14.021279999999999</v>
      </c>
      <c r="DQ15" s="14">
        <f t="shared" si="43"/>
        <v>4.7517506533546436</v>
      </c>
      <c r="DR15" s="22">
        <f t="shared" si="16"/>
        <v>32.696361721259329</v>
      </c>
      <c r="DS15" s="62">
        <f t="shared" si="17"/>
        <v>304.02969505459265</v>
      </c>
      <c r="DT15" s="62">
        <f ca="1">AVERAGE(OFFSET($DS$3,0,0,'Données projet'!$E$14+1,1))-AVERAGE(OFFSET($H$3,0,0,'Données projet'!$E$14+1,1))</f>
        <v>240.134073924311</v>
      </c>
      <c r="DU15" s="62">
        <f t="shared" si="44"/>
        <v>237.10378497981156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0.30909941722472523</v>
      </c>
      <c r="ED15" s="24">
        <f t="shared" si="18"/>
        <v>0.30909941722472523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2.6666666666666665</v>
      </c>
      <c r="N16" s="14">
        <f>IF('Données projet'!$A$36&gt;35,N15+M16-V15,IF(A16&lt;'Données projet'!$A$36,$K$205^A16,IF(A16='Données projet'!$A$36,'Données projet'!$B$36,N15+M16-V15)))</f>
        <v>24.459748796430759</v>
      </c>
      <c r="O16" s="14">
        <f>N16*VLOOKUP('Données projet'!$B$9,Paramètres!$A$1:$I$89,3,0)*VLOOKUP('Données projet'!$B$9,Paramètres!$A$1:$I$89,5,0)</f>
        <v>19.078604061215994</v>
      </c>
      <c r="P16" s="14">
        <f t="shared" si="33"/>
        <v>6.2379664748280286</v>
      </c>
      <c r="Q16" s="22">
        <f t="shared" si="2"/>
        <v>44.093027016943331</v>
      </c>
      <c r="R16" s="62">
        <f t="shared" si="0"/>
        <v>316.64858257249887</v>
      </c>
      <c r="S16" s="62">
        <f ca="1">AVERAGE(OFFSET($R$3,0,0,'Données projet'!$E$9+1,1))-AVERAGE(OFFSET($H$3,0,0,'Données projet'!$E$9+1,1))</f>
        <v>288.82868507674738</v>
      </c>
      <c r="T16" s="62">
        <f t="shared" si="34"/>
        <v>283.48738729114024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292.22436618065581</v>
      </c>
      <c r="AN16" s="62">
        <f ca="1">AVERAGE(OFFSET($AM$3,0,0,'Données projet'!$E$10+1,1))-AVERAGE(OFFSET($H$3,0,0,'Données projet'!$E$10+1,1))</f>
        <v>371.95849973474657</v>
      </c>
      <c r="AO16" s="62">
        <f t="shared" si="36"/>
        <v>233.32640143610547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9.5907758799387253</v>
      </c>
      <c r="BF16" s="14">
        <f t="shared" si="37"/>
        <v>3.3971758777968843</v>
      </c>
      <c r="BG16" s="22">
        <f t="shared" si="7"/>
        <v>22.620682644722852</v>
      </c>
      <c r="BH16" s="62">
        <f t="shared" si="8"/>
        <v>295.17623820027842</v>
      </c>
      <c r="BI16" s="62">
        <f ca="1">AVERAGE(OFFSET($BH$3,0,0,'Données projet'!$E$11+1,1))-AVERAGE(OFFSET($H$3,0,0,'Données projet'!$E$11+1,1))</f>
        <v>423.40903481736001</v>
      </c>
      <c r="BJ16" s="62">
        <f t="shared" si="38"/>
        <v>263.03039552465799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3.9390243902439024</v>
      </c>
      <c r="BY16" s="13">
        <f>IF('Données projet'!$A$114&gt;35,BY15+BX16-CG15,IF(A16&lt;'Données projet'!$A$114,$BV$205^A16,IF(A16='Données projet'!$A$114,'Données projet'!$B$114,BY15+BX16-CG15)))</f>
        <v>51.207317073170721</v>
      </c>
      <c r="BZ16" s="14">
        <f>BY16*VLOOKUP('Données projet'!$B$12,Paramètres!$A$1:$I$89,3,0)*VLOOKUP('Données projet'!$B$12,Paramètres!$A$1:$I$89,5,0)</f>
        <v>23.965024390243897</v>
      </c>
      <c r="CA16" s="14">
        <f t="shared" si="39"/>
        <v>7.6303959663599006</v>
      </c>
      <c r="CB16" s="22">
        <f t="shared" si="10"/>
        <v>55.028690454418275</v>
      </c>
      <c r="CC16" s="62">
        <f t="shared" si="11"/>
        <v>327.58424600997381</v>
      </c>
      <c r="CD16" s="62">
        <f ca="1">AVERAGE(OFFSET($CC$3,0,0,'Données projet'!$E$12+1,1))-AVERAGE(OFFSET($H$3,0,0,'Données projet'!$E$12+1,1))</f>
        <v>264.88170274686757</v>
      </c>
      <c r="CE16" s="62">
        <f t="shared" si="40"/>
        <v>160.81140876142001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13.698664119909786</v>
      </c>
      <c r="CV16" s="14">
        <f t="shared" si="41"/>
        <v>4.6550134230463893</v>
      </c>
      <c r="CW16" s="22">
        <f t="shared" si="13"/>
        <v>31.965988387315338</v>
      </c>
      <c r="CX16" s="62">
        <f t="shared" si="14"/>
        <v>304.52154394287089</v>
      </c>
      <c r="CY16" s="62">
        <f ca="1">AVERAGE(OFFSET($CX$3,0,0,'Données projet'!$E$13+1,1))-AVERAGE(OFFSET($H$3,0,0,'Données projet'!$E$13+1,1))</f>
        <v>411.60020200960821</v>
      </c>
      <c r="CZ16" s="62">
        <f t="shared" si="42"/>
        <v>261.95434270986397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6.2</v>
      </c>
      <c r="DO16" s="13">
        <f>IF('Données projet'!$A$166&gt;35,DO15+DN16-DW15,IF(A16&lt;'Données projet'!$A$166,$DL$205^A16,IF(A16='Données projet'!$A$166,'Données projet'!$B$166,DO15+DN16-DW15)))</f>
        <v>27.599999999999998</v>
      </c>
      <c r="DP16" s="18">
        <f>DO16*VLOOKUP('Données projet'!$B$14,Paramètres!$A$1:$I$89,3,0)*VLOOKUP('Données projet'!$B$14,Paramètres!$A$1:$I$89,5,0)</f>
        <v>18.08352</v>
      </c>
      <c r="DQ16" s="14">
        <f t="shared" si="43"/>
        <v>5.9495935530996427</v>
      </c>
      <c r="DR16" s="22">
        <f t="shared" si="16"/>
        <v>41.857672771648545</v>
      </c>
      <c r="DS16" s="62">
        <f t="shared" si="17"/>
        <v>314.41322832720408</v>
      </c>
      <c r="DT16" s="62">
        <f ca="1">AVERAGE(OFFSET($DS$3,0,0,'Données projet'!$E$14+1,1))-AVERAGE(OFFSET($H$3,0,0,'Données projet'!$E$14+1,1))</f>
        <v>240.134073924311</v>
      </c>
      <c r="DU16" s="62">
        <f t="shared" si="44"/>
        <v>237.10378497981156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0.21856629398041316</v>
      </c>
      <c r="ED16" s="24">
        <f t="shared" si="18"/>
        <v>0.21856629398041316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2.6666666666666665</v>
      </c>
      <c r="N17" s="14">
        <f>IF('Données projet'!$A$36&gt;35,N16+M17-V16,IF(A17&lt;'Données projet'!$A$36,$K$205^A17,IF(A17='Données projet'!$A$36,'Données projet'!$B$36,N16+M17-V16)))</f>
        <v>31.279225563578599</v>
      </c>
      <c r="O17" s="14">
        <f>N17*VLOOKUP('Données projet'!$B$9,Paramètres!$A$1:$I$89,3,0)*VLOOKUP('Données projet'!$B$9,Paramètres!$A$1:$I$89,5,0)</f>
        <v>24.397795939591308</v>
      </c>
      <c r="P17" s="14">
        <f t="shared" si="33"/>
        <v>7.75202295846145</v>
      </c>
      <c r="Q17" s="22">
        <f t="shared" si="2"/>
        <v>55.994267914108548</v>
      </c>
      <c r="R17" s="62">
        <f t="shared" si="0"/>
        <v>329.77204569188632</v>
      </c>
      <c r="S17" s="62">
        <f ca="1">AVERAGE(OFFSET($R$3,0,0,'Données projet'!$E$9+1,1))-AVERAGE(OFFSET($H$3,0,0,'Données projet'!$E$9+1,1))</f>
        <v>288.82868507674738</v>
      </c>
      <c r="T17" s="62">
        <f t="shared" si="34"/>
        <v>283.48738729114024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296.98175505469334</v>
      </c>
      <c r="AN17" s="62">
        <f ca="1">AVERAGE(OFFSET($AM$3,0,0,'Données projet'!$E$10+1,1))-AVERAGE(OFFSET($H$3,0,0,'Données projet'!$E$10+1,1))</f>
        <v>371.95849973474657</v>
      </c>
      <c r="AO17" s="62">
        <f t="shared" si="36"/>
        <v>233.32640143610547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11.373760431083532</v>
      </c>
      <c r="BF17" s="14">
        <f t="shared" si="37"/>
        <v>3.9495617360535622</v>
      </c>
      <c r="BG17" s="22">
        <f t="shared" si="7"/>
        <v>26.688119441097104</v>
      </c>
      <c r="BH17" s="62">
        <f t="shared" si="8"/>
        <v>300.46589721887489</v>
      </c>
      <c r="BI17" s="62">
        <f ca="1">AVERAGE(OFFSET($BH$3,0,0,'Données projet'!$E$11+1,1))-AVERAGE(OFFSET($H$3,0,0,'Données projet'!$E$11+1,1))</f>
        <v>423.40903481736001</v>
      </c>
      <c r="BJ17" s="62">
        <f t="shared" si="38"/>
        <v>263.03039552465799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3.9390243902439024</v>
      </c>
      <c r="BY17" s="13">
        <f>IF('Données projet'!$A$114&gt;35,BY16+BX17-CG16,IF(A17&lt;'Données projet'!$A$114,$BV$205^A17,IF(A17='Données projet'!$A$114,'Données projet'!$B$114,BY16+BX17-CG16)))</f>
        <v>55.146341463414622</v>
      </c>
      <c r="BZ17" s="14">
        <f>BY17*VLOOKUP('Données projet'!$B$12,Paramètres!$A$1:$I$89,3,0)*VLOOKUP('Données projet'!$B$12,Paramètres!$A$1:$I$89,5,0)</f>
        <v>25.808487804878045</v>
      </c>
      <c r="CA17" s="14">
        <f t="shared" si="39"/>
        <v>8.1467701177198162</v>
      </c>
      <c r="CB17" s="22">
        <f t="shared" si="10"/>
        <v>59.138740881857935</v>
      </c>
      <c r="CC17" s="62">
        <f t="shared" si="11"/>
        <v>332.9165186596357</v>
      </c>
      <c r="CD17" s="62">
        <f ca="1">AVERAGE(OFFSET($CC$3,0,0,'Données projet'!$E$12+1,1))-AVERAGE(OFFSET($H$3,0,0,'Données projet'!$E$12+1,1))</f>
        <v>264.88170274686757</v>
      </c>
      <c r="CE17" s="62">
        <f t="shared" si="40"/>
        <v>160.81140876142001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16.976351555717539</v>
      </c>
      <c r="CV17" s="14">
        <f t="shared" si="41"/>
        <v>5.6265546516016363</v>
      </c>
      <c r="CW17" s="22">
        <f t="shared" si="13"/>
        <v>39.366728311080898</v>
      </c>
      <c r="CX17" s="62">
        <f t="shared" si="14"/>
        <v>313.14450608885869</v>
      </c>
      <c r="CY17" s="62">
        <f ca="1">AVERAGE(OFFSET($CX$3,0,0,'Données projet'!$E$13+1,1))-AVERAGE(OFFSET($H$3,0,0,'Données projet'!$E$13+1,1))</f>
        <v>411.60020200960821</v>
      </c>
      <c r="CZ17" s="62">
        <f t="shared" si="42"/>
        <v>261.95434270986397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6.2</v>
      </c>
      <c r="DO17" s="13">
        <f>IF('Données projet'!$A$166&gt;35,DO16+DN17-DW16,IF(A17&lt;'Données projet'!$A$166,$DL$205^A17,IF(A17='Données projet'!$A$166,'Données projet'!$B$166,DO16+DN17-DW16)))</f>
        <v>33.799999999999997</v>
      </c>
      <c r="DP17" s="18">
        <f>DO17*VLOOKUP('Données projet'!$B$14,Paramètres!$A$1:$I$89,3,0)*VLOOKUP('Données projet'!$B$14,Paramètres!$A$1:$I$89,5,0)</f>
        <v>22.145759999999999</v>
      </c>
      <c r="DQ17" s="14">
        <f t="shared" si="43"/>
        <v>7.1162439785080673</v>
      </c>
      <c r="DR17" s="22">
        <f t="shared" si="16"/>
        <v>50.964656929234877</v>
      </c>
      <c r="DS17" s="62">
        <f t="shared" si="17"/>
        <v>324.74243470701265</v>
      </c>
      <c r="DT17" s="62">
        <f ca="1">AVERAGE(OFFSET($DS$3,0,0,'Données projet'!$E$14+1,1))-AVERAGE(OFFSET($H$3,0,0,'Données projet'!$E$14+1,1))</f>
        <v>240.134073924311</v>
      </c>
      <c r="DU17" s="62">
        <f t="shared" si="44"/>
        <v>237.10378497981156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0.15454970861236264</v>
      </c>
      <c r="ED17" s="24">
        <f t="shared" si="18"/>
        <v>0.15454970861236264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40</v>
      </c>
      <c r="L18" s="13">
        <f>VLOOKUP(A18,'Données projet'!$A$35:$I$55,9,0)</f>
        <v>2.6666666666666665</v>
      </c>
      <c r="M18" s="13">
        <f t="array" ref="M18">INDEX(L:L,MIN(IF(ISNUMBER(L18:L214),ROW(L18:L214),"")))</f>
        <v>2.6666666666666665</v>
      </c>
      <c r="N18" s="14">
        <f>IF('Données projet'!$A$36&gt;35,N17+M18-V17,IF(A18&lt;'Données projet'!$A$36,$K$205^A18,IF(A18='Données projet'!$A$36,'Données projet'!$B$36,N17+M18-V17)))</f>
        <v>40</v>
      </c>
      <c r="O18" s="14">
        <f>N18*VLOOKUP('Données projet'!$B$9,Paramètres!$A$1:$I$89,3,0)*VLOOKUP('Données projet'!$B$9,Paramètres!$A$1:$I$89,5,0)</f>
        <v>31.200000000000003</v>
      </c>
      <c r="P18" s="14">
        <f t="shared" si="33"/>
        <v>9.6335657126419925</v>
      </c>
      <c r="Q18" s="22">
        <f t="shared" si="2"/>
        <v>71.118460282851473</v>
      </c>
      <c r="R18" s="62">
        <f t="shared" si="0"/>
        <v>346.11846028285146</v>
      </c>
      <c r="S18" s="62">
        <f ca="1">AVERAGE(OFFSET($R$3,0,0,'Données projet'!$E$9+1,1))-AVERAGE(OFFSET($H$3,0,0,'Données projet'!$E$9+1,1))</f>
        <v>288.82868507674738</v>
      </c>
      <c r="T18" s="62">
        <f t="shared" si="34"/>
        <v>283.48738729114024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2.2078529801766082</v>
      </c>
      <c r="AC18" s="24">
        <f t="shared" si="3"/>
        <v>2.2078529801766082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302.3766155842269</v>
      </c>
      <c r="AN18" s="62">
        <f ca="1">AVERAGE(OFFSET($AM$3,0,0,'Données projet'!$E$10+1,1))-AVERAGE(OFFSET($H$3,0,0,'Données projet'!$E$10+1,1))</f>
        <v>371.95849973474657</v>
      </c>
      <c r="AO18" s="62">
        <f t="shared" si="36"/>
        <v>233.32640143610547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13.488212837323433</v>
      </c>
      <c r="BF18" s="14">
        <f t="shared" si="37"/>
        <v>4.5917663577119878</v>
      </c>
      <c r="BG18" s="22">
        <f t="shared" si="7"/>
        <v>31.489297098020021</v>
      </c>
      <c r="BH18" s="62">
        <f t="shared" si="8"/>
        <v>306.48929709802002</v>
      </c>
      <c r="BI18" s="62">
        <f ca="1">AVERAGE(OFFSET($BH$3,0,0,'Données projet'!$E$11+1,1))-AVERAGE(OFFSET($H$3,0,0,'Données projet'!$E$11+1,1))</f>
        <v>423.40903481736001</v>
      </c>
      <c r="BJ18" s="62">
        <f t="shared" si="38"/>
        <v>263.03039552465799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3.9390243902439024</v>
      </c>
      <c r="BY18" s="13">
        <f>IF('Données projet'!$A$114&gt;35,BY17+BX18-CG17,IF(A18&lt;'Données projet'!$A$114,$BV$205^A18,IF(A18='Données projet'!$A$114,'Données projet'!$B$114,BY17+BX18-CG17)))</f>
        <v>59.085365853658523</v>
      </c>
      <c r="BZ18" s="14">
        <f>BY18*VLOOKUP('Données projet'!$B$12,Paramètres!$A$1:$I$89,3,0)*VLOOKUP('Données projet'!$B$12,Paramètres!$A$1:$I$89,5,0)</f>
        <v>27.651951219512188</v>
      </c>
      <c r="CA18" s="14">
        <f t="shared" si="39"/>
        <v>8.6588649458449467</v>
      </c>
      <c r="CB18" s="22">
        <f t="shared" si="10"/>
        <v>63.241338154663673</v>
      </c>
      <c r="CC18" s="62">
        <f t="shared" si="11"/>
        <v>338.24133815466365</v>
      </c>
      <c r="CD18" s="62">
        <f ca="1">AVERAGE(OFFSET($CC$3,0,0,'Données projet'!$E$12+1,1))-AVERAGE(OFFSET($H$3,0,0,'Données projet'!$E$12+1,1))</f>
        <v>264.88170274686757</v>
      </c>
      <c r="CE18" s="62">
        <f t="shared" si="40"/>
        <v>160.81140876142001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21.03829319564419</v>
      </c>
      <c r="CV18" s="14">
        <f t="shared" si="41"/>
        <v>6.8008648676982615</v>
      </c>
      <c r="CW18" s="22">
        <f t="shared" si="13"/>
        <v>48.486533626988098</v>
      </c>
      <c r="CX18" s="62">
        <f t="shared" si="14"/>
        <v>323.48653362698809</v>
      </c>
      <c r="CY18" s="62">
        <f ca="1">AVERAGE(OFFSET($CX$3,0,0,'Données projet'!$E$13+1,1))-AVERAGE(OFFSET($H$3,0,0,'Données projet'!$E$13+1,1))</f>
        <v>411.60020200960821</v>
      </c>
      <c r="CZ18" s="62">
        <f t="shared" si="42"/>
        <v>261.95434270986397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6.2</v>
      </c>
      <c r="DN18" s="13">
        <f t="array" ref="DN18">INDEX(DM:DM,MIN(IF(ISNUMBER(DM18:DM214),ROW(DM18:DM214),"")))</f>
        <v>6.2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26.208000000000002</v>
      </c>
      <c r="DQ18" s="14">
        <f t="shared" si="43"/>
        <v>8.2581019723450986</v>
      </c>
      <c r="DR18" s="22">
        <f t="shared" si="16"/>
        <v>60.028460935167708</v>
      </c>
      <c r="DS18" s="62">
        <f t="shared" si="17"/>
        <v>335.02846093516769</v>
      </c>
      <c r="DT18" s="62">
        <f ca="1">AVERAGE(OFFSET($DS$3,0,0,'Données projet'!$E$14+1,1))-AVERAGE(OFFSET($H$3,0,0,'Données projet'!$E$14+1,1))</f>
        <v>240.134073924311</v>
      </c>
      <c r="DU18" s="62">
        <f t="shared" si="44"/>
        <v>237.10378497981156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4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1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2.5820784847880081</v>
      </c>
      <c r="ED18" s="24">
        <f t="shared" si="18"/>
        <v>2.5820784847880081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9.6</v>
      </c>
      <c r="N19" s="14">
        <f>IF('Données projet'!$A$36&gt;35,N18+M19-V18,IF(A19&lt;'Données projet'!$A$36,$K$205^A19,IF(A19='Données projet'!$A$36,'Données projet'!$B$36,N18+M19-V18)))</f>
        <v>46.6</v>
      </c>
      <c r="O19" s="14">
        <f>N19*VLOOKUP('Données projet'!$B$9,Paramètres!$A$1:$I$89,3,0)*VLOOKUP('Données projet'!$B$9,Paramètres!$A$1:$I$89,5,0)</f>
        <v>36.347999999999999</v>
      </c>
      <c r="P19" s="14">
        <f t="shared" si="33"/>
        <v>11.025356771848859</v>
      </c>
      <c r="Q19" s="22">
        <f t="shared" si="2"/>
        <v>82.508596377636763</v>
      </c>
      <c r="R19" s="62">
        <f t="shared" si="0"/>
        <v>358.73081859985899</v>
      </c>
      <c r="S19" s="62">
        <f ca="1">AVERAGE(OFFSET($R$3,0,0,'Données projet'!$E$9+1,1))-AVERAGE(OFFSET($H$3,0,0,'Données projet'!$E$9+1,1))</f>
        <v>288.82868507674738</v>
      </c>
      <c r="T19" s="62">
        <f t="shared" si="34"/>
        <v>283.48738729114024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1.561187814145808</v>
      </c>
      <c r="AC19" s="24">
        <f t="shared" si="3"/>
        <v>1.561187814145808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308.52424831494073</v>
      </c>
      <c r="AN19" s="62">
        <f ca="1">AVERAGE(OFFSET($AM$3,0,0,'Données projet'!$E$10+1,1))-AVERAGE(OFFSET($H$3,0,0,'Données projet'!$E$10+1,1))</f>
        <v>371.95849973474657</v>
      </c>
      <c r="AO19" s="62">
        <f t="shared" si="36"/>
        <v>233.32640143610547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15.995755022915032</v>
      </c>
      <c r="BF19" s="14">
        <f t="shared" si="37"/>
        <v>5.3383944074977938</v>
      </c>
      <c r="BG19" s="22">
        <f t="shared" si="7"/>
        <v>37.156976924635664</v>
      </c>
      <c r="BH19" s="62">
        <f t="shared" si="8"/>
        <v>313.3791991468579</v>
      </c>
      <c r="BI19" s="62">
        <f ca="1">AVERAGE(OFFSET($BH$3,0,0,'Données projet'!$E$11+1,1))-AVERAGE(OFFSET($H$3,0,0,'Données projet'!$E$11+1,1))</f>
        <v>423.40903481736001</v>
      </c>
      <c r="BJ19" s="62">
        <f t="shared" si="38"/>
        <v>263.03039552465799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3.9390243902439024</v>
      </c>
      <c r="BY19" s="13">
        <f>IF('Données projet'!$A$114&gt;35,BY18+BX19-CG18,IF(A19&lt;'Données projet'!$A$114,$BV$205^A19,IF(A19='Données projet'!$A$114,'Données projet'!$B$114,BY18+BX19-CG18)))</f>
        <v>63.024390243902424</v>
      </c>
      <c r="BZ19" s="14">
        <f>BY19*VLOOKUP('Données projet'!$B$12,Paramètres!$A$1:$I$89,3,0)*VLOOKUP('Données projet'!$B$12,Paramètres!$A$1:$I$89,5,0)</f>
        <v>29.495414634146336</v>
      </c>
      <c r="CA19" s="14">
        <f t="shared" si="39"/>
        <v>9.1669982002659243</v>
      </c>
      <c r="CB19" s="22">
        <f t="shared" si="10"/>
        <v>67.33703568660134</v>
      </c>
      <c r="CC19" s="62">
        <f t="shared" si="11"/>
        <v>343.55925790882355</v>
      </c>
      <c r="CD19" s="62">
        <f ca="1">AVERAGE(OFFSET($CC$3,0,0,'Données projet'!$E$12+1,1))-AVERAGE(OFFSET($H$3,0,0,'Données projet'!$E$12+1,1))</f>
        <v>264.88170274686757</v>
      </c>
      <c r="CE19" s="62">
        <f t="shared" si="40"/>
        <v>160.81140876142001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26.072138005225284</v>
      </c>
      <c r="CV19" s="14">
        <f t="shared" si="41"/>
        <v>8.2202636982343371</v>
      </c>
      <c r="CW19" s="22">
        <f t="shared" si="13"/>
        <v>59.725932966858835</v>
      </c>
      <c r="CX19" s="62">
        <f t="shared" si="14"/>
        <v>335.94815518908104</v>
      </c>
      <c r="CY19" s="62">
        <f ca="1">AVERAGE(OFFSET($CX$3,0,0,'Données projet'!$E$13+1,1))-AVERAGE(OFFSET($H$3,0,0,'Données projet'!$E$13+1,1))</f>
        <v>411.60020200960821</v>
      </c>
      <c r="CZ19" s="62">
        <f t="shared" si="42"/>
        <v>261.95434270986397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10.8</v>
      </c>
      <c r="DO19" s="13">
        <f>IF('Données projet'!$A$166&gt;35,DO18+DN19-DW18,IF(A19&lt;'Données projet'!$A$166,$DL$205^A19,IF(A19='Données projet'!$A$166,'Données projet'!$B$166,DO18+DN19-DW18)))</f>
        <v>46.8</v>
      </c>
      <c r="DP19" s="18">
        <f>DO19*VLOOKUP('Données projet'!$B$14,Paramètres!$A$1:$I$89,3,0)*VLOOKUP('Données projet'!$B$14,Paramètres!$A$1:$I$89,5,0)</f>
        <v>30.663360000000001</v>
      </c>
      <c r="DQ19" s="14">
        <f t="shared" si="43"/>
        <v>9.4870080424679557</v>
      </c>
      <c r="DR19" s="22">
        <f t="shared" si="16"/>
        <v>69.928557673965017</v>
      </c>
      <c r="DS19" s="62">
        <f t="shared" si="17"/>
        <v>346.15077989618726</v>
      </c>
      <c r="DT19" s="62">
        <f ca="1">AVERAGE(OFFSET($DS$3,0,0,'Données projet'!$E$14+1,1))-AVERAGE(OFFSET($H$3,0,0,'Données projet'!$E$14+1,1))</f>
        <v>240.134073924311</v>
      </c>
      <c r="DU19" s="62">
        <f t="shared" si="44"/>
        <v>237.10378497981156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1.8258052061494863</v>
      </c>
      <c r="ED19" s="24">
        <f t="shared" si="18"/>
        <v>1.8258052061494863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9.6</v>
      </c>
      <c r="N20" s="14">
        <f>IF('Données projet'!$A$36&gt;35,N19+M20-V19,IF(A20&lt;'Données projet'!$A$36,$K$205^A20,IF(A20='Données projet'!$A$36,'Données projet'!$B$36,N19+M20-V19)))</f>
        <v>56.2</v>
      </c>
      <c r="O20" s="14">
        <f>N20*VLOOKUP('Données projet'!$B$9,Paramètres!$A$1:$I$89,3,0)*VLOOKUP('Données projet'!$B$9,Paramètres!$A$1:$I$89,5,0)</f>
        <v>43.836000000000006</v>
      </c>
      <c r="P20" s="14">
        <f t="shared" si="33"/>
        <v>13.009897179721728</v>
      </c>
      <c r="Q20" s="22">
        <f t="shared" si="2"/>
        <v>99.006604254682017</v>
      </c>
      <c r="R20" s="62">
        <f t="shared" si="0"/>
        <v>376.45104869912649</v>
      </c>
      <c r="S20" s="62">
        <f ca="1">AVERAGE(OFFSET($R$3,0,0,'Données projet'!$E$9+1,1))-AVERAGE(OFFSET($H$3,0,0,'Données projet'!$E$9+1,1))</f>
        <v>288.82868507674738</v>
      </c>
      <c r="T20" s="62">
        <f t="shared" si="34"/>
        <v>283.48738729114024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1.1039264900883043</v>
      </c>
      <c r="AC20" s="24">
        <f t="shared" si="3"/>
        <v>1.1039264900883043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315.56086702747444</v>
      </c>
      <c r="AN20" s="62">
        <f ca="1">AVERAGE(OFFSET($AM$3,0,0,'Données projet'!$E$10+1,1))-AVERAGE(OFFSET($H$3,0,0,'Données projet'!$E$10+1,1))</f>
        <v>371.95849973474657</v>
      </c>
      <c r="AO20" s="62">
        <f t="shared" si="36"/>
        <v>233.32640143610547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18.969464808940881</v>
      </c>
      <c r="BF20" s="14">
        <f t="shared" si="37"/>
        <v>6.2064252903765151</v>
      </c>
      <c r="BG20" s="22">
        <f t="shared" si="7"/>
        <v>43.848008589644458</v>
      </c>
      <c r="BH20" s="62">
        <f t="shared" si="8"/>
        <v>321.29245303408891</v>
      </c>
      <c r="BI20" s="62">
        <f ca="1">AVERAGE(OFFSET($BH$3,0,0,'Données projet'!$E$11+1,1))-AVERAGE(OFFSET($H$3,0,0,'Données projet'!$E$11+1,1))</f>
        <v>423.40903481736001</v>
      </c>
      <c r="BJ20" s="62">
        <f t="shared" si="38"/>
        <v>263.03039552465799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3.9390243902439024</v>
      </c>
      <c r="BY20" s="13">
        <f>IF('Données projet'!$A$114&gt;35,BY19+BX20-CG19,IF(A20&lt;'Données projet'!$A$114,$BV$205^A20,IF(A20='Données projet'!$A$114,'Données projet'!$B$114,BY19+BX20-CG19)))</f>
        <v>66.963414634146332</v>
      </c>
      <c r="BZ20" s="14">
        <f>BY20*VLOOKUP('Données projet'!$B$12,Paramètres!$A$1:$I$89,3,0)*VLOOKUP('Données projet'!$B$12,Paramètres!$A$1:$I$89,5,0)</f>
        <v>31.338878048780483</v>
      </c>
      <c r="CA20" s="14">
        <f t="shared" si="39"/>
        <v>9.6714456669143889</v>
      </c>
      <c r="CB20" s="22">
        <f t="shared" si="10"/>
        <v>71.426313804835232</v>
      </c>
      <c r="CC20" s="62">
        <f t="shared" si="11"/>
        <v>348.87075824927967</v>
      </c>
      <c r="CD20" s="62">
        <f ca="1">AVERAGE(OFFSET($CC$3,0,0,'Données projet'!$E$12+1,1))-AVERAGE(OFFSET($H$3,0,0,'Données projet'!$E$12+1,1))</f>
        <v>264.88170274686757</v>
      </c>
      <c r="CE20" s="62">
        <f t="shared" si="40"/>
        <v>160.81140876142001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32.310433828550828</v>
      </c>
      <c r="CV20" s="14">
        <f t="shared" si="41"/>
        <v>9.9359032392271498</v>
      </c>
      <c r="CW20" s="22">
        <f t="shared" si="13"/>
        <v>73.579037059713301</v>
      </c>
      <c r="CX20" s="62">
        <f t="shared" si="14"/>
        <v>351.02348150415776</v>
      </c>
      <c r="CY20" s="62">
        <f ca="1">AVERAGE(OFFSET($CX$3,0,0,'Données projet'!$E$13+1,1))-AVERAGE(OFFSET($H$3,0,0,'Données projet'!$E$13+1,1))</f>
        <v>411.60020200960821</v>
      </c>
      <c r="CZ20" s="62">
        <f t="shared" si="42"/>
        <v>261.95434270986397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10.8</v>
      </c>
      <c r="DO20" s="13">
        <f>IF('Données projet'!$A$166&gt;35,DO19+DN20-DW19,IF(A20&lt;'Données projet'!$A$166,$DL$205^A20,IF(A20='Données projet'!$A$166,'Données projet'!$B$166,DO19+DN20-DW19)))</f>
        <v>57.599999999999994</v>
      </c>
      <c r="DP20" s="18">
        <f>DO20*VLOOKUP('Données projet'!$B$14,Paramètres!$A$1:$I$89,3,0)*VLOOKUP('Données projet'!$B$14,Paramètres!$A$1:$I$89,5,0)</f>
        <v>37.739519999999999</v>
      </c>
      <c r="DQ20" s="14">
        <f t="shared" si="43"/>
        <v>11.397493135955839</v>
      </c>
      <c r="DR20" s="22">
        <f t="shared" si="16"/>
        <v>85.580297878456406</v>
      </c>
      <c r="DS20" s="62">
        <f t="shared" si="17"/>
        <v>363.02474232290086</v>
      </c>
      <c r="DT20" s="62">
        <f ca="1">AVERAGE(OFFSET($DS$3,0,0,'Données projet'!$E$14+1,1))-AVERAGE(OFFSET($H$3,0,0,'Données projet'!$E$14+1,1))</f>
        <v>240.134073924311</v>
      </c>
      <c r="DU20" s="62">
        <f t="shared" si="44"/>
        <v>237.10378497981156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1.2910392423940042</v>
      </c>
      <c r="ED20" s="24">
        <f t="shared" si="18"/>
        <v>1.2910392423940042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9.6</v>
      </c>
      <c r="N21" s="14">
        <f>IF('Données projet'!$A$36&gt;35,N20+M21-V20,IF(A21&lt;'Données projet'!$A$36,$K$205^A21,IF(A21='Données projet'!$A$36,'Données projet'!$B$36,N20+M21-V20)))</f>
        <v>65.8</v>
      </c>
      <c r="O21" s="14">
        <f>N21*VLOOKUP('Données projet'!$B$9,Paramètres!$A$1:$I$89,3,0)*VLOOKUP('Données projet'!$B$9,Paramètres!$A$1:$I$89,5,0)</f>
        <v>51.323999999999998</v>
      </c>
      <c r="P21" s="14">
        <f t="shared" si="33"/>
        <v>14.95516659950003</v>
      </c>
      <c r="Q21" s="22">
        <f t="shared" si="2"/>
        <v>115.43621516079588</v>
      </c>
      <c r="R21" s="62">
        <f t="shared" si="0"/>
        <v>394.10288182746257</v>
      </c>
      <c r="S21" s="62">
        <f ca="1">AVERAGE(OFFSET($R$3,0,0,'Données projet'!$E$9+1,1))-AVERAGE(OFFSET($H$3,0,0,'Données projet'!$E$9+1,1))</f>
        <v>288.82868507674738</v>
      </c>
      <c r="T21" s="62">
        <f t="shared" si="34"/>
        <v>283.48738729114024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0.7805939070729041</v>
      </c>
      <c r="AC21" s="24">
        <f t="shared" si="3"/>
        <v>0.7805939070729041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323.64740178362257</v>
      </c>
      <c r="AN21" s="62">
        <f ca="1">AVERAGE(OFFSET($AM$3,0,0,'Données projet'!$E$10+1,1))-AVERAGE(OFFSET($H$3,0,0,'Données projet'!$E$10+1,1))</f>
        <v>371.95849973474657</v>
      </c>
      <c r="AO21" s="62">
        <f t="shared" si="36"/>
        <v>233.32640143610547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22.496005635379497</v>
      </c>
      <c r="BF21" s="14">
        <f t="shared" si="37"/>
        <v>7.2155992878540589</v>
      </c>
      <c r="BG21" s="22">
        <f t="shared" si="7"/>
        <v>51.747711907965105</v>
      </c>
      <c r="BH21" s="62">
        <f t="shared" si="8"/>
        <v>330.41437857463177</v>
      </c>
      <c r="BI21" s="62">
        <f ca="1">AVERAGE(OFFSET($BH$3,0,0,'Données projet'!$E$11+1,1))-AVERAGE(OFFSET($H$3,0,0,'Données projet'!$E$11+1,1))</f>
        <v>423.40903481736001</v>
      </c>
      <c r="BJ21" s="62">
        <f t="shared" si="38"/>
        <v>263.03039552465799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3.9390243902439024</v>
      </c>
      <c r="BY21" s="13">
        <f>IF('Données projet'!$A$114&gt;35,BY20+BX21-CG20,IF(A21&lt;'Données projet'!$A$114,$BV$205^A21,IF(A21='Données projet'!$A$114,'Données projet'!$B$114,BY20+BX21-CG20)))</f>
        <v>70.902439024390233</v>
      </c>
      <c r="BZ21" s="14">
        <f>BY21*VLOOKUP('Données projet'!$B$12,Paramètres!$A$1:$I$89,3,0)*VLOOKUP('Données projet'!$B$12,Paramètres!$A$1:$I$89,5,0)</f>
        <v>33.18234146341463</v>
      </c>
      <c r="CA21" s="14">
        <f t="shared" si="39"/>
        <v>10.172448853453741</v>
      </c>
      <c r="CB21" s="22">
        <f t="shared" si="10"/>
        <v>75.509593135212413</v>
      </c>
      <c r="CC21" s="62">
        <f t="shared" si="11"/>
        <v>354.1762598018791</v>
      </c>
      <c r="CD21" s="62">
        <f ca="1">AVERAGE(OFFSET($CC$3,0,0,'Données projet'!$E$12+1,1))-AVERAGE(OFFSET($H$3,0,0,'Données projet'!$E$12+1,1))</f>
        <v>264.88170274686757</v>
      </c>
      <c r="CE21" s="62">
        <f t="shared" si="40"/>
        <v>160.81140876142001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40.041370369393334</v>
      </c>
      <c r="CV21" s="14">
        <f t="shared" si="41"/>
        <v>12.009611467876571</v>
      </c>
      <c r="CW21" s="22">
        <f t="shared" si="13"/>
        <v>90.655460033245092</v>
      </c>
      <c r="CX21" s="62">
        <f t="shared" si="14"/>
        <v>369.32212669991179</v>
      </c>
      <c r="CY21" s="62">
        <f ca="1">AVERAGE(OFFSET($CX$3,0,0,'Données projet'!$E$13+1,1))-AVERAGE(OFFSET($H$3,0,0,'Données projet'!$E$13+1,1))</f>
        <v>411.60020200960821</v>
      </c>
      <c r="CZ21" s="62">
        <f t="shared" si="42"/>
        <v>261.95434270986397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10.8</v>
      </c>
      <c r="DO21" s="13">
        <f>IF('Données projet'!$A$166&gt;35,DO20+DN21-DW20,IF(A21&lt;'Données projet'!$A$166,$DL$205^A21,IF(A21='Données projet'!$A$166,'Données projet'!$B$166,DO20+DN21-DW20)))</f>
        <v>68.399999999999991</v>
      </c>
      <c r="DP21" s="18">
        <f>DO21*VLOOKUP('Données projet'!$B$14,Paramètres!$A$1:$I$89,3,0)*VLOOKUP('Données projet'!$B$14,Paramètres!$A$1:$I$89,5,0)</f>
        <v>44.815679999999993</v>
      </c>
      <c r="DQ21" s="14">
        <f t="shared" si="43"/>
        <v>13.266476878569176</v>
      </c>
      <c r="DR21" s="22">
        <f t="shared" si="16"/>
        <v>101.15975656350797</v>
      </c>
      <c r="DS21" s="62">
        <f t="shared" si="17"/>
        <v>379.82642323017467</v>
      </c>
      <c r="DT21" s="62">
        <f ca="1">AVERAGE(OFFSET($DS$3,0,0,'Données projet'!$E$14+1,1))-AVERAGE(OFFSET($H$3,0,0,'Données projet'!$E$14+1,1))</f>
        <v>240.134073924311</v>
      </c>
      <c r="DU21" s="62">
        <f t="shared" si="44"/>
        <v>237.10378497981156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0.91290260307474336</v>
      </c>
      <c r="ED21" s="24">
        <f t="shared" si="18"/>
        <v>0.91290260307474336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9.6</v>
      </c>
      <c r="N22" s="14">
        <f>IF('Données projet'!$A$36&gt;35,N21+M22-V21,IF(A22&lt;'Données projet'!$A$36,$K$205^A22,IF(A22='Données projet'!$A$36,'Données projet'!$B$36,N21+M22-V21)))</f>
        <v>75.399999999999991</v>
      </c>
      <c r="O22" s="14">
        <f>N22*VLOOKUP('Données projet'!$B$9,Paramètres!$A$1:$I$89,3,0)*VLOOKUP('Données projet'!$B$9,Paramètres!$A$1:$I$89,5,0)</f>
        <v>58.811999999999998</v>
      </c>
      <c r="P22" s="14">
        <f t="shared" si="33"/>
        <v>16.86755663452599</v>
      </c>
      <c r="Q22" s="22">
        <f t="shared" si="2"/>
        <v>131.8085611384661</v>
      </c>
      <c r="R22" s="62">
        <f t="shared" si="0"/>
        <v>411.69745002735499</v>
      </c>
      <c r="S22" s="62">
        <f ca="1">AVERAGE(OFFSET($R$3,0,0,'Données projet'!$E$9+1,1))-AVERAGE(OFFSET($H$3,0,0,'Données projet'!$E$9+1,1))</f>
        <v>288.82868507674738</v>
      </c>
      <c r="T22" s="62">
        <f t="shared" si="34"/>
        <v>283.48738729114024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0.55196324504415228</v>
      </c>
      <c r="AC22" s="24">
        <f t="shared" si="3"/>
        <v>0.55196324504415228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332.97399518503494</v>
      </c>
      <c r="AN22" s="62">
        <f ca="1">AVERAGE(OFFSET($AM$3,0,0,'Données projet'!$E$10+1,1))-AVERAGE(OFFSET($H$3,0,0,'Données projet'!$E$10+1,1))</f>
        <v>371.95849973474657</v>
      </c>
      <c r="AO22" s="62">
        <f t="shared" si="36"/>
        <v>233.32640143610547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26.678152211679688</v>
      </c>
      <c r="BF22" s="14">
        <f t="shared" si="37"/>
        <v>8.3888664806148832</v>
      </c>
      <c r="BG22" s="22">
        <f t="shared" si="7"/>
        <v>61.075057555746376</v>
      </c>
      <c r="BH22" s="62">
        <f t="shared" si="8"/>
        <v>340.96394644463521</v>
      </c>
      <c r="BI22" s="62">
        <f ca="1">AVERAGE(OFFSET($BH$3,0,0,'Données projet'!$E$11+1,1))-AVERAGE(OFFSET($H$3,0,0,'Données projet'!$E$11+1,1))</f>
        <v>423.40903481736001</v>
      </c>
      <c r="BJ22" s="62">
        <f t="shared" si="38"/>
        <v>263.03039552465799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3.9390243902439024</v>
      </c>
      <c r="BY22" s="13">
        <f>IF('Données projet'!$A$114&gt;35,BY21+BX22-CG21,IF(A22&lt;'Données projet'!$A$114,$BV$205^A22,IF(A22='Données projet'!$A$114,'Données projet'!$B$114,BY21+BX22-CG21)))</f>
        <v>74.841463414634134</v>
      </c>
      <c r="BZ22" s="14">
        <f>BY22*VLOOKUP('Données projet'!$B$12,Paramètres!$A$1:$I$89,3,0)*VLOOKUP('Données projet'!$B$12,Paramètres!$A$1:$I$89,5,0)</f>
        <v>35.025804878048774</v>
      </c>
      <c r="CA22" s="14">
        <f t="shared" si="39"/>
        <v>10.670220917796074</v>
      </c>
      <c r="CB22" s="22">
        <f t="shared" si="10"/>
        <v>79.587244927763109</v>
      </c>
      <c r="CC22" s="62">
        <f t="shared" si="11"/>
        <v>359.47613381665195</v>
      </c>
      <c r="CD22" s="62">
        <f ca="1">AVERAGE(OFFSET($CC$3,0,0,'Données projet'!$E$12+1,1))-AVERAGE(OFFSET($H$3,0,0,'Données projet'!$E$12+1,1))</f>
        <v>264.88170274686757</v>
      </c>
      <c r="CE22" s="62">
        <f t="shared" si="40"/>
        <v>160.81140876142001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49.622092651760646</v>
      </c>
      <c r="CV22" s="14">
        <f t="shared" si="41"/>
        <v>14.516120390537463</v>
      </c>
      <c r="CW22" s="22">
        <f t="shared" si="13"/>
        <v>111.70738771533587</v>
      </c>
      <c r="CX22" s="62">
        <f t="shared" si="14"/>
        <v>391.59627660422473</v>
      </c>
      <c r="CY22" s="62">
        <f ca="1">AVERAGE(OFFSET($CX$3,0,0,'Données projet'!$E$13+1,1))-AVERAGE(OFFSET($H$3,0,0,'Données projet'!$E$13+1,1))</f>
        <v>411.60020200960821</v>
      </c>
      <c r="CZ22" s="62">
        <f t="shared" si="42"/>
        <v>261.95434270986397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10.8</v>
      </c>
      <c r="DO22" s="13">
        <f>IF('Données projet'!$A$166&gt;35,DO21+DN22-DW21,IF(A22&lt;'Données projet'!$A$166,$DL$205^A22,IF(A22='Données projet'!$A$166,'Données projet'!$B$166,DO21+DN22-DW21)))</f>
        <v>79.199999999999989</v>
      </c>
      <c r="DP22" s="18">
        <f>DO22*VLOOKUP('Données projet'!$B$14,Paramètres!$A$1:$I$89,3,0)*VLOOKUP('Données projet'!$B$14,Paramètres!$A$1:$I$89,5,0)</f>
        <v>51.891839999999995</v>
      </c>
      <c r="DQ22" s="14">
        <f t="shared" si="43"/>
        <v>15.101274552066693</v>
      </c>
      <c r="DR22" s="22">
        <f t="shared" si="16"/>
        <v>116.67967451151615</v>
      </c>
      <c r="DS22" s="62">
        <f t="shared" si="17"/>
        <v>396.56856340040503</v>
      </c>
      <c r="DT22" s="62">
        <f ca="1">AVERAGE(OFFSET($DS$3,0,0,'Données projet'!$E$14+1,1))-AVERAGE(OFFSET($H$3,0,0,'Données projet'!$E$14+1,1))</f>
        <v>240.134073924311</v>
      </c>
      <c r="DU22" s="62">
        <f t="shared" si="44"/>
        <v>237.10378497981156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0.64551962119700224</v>
      </c>
      <c r="ED22" s="24">
        <f t="shared" si="18"/>
        <v>0.64551962119700224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85</v>
      </c>
      <c r="L23" s="13">
        <f>VLOOKUP(A23,'Données projet'!$A$35:$I$55,9,0)</f>
        <v>9.6</v>
      </c>
      <c r="M23" s="13">
        <f t="array" ref="M23">INDEX(L:L,MIN(IF(ISNUMBER(L23:L219),ROW(L23:L219),"")))</f>
        <v>9.6</v>
      </c>
      <c r="N23" s="14">
        <f>IF('Données projet'!$A$36&gt;35,N22+M23-V22,IF(A23&lt;'Données projet'!$A$36,$K$205^A23,IF(A23='Données projet'!$A$36,'Données projet'!$B$36,N22+M23-V22)))</f>
        <v>84.999999999999986</v>
      </c>
      <c r="O23" s="14">
        <f>N23*VLOOKUP('Données projet'!$B$9,Paramètres!$A$1:$I$89,3,0)*VLOOKUP('Données projet'!$B$9,Paramètres!$A$1:$I$89,5,0)</f>
        <v>66.3</v>
      </c>
      <c r="P23" s="14">
        <f t="shared" si="33"/>
        <v>18.751733344032118</v>
      </c>
      <c r="Q23" s="22">
        <f t="shared" si="2"/>
        <v>148.13176890752257</v>
      </c>
      <c r="R23" s="62">
        <f t="shared" si="0"/>
        <v>429.24288001863374</v>
      </c>
      <c r="S23" s="62">
        <f ca="1">AVERAGE(OFFSET($R$3,0,0,'Données projet'!$E$9+1,1))-AVERAGE(OFFSET($H$3,0,0,'Données projet'!$E$9+1,1))</f>
        <v>288.82868507674738</v>
      </c>
      <c r="T23" s="62">
        <f t="shared" si="34"/>
        <v>283.48738729114024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25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18.78907178834152</v>
      </c>
      <c r="AC23" s="24">
        <f t="shared" si="3"/>
        <v>18.78907178834152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343.76531847344569</v>
      </c>
      <c r="AN23" s="62">
        <f ca="1">AVERAGE(OFFSET($AM$3,0,0,'Données projet'!$E$10+1,1))-AVERAGE(OFFSET($H$3,0,0,'Données projet'!$E$10+1,1))</f>
        <v>371.95849973474657</v>
      </c>
      <c r="AO23" s="62">
        <f t="shared" si="36"/>
        <v>233.32640143610547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31.637785701396727</v>
      </c>
      <c r="BF23" s="14">
        <f t="shared" si="37"/>
        <v>9.7529086666497911</v>
      </c>
      <c r="BG23" s="22">
        <f t="shared" si="7"/>
        <v>72.088792691014348</v>
      </c>
      <c r="BH23" s="62">
        <f t="shared" si="8"/>
        <v>353.1999038021255</v>
      </c>
      <c r="BI23" s="62">
        <f ca="1">AVERAGE(OFFSET($BH$3,0,0,'Données projet'!$E$11+1,1))-AVERAGE(OFFSET($H$3,0,0,'Données projet'!$E$11+1,1))</f>
        <v>423.40903481736001</v>
      </c>
      <c r="BJ23" s="62">
        <f t="shared" si="38"/>
        <v>263.03039552465799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3.9390243902439024</v>
      </c>
      <c r="BY23" s="13">
        <f>IF('Données projet'!$A$114&gt;35,BY22+BX23-CG22,IF(A23&lt;'Données projet'!$A$114,$BV$205^A23,IF(A23='Données projet'!$A$114,'Données projet'!$B$114,BY22+BX23-CG22)))</f>
        <v>78.780487804878035</v>
      </c>
      <c r="BZ23" s="14">
        <f>BY23*VLOOKUP('Données projet'!$B$12,Paramètres!$A$1:$I$89,3,0)*VLOOKUP('Données projet'!$B$12,Paramètres!$A$1:$I$89,5,0)</f>
        <v>36.869268292682925</v>
      </c>
      <c r="CA23" s="14">
        <f t="shared" si="39"/>
        <v>11.164951312904579</v>
      </c>
      <c r="CB23" s="22">
        <f t="shared" si="10"/>
        <v>83.659599146398236</v>
      </c>
      <c r="CC23" s="62">
        <f t="shared" si="11"/>
        <v>364.77071025750939</v>
      </c>
      <c r="CD23" s="62">
        <f ca="1">AVERAGE(OFFSET($CC$3,0,0,'Données projet'!$E$12+1,1))-AVERAGE(OFFSET($H$3,0,0,'Données projet'!$E$12+1,1))</f>
        <v>264.88170274686757</v>
      </c>
      <c r="CE23" s="62">
        <f t="shared" si="40"/>
        <v>160.81140876142001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61.495200000000004</v>
      </c>
      <c r="CV23" s="14">
        <f t="shared" si="41"/>
        <v>17.545759224285259</v>
      </c>
      <c r="CW23" s="22">
        <f t="shared" si="13"/>
        <v>137.66300398229683</v>
      </c>
      <c r="CX23" s="62">
        <f t="shared" si="14"/>
        <v>418.774115093408</v>
      </c>
      <c r="CY23" s="62">
        <f ca="1">AVERAGE(OFFSET($CX$3,0,0,'Données projet'!$E$13+1,1))-AVERAGE(OFFSET($H$3,0,0,'Données projet'!$E$13+1,1))</f>
        <v>411.60020200960821</v>
      </c>
      <c r="CZ23" s="62">
        <f t="shared" si="42"/>
        <v>261.95434270986397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1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4.7689624371814743</v>
      </c>
      <c r="DI23" s="24">
        <f t="shared" si="15"/>
        <v>4.7689624371814743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90</v>
      </c>
      <c r="DM23" s="13">
        <f>VLOOKUP(A23,'Données projet'!$A$165:$I$185,9,0)</f>
        <v>10.8</v>
      </c>
      <c r="DN23" s="13">
        <f t="array" ref="DN23">INDEX(DM:DM,MIN(IF(ISNUMBER(DM23:DM219),ROW(DM23:DM219),"")))</f>
        <v>10.8</v>
      </c>
      <c r="DO23" s="13">
        <f>IF('Données projet'!$A$166&gt;35,DO22+DN23-DW22,IF(A23&lt;'Données projet'!$A$166,$DL$205^A23,IF(A23='Données projet'!$A$166,'Données projet'!$B$166,DO22+DN23-DW22)))</f>
        <v>89.999999999999986</v>
      </c>
      <c r="DP23" s="18">
        <f>DO23*VLOOKUP('Données projet'!$B$14,Paramètres!$A$1:$I$89,3,0)*VLOOKUP('Données projet'!$B$14,Paramètres!$A$1:$I$89,5,0)</f>
        <v>58.967999999999989</v>
      </c>
      <c r="DQ23" s="14">
        <f t="shared" si="43"/>
        <v>16.90708415297112</v>
      </c>
      <c r="DR23" s="22">
        <f t="shared" si="16"/>
        <v>132.14910489975802</v>
      </c>
      <c r="DS23" s="62">
        <f t="shared" si="17"/>
        <v>413.26021601086916</v>
      </c>
      <c r="DT23" s="62">
        <f ca="1">AVERAGE(OFFSET($DS$3,0,0,'Données projet'!$E$14+1,1))-AVERAGE(OFFSET($H$3,0,0,'Données projet'!$E$14+1,1))</f>
        <v>240.134073924311</v>
      </c>
      <c r="DU23" s="62">
        <f t="shared" si="44"/>
        <v>237.10378497981156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10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1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6.6384396460318751</v>
      </c>
      <c r="ED23" s="24">
        <f t="shared" si="18"/>
        <v>6.6384396460318751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10.6</v>
      </c>
      <c r="N24" s="14">
        <f>IF('Données projet'!$A$36&gt;35,N23+M24-V23,IF(A24&lt;'Données projet'!$A$36,$K$205^A24,IF(A24='Données projet'!$A$36,'Données projet'!$B$36,N23+M24-V23)))</f>
        <v>70.59999999999998</v>
      </c>
      <c r="O24" s="14">
        <f>N24*VLOOKUP('Données projet'!$B$9,Paramètres!$A$1:$I$89,3,0)*VLOOKUP('Données projet'!$B$9,Paramètres!$A$1:$I$89,5,0)</f>
        <v>55.067999999999984</v>
      </c>
      <c r="P24" s="14">
        <f t="shared" si="33"/>
        <v>15.915148294580479</v>
      </c>
      <c r="Q24" s="22">
        <f t="shared" si="2"/>
        <v>123.62898327972762</v>
      </c>
      <c r="R24" s="62">
        <f t="shared" si="0"/>
        <v>405.96231661306092</v>
      </c>
      <c r="S24" s="62">
        <f ca="1">AVERAGE(OFFSET($R$3,0,0,'Données projet'!$E$9+1,1))-AVERAGE(OFFSET($H$3,0,0,'Données projet'!$E$9+1,1))</f>
        <v>288.82868507674738</v>
      </c>
      <c r="T24" s="62">
        <f t="shared" si="34"/>
        <v>283.48738729114024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13.285880073737141</v>
      </c>
      <c r="AC24" s="24">
        <f t="shared" si="3"/>
        <v>13.285880073737141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356.28685727778725</v>
      </c>
      <c r="AN24" s="62">
        <f ca="1">AVERAGE(OFFSET($AM$3,0,0,'Données projet'!$E$10+1,1))-AVERAGE(OFFSET($H$3,0,0,'Données projet'!$E$10+1,1))</f>
        <v>371.95849973474657</v>
      </c>
      <c r="AO24" s="62">
        <f t="shared" si="36"/>
        <v>233.32640143610547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37.519445730176471</v>
      </c>
      <c r="BF24" s="14">
        <f t="shared" si="37"/>
        <v>11.338746144048852</v>
      </c>
      <c r="BG24" s="22">
        <f t="shared" si="7"/>
        <v>85.094684180942437</v>
      </c>
      <c r="BH24" s="62">
        <f t="shared" si="8"/>
        <v>367.42801751427578</v>
      </c>
      <c r="BI24" s="62">
        <f ca="1">AVERAGE(OFFSET($BH$3,0,0,'Données projet'!$E$11+1,1))-AVERAGE(OFFSET($H$3,0,0,'Données projet'!$E$11+1,1))</f>
        <v>423.40903481736001</v>
      </c>
      <c r="BJ24" s="62">
        <f t="shared" si="38"/>
        <v>263.03039552465799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3.9390243902439024</v>
      </c>
      <c r="BY24" s="13">
        <f>IF('Données projet'!$A$114&gt;35,BY23+BX24-CG23,IF(A24&lt;'Données projet'!$A$114,$BV$205^A24,IF(A24='Données projet'!$A$114,'Données projet'!$B$114,BY23+BX24-CG23)))</f>
        <v>82.719512195121936</v>
      </c>
      <c r="BZ24" s="14">
        <f>BY24*VLOOKUP('Données projet'!$B$12,Paramètres!$A$1:$I$89,3,0)*VLOOKUP('Données projet'!$B$12,Paramètres!$A$1:$I$89,5,0)</f>
        <v>38.712731707317069</v>
      </c>
      <c r="CA24" s="14">
        <f t="shared" si="39"/>
        <v>11.656809476235871</v>
      </c>
      <c r="CB24" s="22">
        <f t="shared" si="10"/>
        <v>87.726950894688045</v>
      </c>
      <c r="CC24" s="62">
        <f t="shared" si="11"/>
        <v>370.06028422802137</v>
      </c>
      <c r="CD24" s="62">
        <f ca="1">AVERAGE(OFFSET($CC$3,0,0,'Données projet'!$E$12+1,1))-AVERAGE(OFFSET($H$3,0,0,'Données projet'!$E$12+1,1))</f>
        <v>264.88170274686757</v>
      </c>
      <c r="CE24" s="62">
        <f t="shared" si="40"/>
        <v>160.81140876142001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62.506080000000011</v>
      </c>
      <c r="CV24" s="14">
        <f t="shared" si="41"/>
        <v>17.800367834870475</v>
      </c>
      <c r="CW24" s="22">
        <f t="shared" si="13"/>
        <v>139.86706331239944</v>
      </c>
      <c r="CX24" s="62">
        <f t="shared" si="14"/>
        <v>422.20039664573278</v>
      </c>
      <c r="CY24" s="62">
        <f ca="1">AVERAGE(OFFSET($CX$3,0,0,'Données projet'!$E$13+1,1))-AVERAGE(OFFSET($H$3,0,0,'Données projet'!$E$13+1,1))</f>
        <v>411.60020200960821</v>
      </c>
      <c r="CZ24" s="62">
        <f t="shared" si="42"/>
        <v>261.95434270986397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3.3721656785549454</v>
      </c>
      <c r="DI24" s="24">
        <f t="shared" si="15"/>
        <v>3.3721656785549454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7.4</v>
      </c>
      <c r="DO24" s="13">
        <f>IF('Données projet'!$A$166&gt;35,DO23+DN24-DW23,IF(A24&lt;'Données projet'!$A$166,$DL$205^A24,IF(A24='Données projet'!$A$166,'Données projet'!$B$166,DO23+DN24-DW23)))</f>
        <v>87.399999999999991</v>
      </c>
      <c r="DP24" s="18">
        <f>DO24*VLOOKUP('Données projet'!$B$14,Paramètres!$A$1:$I$89,3,0)*VLOOKUP('Données projet'!$B$14,Paramètres!$A$1:$I$89,5,0)</f>
        <v>57.264479999999999</v>
      </c>
      <c r="DQ24" s="14">
        <f t="shared" si="43"/>
        <v>16.474776623807379</v>
      </c>
      <c r="DR24" s="22">
        <f t="shared" si="16"/>
        <v>128.42920528646451</v>
      </c>
      <c r="DS24" s="62">
        <f t="shared" si="17"/>
        <v>410.76253861979785</v>
      </c>
      <c r="DT24" s="62">
        <f ca="1">AVERAGE(OFFSET($DS$3,0,0,'Données projet'!$E$14+1,1))-AVERAGE(OFFSET($H$3,0,0,'Données projet'!$E$14+1,1))</f>
        <v>240.134073924311</v>
      </c>
      <c r="DU24" s="62">
        <f t="shared" si="44"/>
        <v>237.10378497981156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4.6940856902067631</v>
      </c>
      <c r="ED24" s="24">
        <f t="shared" si="18"/>
        <v>4.6940856902067631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10.6</v>
      </c>
      <c r="N25" s="14">
        <f>IF('Données projet'!$A$36&gt;35,N24+M25-V24,IF(A25&lt;'Données projet'!$A$36,$K$205^A25,IF(A25='Données projet'!$A$36,'Données projet'!$B$36,N24+M25-V24)))</f>
        <v>81.199999999999974</v>
      </c>
      <c r="O25" s="14">
        <f>N25*VLOOKUP('Données projet'!$B$9,Paramètres!$A$1:$I$89,3,0)*VLOOKUP('Données projet'!$B$9,Paramètres!$A$1:$I$89,5,0)</f>
        <v>63.335999999999984</v>
      </c>
      <c r="P25" s="14">
        <f t="shared" si="33"/>
        <v>18.009040022946227</v>
      </c>
      <c r="Q25" s="22">
        <f t="shared" si="2"/>
        <v>141.67594470663133</v>
      </c>
      <c r="R25" s="62">
        <f t="shared" si="0"/>
        <v>425.23150026218684</v>
      </c>
      <c r="S25" s="62">
        <f ca="1">AVERAGE(OFFSET($R$3,0,0,'Données projet'!$E$9+1,1))-AVERAGE(OFFSET($H$3,0,0,'Données projet'!$E$9+1,1))</f>
        <v>288.82868507674738</v>
      </c>
      <c r="T25" s="62">
        <f t="shared" si="34"/>
        <v>283.48738729114024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9.3945358941707617</v>
      </c>
      <c r="AC25" s="24">
        <f t="shared" si="3"/>
        <v>9.3945358941707617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370.85234423918513</v>
      </c>
      <c r="AN25" s="62">
        <f ca="1">AVERAGE(OFFSET($AM$3,0,0,'Données projet'!$E$10+1,1))-AVERAGE(OFFSET($H$3,0,0,'Données projet'!$E$10+1,1))</f>
        <v>371.95849973474657</v>
      </c>
      <c r="AO25" s="62">
        <f t="shared" si="36"/>
        <v>233.32640143610547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44.494542733991352</v>
      </c>
      <c r="BF25" s="14">
        <f t="shared" si="37"/>
        <v>13.182443157580241</v>
      </c>
      <c r="BG25" s="22">
        <f t="shared" si="7"/>
        <v>100.45408376115385</v>
      </c>
      <c r="BH25" s="62">
        <f t="shared" si="8"/>
        <v>384.00963931670941</v>
      </c>
      <c r="BI25" s="62">
        <f ca="1">AVERAGE(OFFSET($BH$3,0,0,'Données projet'!$E$11+1,1))-AVERAGE(OFFSET($H$3,0,0,'Données projet'!$E$11+1,1))</f>
        <v>423.40903481736001</v>
      </c>
      <c r="BJ25" s="62">
        <f t="shared" si="38"/>
        <v>263.03039552465799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3.9390243902439024</v>
      </c>
      <c r="BY25" s="13">
        <f>IF('Données projet'!$A$114&gt;35,BY24+BX25-CG24,IF(A25&lt;'Données projet'!$A$114,$BV$205^A25,IF(A25='Données projet'!$A$114,'Données projet'!$B$114,BY24+BX25-CG24)))</f>
        <v>86.658536585365837</v>
      </c>
      <c r="BZ25" s="14">
        <f>BY25*VLOOKUP('Données projet'!$B$12,Paramètres!$A$1:$I$89,3,0)*VLOOKUP('Données projet'!$B$12,Paramètres!$A$1:$I$89,5,0)</f>
        <v>40.556195121951212</v>
      </c>
      <c r="CA25" s="14">
        <f t="shared" si="39"/>
        <v>12.145947796520208</v>
      </c>
      <c r="CB25" s="22">
        <f t="shared" si="10"/>
        <v>91.789565583004389</v>
      </c>
      <c r="CC25" s="62">
        <f t="shared" si="11"/>
        <v>375.34512113855993</v>
      </c>
      <c r="CD25" s="62">
        <f ca="1">AVERAGE(OFFSET($CC$3,0,0,'Données projet'!$E$12+1,1))-AVERAGE(OFFSET($H$3,0,0,'Données projet'!$E$12+1,1))</f>
        <v>264.88170274686757</v>
      </c>
      <c r="CE25" s="62">
        <f t="shared" si="40"/>
        <v>160.81140876142001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68.571360000000013</v>
      </c>
      <c r="CV25" s="14">
        <f t="shared" si="41"/>
        <v>19.318251258205343</v>
      </c>
      <c r="CW25" s="22">
        <f t="shared" si="13"/>
        <v>153.07440627470763</v>
      </c>
      <c r="CX25" s="62">
        <f t="shared" si="14"/>
        <v>436.62996183026314</v>
      </c>
      <c r="CY25" s="62">
        <f ca="1">AVERAGE(OFFSET($CX$3,0,0,'Données projet'!$E$13+1,1))-AVERAGE(OFFSET($H$3,0,0,'Données projet'!$E$13+1,1))</f>
        <v>411.60020200960821</v>
      </c>
      <c r="CZ25" s="62">
        <f t="shared" si="42"/>
        <v>261.95434270986397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2.3844812185907376</v>
      </c>
      <c r="DI25" s="24">
        <f t="shared" si="15"/>
        <v>2.3844812185907376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7.4</v>
      </c>
      <c r="DO25" s="13">
        <f>IF('Données projet'!$A$166&gt;35,DO24+DN25-DW24,IF(A25&lt;'Données projet'!$A$166,$DL$205^A25,IF(A25='Données projet'!$A$166,'Données projet'!$B$166,DO24+DN25-DW24)))</f>
        <v>94.8</v>
      </c>
      <c r="DP25" s="18">
        <f>DO25*VLOOKUP('Données projet'!$B$14,Paramètres!$A$1:$I$89,3,0)*VLOOKUP('Données projet'!$B$14,Paramètres!$A$1:$I$89,5,0)</f>
        <v>62.112959999999994</v>
      </c>
      <c r="DQ25" s="14">
        <f t="shared" si="43"/>
        <v>17.701410754819232</v>
      </c>
      <c r="DR25" s="22">
        <f t="shared" si="16"/>
        <v>139.01002906464348</v>
      </c>
      <c r="DS25" s="62">
        <f t="shared" si="17"/>
        <v>422.56558462019905</v>
      </c>
      <c r="DT25" s="62">
        <f ca="1">AVERAGE(OFFSET($DS$3,0,0,'Données projet'!$E$14+1,1))-AVERAGE(OFFSET($H$3,0,0,'Données projet'!$E$14+1,1))</f>
        <v>240.134073924311</v>
      </c>
      <c r="DU25" s="62">
        <f t="shared" si="44"/>
        <v>237.10378497981156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3.319219823015938</v>
      </c>
      <c r="ED25" s="24">
        <f t="shared" si="18"/>
        <v>3.319219823015938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10.6</v>
      </c>
      <c r="N26" s="14">
        <f>IF('Données projet'!$A$36&gt;35,N25+M26-V25,IF(A26&lt;'Données projet'!$A$36,$K$205^A26,IF(A26='Données projet'!$A$36,'Données projet'!$B$36,N25+M26-V25)))</f>
        <v>91.799999999999969</v>
      </c>
      <c r="O26" s="14">
        <f>N26*VLOOKUP('Données projet'!$B$9,Paramètres!$A$1:$I$89,3,0)*VLOOKUP('Données projet'!$B$9,Paramètres!$A$1:$I$89,5,0)</f>
        <v>71.603999999999985</v>
      </c>
      <c r="P26" s="14">
        <f t="shared" si="33"/>
        <v>20.071260561992585</v>
      </c>
      <c r="Q26" s="22">
        <f t="shared" si="2"/>
        <v>159.66774547880371</v>
      </c>
      <c r="R26" s="62">
        <f t="shared" si="0"/>
        <v>444.44552325658151</v>
      </c>
      <c r="S26" s="62">
        <f ca="1">AVERAGE(OFFSET($R$3,0,0,'Données projet'!$E$9+1,1))-AVERAGE(OFFSET($H$3,0,0,'Données projet'!$E$9+1,1))</f>
        <v>288.82868507674738</v>
      </c>
      <c r="T26" s="62">
        <f t="shared" si="34"/>
        <v>283.48738729114024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6.6429400368685716</v>
      </c>
      <c r="AC26" s="24">
        <f t="shared" si="3"/>
        <v>6.6429400368685716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387.83254820009637</v>
      </c>
      <c r="AN26" s="62">
        <f ca="1">AVERAGE(OFFSET($AM$3,0,0,'Données projet'!$E$10+1,1))-AVERAGE(OFFSET($H$3,0,0,'Données projet'!$E$10+1,1))</f>
        <v>371.95849973474657</v>
      </c>
      <c r="AO26" s="62">
        <f t="shared" si="36"/>
        <v>233.32640143610547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52.766353408965216</v>
      </c>
      <c r="BF26" s="14">
        <f t="shared" si="37"/>
        <v>15.325928051933779</v>
      </c>
      <c r="BG26" s="22">
        <f t="shared" si="7"/>
        <v>118.5940568777324</v>
      </c>
      <c r="BH26" s="62">
        <f t="shared" si="8"/>
        <v>403.37183465551016</v>
      </c>
      <c r="BI26" s="62">
        <f ca="1">AVERAGE(OFFSET($BH$3,0,0,'Données projet'!$E$11+1,1))-AVERAGE(OFFSET($H$3,0,0,'Données projet'!$E$11+1,1))</f>
        <v>423.40903481736001</v>
      </c>
      <c r="BJ26" s="62">
        <f t="shared" si="38"/>
        <v>263.03039552465799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3.9390243902439024</v>
      </c>
      <c r="BY26" s="13">
        <f>IF('Données projet'!$A$114&gt;35,BY25+BX26-CG25,IF(A26&lt;'Données projet'!$A$114,$BV$205^A26,IF(A26='Données projet'!$A$114,'Données projet'!$B$114,BY25+BX26-CG25)))</f>
        <v>90.597560975609738</v>
      </c>
      <c r="BZ26" s="14">
        <f>BY26*VLOOKUP('Données projet'!$B$12,Paramètres!$A$1:$I$89,3,0)*VLOOKUP('Données projet'!$B$12,Paramètres!$A$1:$I$89,5,0)</f>
        <v>42.399658536585363</v>
      </c>
      <c r="CA26" s="14">
        <f t="shared" si="39"/>
        <v>12.632504025878994</v>
      </c>
      <c r="CB26" s="22">
        <f t="shared" si="10"/>
        <v>95.847683129625409</v>
      </c>
      <c r="CC26" s="62">
        <f t="shared" si="11"/>
        <v>380.62546090740318</v>
      </c>
      <c r="CD26" s="62">
        <f ca="1">AVERAGE(OFFSET($CC$3,0,0,'Données projet'!$E$12+1,1))-AVERAGE(OFFSET($H$3,0,0,'Données projet'!$E$12+1,1))</f>
        <v>264.88170274686757</v>
      </c>
      <c r="CE26" s="62">
        <f t="shared" si="40"/>
        <v>160.81140876142001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74.636640000000014</v>
      </c>
      <c r="CV26" s="14">
        <f t="shared" si="41"/>
        <v>20.82056558443978</v>
      </c>
      <c r="CW26" s="22">
        <f t="shared" si="13"/>
        <v>166.25463305956598</v>
      </c>
      <c r="CX26" s="62">
        <f t="shared" si="14"/>
        <v>451.03241083734372</v>
      </c>
      <c r="CY26" s="62">
        <f ca="1">AVERAGE(OFFSET($CX$3,0,0,'Données projet'!$E$13+1,1))-AVERAGE(OFFSET($H$3,0,0,'Données projet'!$E$13+1,1))</f>
        <v>411.60020200960821</v>
      </c>
      <c r="CZ26" s="62">
        <f t="shared" si="42"/>
        <v>261.95434270986397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1.6860828392774729</v>
      </c>
      <c r="DI26" s="24">
        <f t="shared" si="15"/>
        <v>1.6860828392774729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7.4</v>
      </c>
      <c r="DO26" s="13">
        <f>IF('Données projet'!$A$166&gt;35,DO25+DN26-DW25,IF(A26&lt;'Données projet'!$A$166,$DL$205^A26,IF(A26='Données projet'!$A$166,'Données projet'!$B$166,DO25+DN26-DW25)))</f>
        <v>102.2</v>
      </c>
      <c r="DP26" s="18">
        <f>DO26*VLOOKUP('Données projet'!$B$14,Paramètres!$A$1:$I$89,3,0)*VLOOKUP('Données projet'!$B$14,Paramètres!$A$1:$I$89,5,0)</f>
        <v>66.961439999999996</v>
      </c>
      <c r="DQ26" s="14">
        <f t="shared" si="43"/>
        <v>18.9169381762505</v>
      </c>
      <c r="DR26" s="22">
        <f t="shared" si="16"/>
        <v>149.5715086569696</v>
      </c>
      <c r="DS26" s="62">
        <f t="shared" si="17"/>
        <v>434.34928643474734</v>
      </c>
      <c r="DT26" s="62">
        <f ca="1">AVERAGE(OFFSET($DS$3,0,0,'Données projet'!$E$14+1,1))-AVERAGE(OFFSET($H$3,0,0,'Données projet'!$E$14+1,1))</f>
        <v>240.134073924311</v>
      </c>
      <c r="DU26" s="62">
        <f t="shared" si="44"/>
        <v>237.10378497981156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2.347042845103382</v>
      </c>
      <c r="ED26" s="24">
        <f t="shared" si="18"/>
        <v>2.347042845103382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10.6</v>
      </c>
      <c r="N27" s="14">
        <f>IF('Données projet'!$A$36&gt;35,N26+M27-V26,IF(A27&lt;'Données projet'!$A$36,$K$205^A27,IF(A27='Données projet'!$A$36,'Données projet'!$B$36,N26+M27-V26)))</f>
        <v>102.39999999999996</v>
      </c>
      <c r="O27" s="14">
        <f>N27*VLOOKUP('Données projet'!$B$9,Paramètres!$A$1:$I$89,3,0)*VLOOKUP('Données projet'!$B$9,Paramètres!$A$1:$I$89,5,0)</f>
        <v>79.871999999999971</v>
      </c>
      <c r="P27" s="14">
        <f t="shared" si="33"/>
        <v>22.105884547145401</v>
      </c>
      <c r="Q27" s="22">
        <f t="shared" si="2"/>
        <v>177.61148225294485</v>
      </c>
      <c r="R27" s="62">
        <f t="shared" si="0"/>
        <v>463.61148225294482</v>
      </c>
      <c r="S27" s="62">
        <f ca="1">AVERAGE(OFFSET($R$3,0,0,'Données projet'!$E$9+1,1))-AVERAGE(OFFSET($H$3,0,0,'Données projet'!$E$9+1,1))</f>
        <v>288.82868507674738</v>
      </c>
      <c r="T27" s="62">
        <f t="shared" si="34"/>
        <v>283.48738729114024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4.6972679470853818</v>
      </c>
      <c r="AC27" s="24">
        <f t="shared" si="3"/>
        <v>4.6972679470853818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407.66566805259345</v>
      </c>
      <c r="AN27" s="62">
        <f ca="1">AVERAGE(OFFSET($AM$3,0,0,'Données projet'!$E$10+1,1))-AVERAGE(OFFSET($H$3,0,0,'Données projet'!$E$10+1,1))</f>
        <v>371.95849973474657</v>
      </c>
      <c r="AO27" s="62">
        <f t="shared" si="36"/>
        <v>233.32640143610547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62.57594484621535</v>
      </c>
      <c r="BF27" s="14">
        <f t="shared" si="37"/>
        <v>17.817946783103427</v>
      </c>
      <c r="BG27" s="22">
        <f t="shared" si="7"/>
        <v>140.01936125439684</v>
      </c>
      <c r="BH27" s="62">
        <f t="shared" si="8"/>
        <v>426.01936125439681</v>
      </c>
      <c r="BI27" s="62">
        <f ca="1">AVERAGE(OFFSET($BH$3,0,0,'Données projet'!$E$11+1,1))-AVERAGE(OFFSET($H$3,0,0,'Données projet'!$E$11+1,1))</f>
        <v>423.40903481736001</v>
      </c>
      <c r="BJ27" s="62">
        <f t="shared" si="38"/>
        <v>263.03039552465799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3.9390243902439024</v>
      </c>
      <c r="BY27" s="13">
        <f>IF('Données projet'!$A$114&gt;35,BY26+BX27-CG26,IF(A27&lt;'Données projet'!$A$114,$BV$205^A27,IF(A27='Données projet'!$A$114,'Données projet'!$B$114,BY26+BX27-CG26)))</f>
        <v>94.536585365853639</v>
      </c>
      <c r="BZ27" s="14">
        <f>BY27*VLOOKUP('Données projet'!$B$12,Paramètres!$A$1:$I$89,3,0)*VLOOKUP('Données projet'!$B$12,Paramètres!$A$1:$I$89,5,0)</f>
        <v>44.2431219512195</v>
      </c>
      <c r="CA27" s="14">
        <f t="shared" si="39"/>
        <v>13.116603260606709</v>
      </c>
      <c r="CB27" s="22">
        <f t="shared" si="10"/>
        <v>99.901521410597297</v>
      </c>
      <c r="CC27" s="62">
        <f t="shared" si="11"/>
        <v>385.9015214105973</v>
      </c>
      <c r="CD27" s="62">
        <f ca="1">AVERAGE(OFFSET($CC$3,0,0,'Données projet'!$E$12+1,1))-AVERAGE(OFFSET($H$3,0,0,'Données projet'!$E$12+1,1))</f>
        <v>264.88170274686757</v>
      </c>
      <c r="CE27" s="62">
        <f t="shared" si="40"/>
        <v>160.81140876142001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80.701920000000015</v>
      </c>
      <c r="CV27" s="14">
        <f t="shared" si="41"/>
        <v>22.308719863780368</v>
      </c>
      <c r="CW27" s="22">
        <f t="shared" si="13"/>
        <v>179.41019776275084</v>
      </c>
      <c r="CX27" s="62">
        <f t="shared" si="14"/>
        <v>465.41019776275084</v>
      </c>
      <c r="CY27" s="62">
        <f ca="1">AVERAGE(OFFSET($CX$3,0,0,'Données projet'!$E$13+1,1))-AVERAGE(OFFSET($H$3,0,0,'Données projet'!$E$13+1,1))</f>
        <v>411.60020200960821</v>
      </c>
      <c r="CZ27" s="62">
        <f t="shared" si="42"/>
        <v>261.95434270986397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1.192240609295369</v>
      </c>
      <c r="DI27" s="24">
        <f t="shared" si="15"/>
        <v>1.192240609295369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7.4</v>
      </c>
      <c r="DO27" s="13">
        <f>IF('Données projet'!$A$166&gt;35,DO26+DN27-DW26,IF(A27&lt;'Données projet'!$A$166,$DL$205^A27,IF(A27='Données projet'!$A$166,'Données projet'!$B$166,DO26+DN27-DW26)))</f>
        <v>109.60000000000001</v>
      </c>
      <c r="DP27" s="18">
        <f>DO27*VLOOKUP('Données projet'!$B$14,Paramètres!$A$1:$I$89,3,0)*VLOOKUP('Données projet'!$B$14,Paramètres!$A$1:$I$89,5,0)</f>
        <v>71.809920000000005</v>
      </c>
      <c r="DQ27" s="14">
        <f t="shared" si="43"/>
        <v>20.122254550812993</v>
      </c>
      <c r="DR27" s="22">
        <f t="shared" si="16"/>
        <v>160.11520400933264</v>
      </c>
      <c r="DS27" s="62">
        <f t="shared" si="17"/>
        <v>446.11520400933261</v>
      </c>
      <c r="DT27" s="62">
        <f ca="1">AVERAGE(OFFSET($DS$3,0,0,'Données projet'!$E$14+1,1))-AVERAGE(OFFSET($H$3,0,0,'Données projet'!$E$14+1,1))</f>
        <v>240.134073924311</v>
      </c>
      <c r="DU27" s="62">
        <f t="shared" si="44"/>
        <v>237.10378497981156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1.6596099115079692</v>
      </c>
      <c r="ED27" s="24">
        <f t="shared" si="18"/>
        <v>1.6596099115079692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113</v>
      </c>
      <c r="L28" s="13">
        <f>VLOOKUP(A28,'Données projet'!$A$35:$I$55,9,0)</f>
        <v>10.6</v>
      </c>
      <c r="M28" s="13">
        <f t="array" ref="M28">INDEX(L:L,MIN(IF(ISNUMBER(L28:L224),ROW(L28:L224),"")))</f>
        <v>10.6</v>
      </c>
      <c r="N28" s="14">
        <f>IF('Données projet'!$A$36&gt;35,N27+M28-V27,IF(A28&lt;'Données projet'!$A$36,$K$205^A28,IF(A28='Données projet'!$A$36,'Données projet'!$B$36,N27+M28-V27)))</f>
        <v>112.99999999999996</v>
      </c>
      <c r="O28" s="14">
        <f>N28*VLOOKUP('Données projet'!$B$9,Paramètres!$A$1:$I$89,3,0)*VLOOKUP('Données projet'!$B$9,Paramètres!$A$1:$I$89,5,0)</f>
        <v>88.139999999999972</v>
      </c>
      <c r="P28" s="14">
        <f t="shared" si="33"/>
        <v>24.116094026318823</v>
      </c>
      <c r="Q28" s="22">
        <f t="shared" si="2"/>
        <v>195.51269709583855</v>
      </c>
      <c r="R28" s="62">
        <f t="shared" si="0"/>
        <v>482.73491931806075</v>
      </c>
      <c r="S28" s="62">
        <f ca="1">AVERAGE(OFFSET($R$3,0,0,'Données projet'!$E$9+1,1))-AVERAGE(OFFSET($H$3,0,0,'Données projet'!$E$9+1,1))</f>
        <v>288.82868507674738</v>
      </c>
      <c r="T28" s="62">
        <f t="shared" si="34"/>
        <v>283.48738729114024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27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8.6000000000000007E-2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1.9943003723478601</v>
      </c>
      <c r="AB28" s="23">
        <f>EXP(-LN(2)/2)*AB27+(1-EXP(-LN(2)/2))/(LN(2)/2)*V28*Y28*VLOOKUP('Données projet'!$B$9,Paramètres!$A$1:$I$89,3,0)*0.475*44/12</f>
        <v>19.218011475705868</v>
      </c>
      <c r="AC28" s="24">
        <f t="shared" si="3"/>
        <v>21.21231184805373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430.86962479673792</v>
      </c>
      <c r="AN28" s="62">
        <f ca="1">AVERAGE(OFFSET($AM$3,0,0,'Données projet'!$E$10+1,1))-AVERAGE(OFFSET($H$3,0,0,'Données projet'!$E$10+1,1))</f>
        <v>371.95849973474657</v>
      </c>
      <c r="AO28" s="62">
        <f t="shared" si="36"/>
        <v>233.32640143610547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6.8296252186796416</v>
      </c>
      <c r="AX28" s="23">
        <f t="shared" si="6"/>
        <v>6.8296252186796416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74.20920000000001</v>
      </c>
      <c r="BF28" s="14">
        <f t="shared" si="37"/>
        <v>20.71517147214108</v>
      </c>
      <c r="BG28" s="22">
        <f t="shared" si="7"/>
        <v>165.3266136473124</v>
      </c>
      <c r="BH28" s="62">
        <f t="shared" si="8"/>
        <v>452.54883586953463</v>
      </c>
      <c r="BI28" s="62">
        <f ca="1">AVERAGE(OFFSET($BH$3,0,0,'Données projet'!$E$11+1,1))-AVERAGE(OFFSET($H$3,0,0,'Données projet'!$E$11+1,1))</f>
        <v>423.40903481736001</v>
      </c>
      <c r="BJ28" s="62">
        <f t="shared" si="38"/>
        <v>263.03039552465799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7.8893946491644158</v>
      </c>
      <c r="BS28" s="24">
        <f t="shared" si="9"/>
        <v>7.8893946491644158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3.9390243902439024</v>
      </c>
      <c r="BY28" s="13">
        <f>IF('Données projet'!$A$114&gt;35,BY27+BX28-CG27,IF(A28&lt;'Données projet'!$A$114,$BV$205^A28,IF(A28='Données projet'!$A$114,'Données projet'!$B$114,BY27+BX28-CG27)))</f>
        <v>98.475609756097541</v>
      </c>
      <c r="BZ28" s="14">
        <f>BY28*VLOOKUP('Données projet'!$B$12,Paramètres!$A$1:$I$89,3,0)*VLOOKUP('Données projet'!$B$12,Paramètres!$A$1:$I$89,5,0)</f>
        <v>46.086585365853651</v>
      </c>
      <c r="CA28" s="14">
        <f t="shared" si="39"/>
        <v>13.598359582519977</v>
      </c>
      <c r="CB28" s="22">
        <f t="shared" si="10"/>
        <v>103.95127911841739</v>
      </c>
      <c r="CC28" s="62">
        <f t="shared" si="11"/>
        <v>391.17350134063963</v>
      </c>
      <c r="CD28" s="62">
        <f ca="1">AVERAGE(OFFSET($CC$3,0,0,'Données projet'!$E$12+1,1))-AVERAGE(OFFSET($H$3,0,0,'Données projet'!$E$12+1,1))</f>
        <v>264.88170274686757</v>
      </c>
      <c r="CE28" s="62">
        <f t="shared" si="40"/>
        <v>160.81140876142001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86.767200000000017</v>
      </c>
      <c r="CV28" s="14">
        <f t="shared" si="41"/>
        <v>23.783899326718451</v>
      </c>
      <c r="CW28" s="22">
        <f t="shared" si="13"/>
        <v>192.54316466070134</v>
      </c>
      <c r="CX28" s="62">
        <f t="shared" si="14"/>
        <v>479.76538688292356</v>
      </c>
      <c r="CY28" s="62">
        <f ca="1">AVERAGE(OFFSET($CX$3,0,0,'Données projet'!$E$13+1,1))-AVERAGE(OFFSET($H$3,0,0,'Données projet'!$E$13+1,1))</f>
        <v>411.60020200960821</v>
      </c>
      <c r="CZ28" s="62">
        <f t="shared" si="42"/>
        <v>261.95434270986397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1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23.098199459818954</v>
      </c>
      <c r="DI28" s="24">
        <f t="shared" si="15"/>
        <v>23.098199459818954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117</v>
      </c>
      <c r="DM28" s="13">
        <f>VLOOKUP(A28,'Données projet'!$A$165:$I$185,9,0)</f>
        <v>7.4</v>
      </c>
      <c r="DN28" s="13">
        <f t="array" ref="DN28">INDEX(DM:DM,MIN(IF(ISNUMBER(DM28:DM224),ROW(DM28:DM224),"")))</f>
        <v>7.4</v>
      </c>
      <c r="DO28" s="13">
        <f>IF('Données projet'!$A$166&gt;35,DO27+DN28-DW27,IF(A28&lt;'Données projet'!$A$166,$DL$205^A28,IF(A28='Données projet'!$A$166,'Données projet'!$B$166,DO27+DN28-DW27)))</f>
        <v>117.00000000000001</v>
      </c>
      <c r="DP28" s="18">
        <f>DO28*VLOOKUP('Données projet'!$B$14,Paramètres!$A$1:$I$89,3,0)*VLOOKUP('Données projet'!$B$14,Paramètres!$A$1:$I$89,5,0)</f>
        <v>76.658400000000015</v>
      </c>
      <c r="DQ28" s="14">
        <f t="shared" si="43"/>
        <v>21.318127749842347</v>
      </c>
      <c r="DR28" s="22">
        <f t="shared" si="16"/>
        <v>170.6424524976421</v>
      </c>
      <c r="DS28" s="62">
        <f t="shared" si="17"/>
        <v>457.8646747198643</v>
      </c>
      <c r="DT28" s="62">
        <f ca="1">AVERAGE(OFFSET($DS$3,0,0,'Données projet'!$E$14+1,1))-AVERAGE(OFFSET($H$3,0,0,'Données projet'!$E$14+1,1))</f>
        <v>240.134073924311</v>
      </c>
      <c r="DU28" s="62">
        <f t="shared" si="44"/>
        <v>237.10378497981156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21</v>
      </c>
      <c r="DX28" s="17">
        <f>IF(ISNA(VLOOKUP(A28,'Données projet'!$A$165:$I$185,5,0)),0%,VLOOKUP(A28,'Données projet'!$A$165:$I$185,5,0)*VLOOKUP('Données projet'!$B$14,Paramètres!$A$1:$I$89,7,0))</f>
        <v>4.3000000000000003E-2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1</v>
      </c>
      <c r="EA28" s="23">
        <f>EXP(-LN(2)/35)*EA27+(1-EXP(-LN(2)/35))/(LN(2)/35)*DW28*DX28*VLOOKUP('Données projet'!$B$14,Paramètres!$A$1:$I$89,3,0)*0.475*44/12</f>
        <v>0.65404668598100013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14.155696945990147</v>
      </c>
      <c r="ED28" s="24">
        <f t="shared" si="18"/>
        <v>14.809743631971148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11.5</v>
      </c>
      <c r="N29" s="14">
        <f>IF('Données projet'!$A$36&gt;35,N28+M29-V28,IF(A29&lt;'Données projet'!$A$36,$K$205^A29,IF(A29='Données projet'!$A$36,'Données projet'!$B$36,N28+M29-V28)))</f>
        <v>97.499999999999957</v>
      </c>
      <c r="O29" s="14">
        <f>N29*VLOOKUP('Données projet'!$B$9,Paramètres!$A$1:$I$89,3,0)*VLOOKUP('Données projet'!$B$9,Paramètres!$A$1:$I$89,5,0)</f>
        <v>76.049999999999969</v>
      </c>
      <c r="P29" s="14">
        <f t="shared" si="33"/>
        <v>21.168560890749262</v>
      </c>
      <c r="Q29" s="22">
        <f t="shared" si="2"/>
        <v>169.32232688472158</v>
      </c>
      <c r="R29" s="62">
        <f t="shared" si="0"/>
        <v>457.76677132916603</v>
      </c>
      <c r="S29" s="62">
        <f ca="1">AVERAGE(OFFSET($R$3,0,0,'Données projet'!$E$9+1,1))-AVERAGE(OFFSET($H$3,0,0,'Données projet'!$E$9+1,1))</f>
        <v>288.82868507674738</v>
      </c>
      <c r="T29" s="62">
        <f t="shared" si="34"/>
        <v>283.48738729114024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1.9397661237903092</v>
      </c>
      <c r="AB29" s="23">
        <f>EXP(-LN(2)/2)*AB28+(1-EXP(-LN(2)/2))/(LN(2)/2)*V29*Y29*VLOOKUP('Données projet'!$B$9,Paramètres!$A$1:$I$89,3,0)*0.475*44/12</f>
        <v>13.589186235392509</v>
      </c>
      <c r="AC29" s="24">
        <f t="shared" si="3"/>
        <v>15.528952359182817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430.12038915107576</v>
      </c>
      <c r="AN29" s="62">
        <f ca="1">AVERAGE(OFFSET($AM$3,0,0,'Données projet'!$E$10+1,1))-AVERAGE(OFFSET($H$3,0,0,'Données projet'!$E$10+1,1))</f>
        <v>371.95849973474657</v>
      </c>
      <c r="AO29" s="62">
        <f t="shared" si="36"/>
        <v>233.32640143610547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4.8292743050910323</v>
      </c>
      <c r="AX29" s="23">
        <f t="shared" si="6"/>
        <v>4.8292743050910323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73.164000000000016</v>
      </c>
      <c r="BF29" s="14">
        <f t="shared" si="37"/>
        <v>20.457157263578857</v>
      </c>
      <c r="BG29" s="22">
        <f t="shared" si="7"/>
        <v>163.0568489007332</v>
      </c>
      <c r="BH29" s="62">
        <f t="shared" si="8"/>
        <v>451.50129334517766</v>
      </c>
      <c r="BI29" s="62">
        <f ca="1">AVERAGE(OFFSET($BH$3,0,0,'Données projet'!$E$11+1,1))-AVERAGE(OFFSET($H$3,0,0,'Données projet'!$E$11+1,1))</f>
        <v>423.40903481736001</v>
      </c>
      <c r="BJ29" s="62">
        <f t="shared" si="38"/>
        <v>263.03039552465799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5.5786444558810215</v>
      </c>
      <c r="BS29" s="24">
        <f t="shared" si="9"/>
        <v>5.5786444558810215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3.9390243902439024</v>
      </c>
      <c r="BY29" s="13">
        <f>IF('Données projet'!$A$114&gt;35,BY28+BX29-CG28,IF(A29&lt;'Données projet'!$A$114,$BV$205^A29,IF(A29='Données projet'!$A$114,'Données projet'!$B$114,BY28+BX29-CG28)))</f>
        <v>102.41463414634144</v>
      </c>
      <c r="BZ29" s="14">
        <f>BY29*VLOOKUP('Données projet'!$B$12,Paramètres!$A$1:$I$89,3,0)*VLOOKUP('Données projet'!$B$12,Paramètres!$A$1:$I$89,5,0)</f>
        <v>47.930048780487795</v>
      </c>
      <c r="CA29" s="14">
        <f t="shared" si="39"/>
        <v>14.077877430298512</v>
      </c>
      <c r="CB29" s="22">
        <f t="shared" si="10"/>
        <v>107.99713815045283</v>
      </c>
      <c r="CC29" s="62">
        <f t="shared" si="11"/>
        <v>396.44158259489728</v>
      </c>
      <c r="CD29" s="62">
        <f ca="1">AVERAGE(OFFSET($CC$3,0,0,'Données projet'!$E$12+1,1))-AVERAGE(OFFSET($H$3,0,0,'Données projet'!$E$12+1,1))</f>
        <v>264.88170274686757</v>
      </c>
      <c r="CE29" s="62">
        <f t="shared" si="40"/>
        <v>160.81140876142001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70.930080000000018</v>
      </c>
      <c r="CV29" s="14">
        <f t="shared" si="41"/>
        <v>19.904251483253464</v>
      </c>
      <c r="CW29" s="22">
        <f t="shared" si="13"/>
        <v>158.20312733333313</v>
      </c>
      <c r="CX29" s="62">
        <f t="shared" si="14"/>
        <v>446.64757177777756</v>
      </c>
      <c r="CY29" s="62">
        <f ca="1">AVERAGE(OFFSET($CX$3,0,0,'Données projet'!$E$13+1,1))-AVERAGE(OFFSET($H$3,0,0,'Données projet'!$E$13+1,1))</f>
        <v>411.60020200960821</v>
      </c>
      <c r="CZ29" s="62">
        <f t="shared" si="42"/>
        <v>261.95434270986397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16.332893471237433</v>
      </c>
      <c r="DI29" s="24">
        <f t="shared" si="15"/>
        <v>16.332893471237433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8.4</v>
      </c>
      <c r="DO29" s="13">
        <f>IF('Données projet'!$A$166&gt;35,DO28+DN29-DW28,IF(A29&lt;'Données projet'!$A$166,$DL$205^A29,IF(A29='Données projet'!$A$166,'Données projet'!$B$166,DO28+DN29-DW28)))</f>
        <v>104.40000000000002</v>
      </c>
      <c r="DP29" s="18">
        <f>DO29*VLOOKUP('Données projet'!$B$14,Paramètres!$A$1:$I$89,3,0)*VLOOKUP('Données projet'!$B$14,Paramètres!$A$1:$I$89,5,0)</f>
        <v>68.40288000000001</v>
      </c>
      <c r="DQ29" s="14">
        <f t="shared" si="43"/>
        <v>19.276305189511739</v>
      </c>
      <c r="DR29" s="22">
        <f t="shared" si="16"/>
        <v>152.70791420506629</v>
      </c>
      <c r="DS29" s="62">
        <f t="shared" si="17"/>
        <v>441.15235864951075</v>
      </c>
      <c r="DT29" s="62">
        <f ca="1">AVERAGE(OFFSET($DS$3,0,0,'Données projet'!$E$14+1,1))-AVERAGE(OFFSET($H$3,0,0,'Données projet'!$E$14+1,1))</f>
        <v>240.134073924311</v>
      </c>
      <c r="DU29" s="62">
        <f t="shared" si="44"/>
        <v>237.10378497981156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0.64122122939800019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10.009589302931335</v>
      </c>
      <c r="ED29" s="24">
        <f t="shared" si="18"/>
        <v>10.650810532329336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11.5</v>
      </c>
      <c r="N30" s="14">
        <f>IF('Données projet'!$A$36&gt;35,N29+M30-V29,IF(A30&lt;'Données projet'!$A$36,$K$205^A30,IF(A30='Données projet'!$A$36,'Données projet'!$B$36,N29+M30-V29)))</f>
        <v>108.99999999999996</v>
      </c>
      <c r="O30" s="14">
        <f>N30*VLOOKUP('Données projet'!$B$9,Paramètres!$A$1:$I$89,3,0)*VLOOKUP('Données projet'!$B$9,Paramètres!$A$1:$I$89,5,0)</f>
        <v>85.019999999999968</v>
      </c>
      <c r="P30" s="14">
        <f t="shared" si="33"/>
        <v>23.360218970693097</v>
      </c>
      <c r="Q30" s="22">
        <f t="shared" si="2"/>
        <v>188.76221470729038</v>
      </c>
      <c r="R30" s="62">
        <f t="shared" si="0"/>
        <v>478.4288813739571</v>
      </c>
      <c r="S30" s="62">
        <f ca="1">AVERAGE(OFFSET($R$3,0,0,'Données projet'!$E$9+1,1))-AVERAGE(OFFSET($H$3,0,0,'Données projet'!$E$9+1,1))</f>
        <v>288.82868507674738</v>
      </c>
      <c r="T30" s="62">
        <f t="shared" si="34"/>
        <v>283.48738729114024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1.8867231171273962</v>
      </c>
      <c r="AB30" s="23">
        <f>EXP(-LN(2)/2)*AB29+(1-EXP(-LN(2)/2))/(LN(2)/2)*V30*Y30*VLOOKUP('Données projet'!$B$9,Paramètres!$A$1:$I$89,3,0)*0.475*44/12</f>
        <v>9.6090057378529341</v>
      </c>
      <c r="AC30" s="24">
        <f t="shared" si="3"/>
        <v>11.49572885498033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445.12954892285575</v>
      </c>
      <c r="AN30" s="62">
        <f ca="1">AVERAGE(OFFSET($AM$3,0,0,'Données projet'!$E$10+1,1))-AVERAGE(OFFSET($H$3,0,0,'Données projet'!$E$10+1,1))</f>
        <v>371.95849973474657</v>
      </c>
      <c r="AO30" s="62">
        <f t="shared" si="36"/>
        <v>233.32640143610547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3.4148126093398212</v>
      </c>
      <c r="AX30" s="23">
        <f t="shared" si="6"/>
        <v>3.4148126093398212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80.480400000000003</v>
      </c>
      <c r="BF30" s="14">
        <f t="shared" si="37"/>
        <v>22.254603466245904</v>
      </c>
      <c r="BG30" s="22">
        <f t="shared" si="7"/>
        <v>178.93013103704493</v>
      </c>
      <c r="BH30" s="62">
        <f t="shared" si="8"/>
        <v>468.59679770371162</v>
      </c>
      <c r="BI30" s="62">
        <f ca="1">AVERAGE(OFFSET($BH$3,0,0,'Données projet'!$E$11+1,1))-AVERAGE(OFFSET($H$3,0,0,'Données projet'!$E$11+1,1))</f>
        <v>423.40903481736001</v>
      </c>
      <c r="BJ30" s="62">
        <f t="shared" si="38"/>
        <v>263.03039552465799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3.9446973245822083</v>
      </c>
      <c r="BS30" s="24">
        <f t="shared" si="9"/>
        <v>3.9446973245822083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3.9390243902439024</v>
      </c>
      <c r="BY30" s="13">
        <f>IF('Données projet'!$A$114&gt;35,BY29+BX30-CG29,IF(A30&lt;'Données projet'!$A$114,$BV$205^A30,IF(A30='Données projet'!$A$114,'Données projet'!$B$114,BY29+BX30-CG29)))</f>
        <v>106.35365853658534</v>
      </c>
      <c r="BZ30" s="14">
        <f>BY30*VLOOKUP('Données projet'!$B$12,Paramètres!$A$1:$I$89,3,0)*VLOOKUP('Données projet'!$B$12,Paramètres!$A$1:$I$89,5,0)</f>
        <v>49.773512195121938</v>
      </c>
      <c r="CA30" s="14">
        <f t="shared" si="39"/>
        <v>14.555252753916291</v>
      </c>
      <c r="CB30" s="22">
        <f t="shared" si="10"/>
        <v>112.03926561957492</v>
      </c>
      <c r="CC30" s="62">
        <f t="shared" si="11"/>
        <v>401.70593228624159</v>
      </c>
      <c r="CD30" s="62">
        <f ca="1">AVERAGE(OFFSET($CC$3,0,0,'Données projet'!$E$12+1,1))-AVERAGE(OFFSET($H$3,0,0,'Données projet'!$E$12+1,1))</f>
        <v>264.88170274686757</v>
      </c>
      <c r="CE30" s="62">
        <f t="shared" si="40"/>
        <v>160.81140876142001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78.680160000000029</v>
      </c>
      <c r="CV30" s="14">
        <f t="shared" si="41"/>
        <v>21.814164609384523</v>
      </c>
      <c r="CW30" s="22">
        <f t="shared" si="13"/>
        <v>175.02761536134474</v>
      </c>
      <c r="CX30" s="62">
        <f t="shared" si="14"/>
        <v>464.69428202801146</v>
      </c>
      <c r="CY30" s="62">
        <f ca="1">AVERAGE(OFFSET($CX$3,0,0,'Données projet'!$E$13+1,1))-AVERAGE(OFFSET($H$3,0,0,'Données projet'!$E$13+1,1))</f>
        <v>411.60020200960821</v>
      </c>
      <c r="CZ30" s="62">
        <f t="shared" si="42"/>
        <v>261.95434270986397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11.549099729909479</v>
      </c>
      <c r="DI30" s="24">
        <f t="shared" si="15"/>
        <v>11.549099729909479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8.4</v>
      </c>
      <c r="DO30" s="13">
        <f>IF('Données projet'!$A$166&gt;35,DO29+DN30-DW29,IF(A30&lt;'Données projet'!$A$166,$DL$205^A30,IF(A30='Données projet'!$A$166,'Données projet'!$B$166,DO29+DN30-DW29)))</f>
        <v>112.80000000000003</v>
      </c>
      <c r="DP30" s="18">
        <f>DO30*VLOOKUP('Données projet'!$B$14,Paramètres!$A$1:$I$89,3,0)*VLOOKUP('Données projet'!$B$14,Paramètres!$A$1:$I$89,5,0)</f>
        <v>73.906560000000027</v>
      </c>
      <c r="DQ30" s="14">
        <f t="shared" si="43"/>
        <v>20.640506648584481</v>
      </c>
      <c r="DR30" s="22">
        <f t="shared" si="16"/>
        <v>164.66947441295133</v>
      </c>
      <c r="DS30" s="62">
        <f t="shared" si="17"/>
        <v>454.33614107961802</v>
      </c>
      <c r="DT30" s="62">
        <f ca="1">AVERAGE(OFFSET($DS$3,0,0,'Données projet'!$E$14+1,1))-AVERAGE(OFFSET($H$3,0,0,'Données projet'!$E$14+1,1))</f>
        <v>240.134073924311</v>
      </c>
      <c r="DU30" s="62">
        <f t="shared" si="44"/>
        <v>237.10378497981156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0.62864727219583683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7.0778484729950746</v>
      </c>
      <c r="ED30" s="24">
        <f t="shared" si="18"/>
        <v>7.7064957451909111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11.5</v>
      </c>
      <c r="N31" s="14">
        <f>IF('Données projet'!$A$36&gt;35,N30+M31-V30,IF(A31&lt;'Données projet'!$A$36,$K$205^A31,IF(A31='Données projet'!$A$36,'Données projet'!$B$36,N30+M31-V30)))</f>
        <v>120.49999999999996</v>
      </c>
      <c r="O31" s="14">
        <f>N31*VLOOKUP('Données projet'!$B$9,Paramètres!$A$1:$I$89,3,0)*VLOOKUP('Données projet'!$B$9,Paramètres!$A$1:$I$89,5,0)</f>
        <v>93.989999999999966</v>
      </c>
      <c r="P31" s="14">
        <f t="shared" si="33"/>
        <v>25.525074036970054</v>
      </c>
      <c r="Q31" s="22">
        <f t="shared" si="2"/>
        <v>208.15542061438944</v>
      </c>
      <c r="R31" s="62">
        <f t="shared" si="0"/>
        <v>499.04430950327833</v>
      </c>
      <c r="S31" s="62">
        <f ca="1">AVERAGE(OFFSET($R$3,0,0,'Données projet'!$E$9+1,1))-AVERAGE(OFFSET($H$3,0,0,'Données projet'!$E$9+1,1))</f>
        <v>288.82868507674738</v>
      </c>
      <c r="T31" s="62">
        <f t="shared" si="34"/>
        <v>283.48738729114024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1.8351305742710908</v>
      </c>
      <c r="AB31" s="23">
        <f>EXP(-LN(2)/2)*AB30+(1-EXP(-LN(2)/2))/(LN(2)/2)*V31*Y31*VLOOKUP('Données projet'!$B$9,Paramètres!$A$1:$I$89,3,0)*0.475*44/12</f>
        <v>6.7945931176962544</v>
      </c>
      <c r="AC31" s="24">
        <f t="shared" si="3"/>
        <v>8.6297236919673459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460.1096576249563</v>
      </c>
      <c r="AN31" s="62">
        <f ca="1">AVERAGE(OFFSET($AM$3,0,0,'Données projet'!$E$10+1,1))-AVERAGE(OFFSET($H$3,0,0,'Données projet'!$E$10+1,1))</f>
        <v>371.95849973474657</v>
      </c>
      <c r="AO31" s="62">
        <f t="shared" si="36"/>
        <v>233.32640143610547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2.4146371525455166</v>
      </c>
      <c r="AX31" s="23">
        <f t="shared" si="6"/>
        <v>2.4146371525455166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87.796800000000005</v>
      </c>
      <c r="BF31" s="14">
        <f t="shared" si="37"/>
        <v>24.033102173590827</v>
      </c>
      <c r="BG31" s="22">
        <f t="shared" si="7"/>
        <v>194.77041295233732</v>
      </c>
      <c r="BH31" s="62">
        <f t="shared" si="8"/>
        <v>485.65930184122618</v>
      </c>
      <c r="BI31" s="62">
        <f ca="1">AVERAGE(OFFSET($BH$3,0,0,'Données projet'!$E$11+1,1))-AVERAGE(OFFSET($H$3,0,0,'Données projet'!$E$11+1,1))</f>
        <v>423.40903481736001</v>
      </c>
      <c r="BJ31" s="62">
        <f t="shared" si="38"/>
        <v>263.03039552465799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2.7893222279405112</v>
      </c>
      <c r="BS31" s="24">
        <f t="shared" si="9"/>
        <v>2.7893222279405112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3.9390243902439024</v>
      </c>
      <c r="BY31" s="13">
        <f>IF('Données projet'!$A$114&gt;35,BY30+BX31-CG30,IF(A31&lt;'Données projet'!$A$114,$BV$205^A31,IF(A31='Données projet'!$A$114,'Données projet'!$B$114,BY30+BX31-CG30)))</f>
        <v>110.29268292682924</v>
      </c>
      <c r="BZ31" s="14">
        <f>BY31*VLOOKUP('Données projet'!$B$12,Paramètres!$A$1:$I$89,3,0)*VLOOKUP('Données projet'!$B$12,Paramètres!$A$1:$I$89,5,0)</f>
        <v>51.616975609756089</v>
      </c>
      <c r="CA31" s="14">
        <f t="shared" si="39"/>
        <v>15.030573993238109</v>
      </c>
      <c r="CB31" s="22">
        <f t="shared" si="10"/>
        <v>116.07781555854824</v>
      </c>
      <c r="CC31" s="62">
        <f t="shared" si="11"/>
        <v>406.96670444743711</v>
      </c>
      <c r="CD31" s="62">
        <f ca="1">AVERAGE(OFFSET($CC$3,0,0,'Données projet'!$E$12+1,1))-AVERAGE(OFFSET($H$3,0,0,'Données projet'!$E$12+1,1))</f>
        <v>264.88170274686757</v>
      </c>
      <c r="CE31" s="62">
        <f t="shared" si="40"/>
        <v>160.81140876142001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86.430240000000026</v>
      </c>
      <c r="CV31" s="14">
        <f t="shared" si="41"/>
        <v>23.702267442352529</v>
      </c>
      <c r="CW31" s="22">
        <f t="shared" si="13"/>
        <v>191.81411712876402</v>
      </c>
      <c r="CX31" s="62">
        <f t="shared" si="14"/>
        <v>482.70300601765291</v>
      </c>
      <c r="CY31" s="62">
        <f ca="1">AVERAGE(OFFSET($CX$3,0,0,'Données projet'!$E$13+1,1))-AVERAGE(OFFSET($H$3,0,0,'Données projet'!$E$13+1,1))</f>
        <v>411.60020200960821</v>
      </c>
      <c r="CZ31" s="62">
        <f t="shared" si="42"/>
        <v>261.95434270986397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8.1664467356187167</v>
      </c>
      <c r="DI31" s="24">
        <f t="shared" si="15"/>
        <v>8.1664467356187167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8.4</v>
      </c>
      <c r="DO31" s="13">
        <f>IF('Données projet'!$A$166&gt;35,DO30+DN31-DW30,IF(A31&lt;'Données projet'!$A$166,$DL$205^A31,IF(A31='Données projet'!$A$166,'Données projet'!$B$166,DO30+DN31-DW30)))</f>
        <v>121.20000000000003</v>
      </c>
      <c r="DP31" s="18">
        <f>DO31*VLOOKUP('Données projet'!$B$14,Paramètres!$A$1:$I$89,3,0)*VLOOKUP('Données projet'!$B$14,Paramètres!$A$1:$I$89,5,0)</f>
        <v>79.410240000000016</v>
      </c>
      <c r="DQ31" s="14">
        <f t="shared" si="43"/>
        <v>21.992922703477248</v>
      </c>
      <c r="DR31" s="22">
        <f t="shared" si="16"/>
        <v>176.61050837522291</v>
      </c>
      <c r="DS31" s="62">
        <f t="shared" si="17"/>
        <v>467.49939726411174</v>
      </c>
      <c r="DT31" s="62">
        <f ca="1">AVERAGE(OFFSET($DS$3,0,0,'Données projet'!$E$14+1,1))-AVERAGE(OFFSET($H$3,0,0,'Données projet'!$E$14+1,1))</f>
        <v>240.134073924311</v>
      </c>
      <c r="DU31" s="62">
        <f t="shared" si="44"/>
        <v>237.10378497981156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0.61631988262505122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5.0047946514656685</v>
      </c>
      <c r="ED31" s="24">
        <f t="shared" si="18"/>
        <v>5.6211145340907196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11.5</v>
      </c>
      <c r="N32" s="14">
        <f>IF('Données projet'!$A$36&gt;35,N31+M32-V31,IF(A32&lt;'Données projet'!$A$36,$K$205^A32,IF(A32='Données projet'!$A$36,'Données projet'!$B$36,N31+M32-V31)))</f>
        <v>131.99999999999994</v>
      </c>
      <c r="O32" s="14">
        <f>N32*VLOOKUP('Données projet'!$B$9,Paramètres!$A$1:$I$89,3,0)*VLOOKUP('Données projet'!$B$9,Paramètres!$A$1:$I$89,5,0)</f>
        <v>102.95999999999997</v>
      </c>
      <c r="P32" s="14">
        <f t="shared" si="33"/>
        <v>27.665975080374633</v>
      </c>
      <c r="Q32" s="22">
        <f t="shared" si="2"/>
        <v>227.50690659831903</v>
      </c>
      <c r="R32" s="62">
        <f t="shared" si="0"/>
        <v>519.61801770943021</v>
      </c>
      <c r="S32" s="62">
        <f ca="1">AVERAGE(OFFSET($R$3,0,0,'Données projet'!$E$9+1,1))-AVERAGE(OFFSET($H$3,0,0,'Données projet'!$E$9+1,1))</f>
        <v>288.82868507674738</v>
      </c>
      <c r="T32" s="62">
        <f t="shared" si="34"/>
        <v>283.48738729114024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1.7849488322123253</v>
      </c>
      <c r="AB32" s="23">
        <f>EXP(-LN(2)/2)*AB31+(1-EXP(-LN(2)/2))/(LN(2)/2)*V32*Y32*VLOOKUP('Données projet'!$B$9,Paramètres!$A$1:$I$89,3,0)*0.475*44/12</f>
        <v>4.8045028689264671</v>
      </c>
      <c r="AC32" s="24">
        <f t="shared" si="3"/>
        <v>6.5894517011387919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475.06341141723647</v>
      </c>
      <c r="AN32" s="62">
        <f ca="1">AVERAGE(OFFSET($AM$3,0,0,'Données projet'!$E$10+1,1))-AVERAGE(OFFSET($H$3,0,0,'Données projet'!$E$10+1,1))</f>
        <v>371.95849973474657</v>
      </c>
      <c r="AO32" s="62">
        <f t="shared" si="36"/>
        <v>233.32640143610547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1.7074063046699108</v>
      </c>
      <c r="AX32" s="23">
        <f t="shared" si="6"/>
        <v>1.7074063046699108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95.113200000000006</v>
      </c>
      <c r="BF32" s="14">
        <f t="shared" si="37"/>
        <v>25.794411857052886</v>
      </c>
      <c r="BG32" s="22">
        <f t="shared" si="7"/>
        <v>210.58075731770046</v>
      </c>
      <c r="BH32" s="62">
        <f t="shared" si="8"/>
        <v>502.69186842881163</v>
      </c>
      <c r="BI32" s="62">
        <f ca="1">AVERAGE(OFFSET($BH$3,0,0,'Données projet'!$E$11+1,1))-AVERAGE(OFFSET($H$3,0,0,'Données projet'!$E$11+1,1))</f>
        <v>423.40903481736001</v>
      </c>
      <c r="BJ32" s="62">
        <f t="shared" si="38"/>
        <v>263.03039552465799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1.9723486622911044</v>
      </c>
      <c r="BS32" s="24">
        <f t="shared" si="9"/>
        <v>1.9723486622911044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3.9390243902439024</v>
      </c>
      <c r="BY32" s="13">
        <f>IF('Données projet'!$A$114&gt;35,BY31+BX32-CG31,IF(A32&lt;'Données projet'!$A$114,$BV$205^A32,IF(A32='Données projet'!$A$114,'Données projet'!$B$114,BY31+BX32-CG31)))</f>
        <v>114.23170731707314</v>
      </c>
      <c r="BZ32" s="14">
        <f>BY32*VLOOKUP('Données projet'!$B$12,Paramètres!$A$1:$I$89,3,0)*VLOOKUP('Données projet'!$B$12,Paramètres!$A$1:$I$89,5,0)</f>
        <v>53.460439024390226</v>
      </c>
      <c r="CA32" s="14">
        <f t="shared" si="39"/>
        <v>15.503922912888118</v>
      </c>
      <c r="CB32" s="22">
        <f t="shared" si="10"/>
        <v>120.1129303740931</v>
      </c>
      <c r="CC32" s="62">
        <f t="shared" si="11"/>
        <v>412.22404148520422</v>
      </c>
      <c r="CD32" s="62">
        <f ca="1">AVERAGE(OFFSET($CC$3,0,0,'Données projet'!$E$12+1,1))-AVERAGE(OFFSET($H$3,0,0,'Données projet'!$E$12+1,1))</f>
        <v>264.88170274686757</v>
      </c>
      <c r="CE32" s="62">
        <f t="shared" si="40"/>
        <v>160.81140876142001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94.180320000000037</v>
      </c>
      <c r="CV32" s="14">
        <f t="shared" si="41"/>
        <v>25.570738079029208</v>
      </c>
      <c r="CW32" s="22">
        <f t="shared" si="13"/>
        <v>208.56642615430928</v>
      </c>
      <c r="CX32" s="62">
        <f t="shared" si="14"/>
        <v>500.67753726542043</v>
      </c>
      <c r="CY32" s="62">
        <f ca="1">AVERAGE(OFFSET($CX$3,0,0,'Données projet'!$E$13+1,1))-AVERAGE(OFFSET($H$3,0,0,'Données projet'!$E$13+1,1))</f>
        <v>411.60020200960821</v>
      </c>
      <c r="CZ32" s="62">
        <f t="shared" si="42"/>
        <v>261.95434270986397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5.7745498649547393</v>
      </c>
      <c r="DI32" s="24">
        <f t="shared" si="15"/>
        <v>5.7745498649547393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8.4</v>
      </c>
      <c r="DO32" s="13">
        <f>IF('Données projet'!$A$166&gt;35,DO31+DN32-DW31,IF(A32&lt;'Données projet'!$A$166,$DL$205^A32,IF(A32='Données projet'!$A$166,'Données projet'!$B$166,DO31+DN32-DW31)))</f>
        <v>129.60000000000002</v>
      </c>
      <c r="DP32" s="18">
        <f>DO32*VLOOKUP('Données projet'!$B$14,Paramètres!$A$1:$I$89,3,0)*VLOOKUP('Données projet'!$B$14,Paramètres!$A$1:$I$89,5,0)</f>
        <v>84.913920000000019</v>
      </c>
      <c r="DQ32" s="14">
        <f t="shared" si="43"/>
        <v>23.334463079752275</v>
      </c>
      <c r="DR32" s="22">
        <f t="shared" si="16"/>
        <v>188.5326005305686</v>
      </c>
      <c r="DS32" s="62">
        <f t="shared" si="17"/>
        <v>480.64371164167972</v>
      </c>
      <c r="DT32" s="62">
        <f ca="1">AVERAGE(OFFSET($DS$3,0,0,'Données projet'!$E$14+1,1))-AVERAGE(OFFSET($H$3,0,0,'Données projet'!$E$14+1,1))</f>
        <v>240.134073924311</v>
      </c>
      <c r="DU32" s="62">
        <f t="shared" si="44"/>
        <v>237.10378497981156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0.60423422564478357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3.5389242364975382</v>
      </c>
      <c r="ED32" s="24">
        <f t="shared" si="18"/>
        <v>4.1431584621423214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11.5</v>
      </c>
      <c r="N33" s="14">
        <f>IF('Données projet'!$A$36&gt;35,N32+M33-V32,IF(A33&lt;'Données projet'!$A$36,$K$205^A33,IF(A33='Données projet'!$A$36,'Données projet'!$B$36,N32+M33-V32)))</f>
        <v>143.49999999999994</v>
      </c>
      <c r="O33" s="14">
        <f>N33*VLOOKUP('Données projet'!$B$9,Paramètres!$A$1:$I$89,3,0)*VLOOKUP('Données projet'!$B$9,Paramètres!$A$1:$I$89,5,0)</f>
        <v>111.92999999999996</v>
      </c>
      <c r="P33" s="14">
        <f t="shared" si="33"/>
        <v>29.785246291563833</v>
      </c>
      <c r="Q33" s="22">
        <f t="shared" si="2"/>
        <v>246.82072062447358</v>
      </c>
      <c r="R33" s="62">
        <f t="shared" si="0"/>
        <v>540.15405395780692</v>
      </c>
      <c r="S33" s="62">
        <f ca="1">AVERAGE(OFFSET($R$3,0,0,'Données projet'!$E$9+1,1))-AVERAGE(OFFSET($H$3,0,0,'Données projet'!$E$9+1,1))</f>
        <v>288.82868507674738</v>
      </c>
      <c r="T33" s="62">
        <f t="shared" si="34"/>
        <v>283.48738729114024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1.7361393125290996</v>
      </c>
      <c r="AB33" s="23">
        <f>EXP(-LN(2)/2)*AB32+(1-EXP(-LN(2)/2))/(LN(2)/2)*V33*Y33*VLOOKUP('Données projet'!$B$9,Paramètres!$A$1:$I$89,3,0)*0.475*44/12</f>
        <v>3.3972965588481272</v>
      </c>
      <c r="AC33" s="24">
        <f t="shared" si="3"/>
        <v>5.1334358713772268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489.99306810277216</v>
      </c>
      <c r="AN33" s="62">
        <f ca="1">AVERAGE(OFFSET($AM$3,0,0,'Données projet'!$E$10+1,1))-AVERAGE(OFFSET($H$3,0,0,'Données projet'!$E$10+1,1))</f>
        <v>371.95849973474657</v>
      </c>
      <c r="AO33" s="62">
        <f t="shared" si="36"/>
        <v>233.32640143610547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19.135084775306815</v>
      </c>
      <c r="AX33" s="23">
        <f t="shared" si="6"/>
        <v>19.135084775306815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102.42960000000002</v>
      </c>
      <c r="BF33" s="14">
        <f t="shared" si="37"/>
        <v>27.540005085928001</v>
      </c>
      <c r="BG33" s="22">
        <f t="shared" si="7"/>
        <v>226.3637288579913</v>
      </c>
      <c r="BH33" s="62">
        <f t="shared" si="8"/>
        <v>519.69706219132468</v>
      </c>
      <c r="BI33" s="62">
        <f ca="1">AVERAGE(OFFSET($BH$3,0,0,'Données projet'!$E$11+1,1))-AVERAGE(OFFSET($H$3,0,0,'Données projet'!$E$11+1,1))</f>
        <v>423.40903481736001</v>
      </c>
      <c r="BJ33" s="62">
        <f t="shared" si="38"/>
        <v>263.03039552465799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22.104322068026843</v>
      </c>
      <c r="BS33" s="24">
        <f t="shared" si="9"/>
        <v>22.104322068026843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3.9390243902439024</v>
      </c>
      <c r="BY33" s="13">
        <f>IF('Données projet'!$A$114&gt;35,BY32+BX33-CG32,IF(A33&lt;'Données projet'!$A$114,$BV$205^A33,IF(A33='Données projet'!$A$114,'Données projet'!$B$114,BY32+BX33-CG32)))</f>
        <v>118.17073170731705</v>
      </c>
      <c r="BZ33" s="14">
        <f>BY33*VLOOKUP('Données projet'!$B$12,Paramètres!$A$1:$I$89,3,0)*VLOOKUP('Données projet'!$B$12,Paramètres!$A$1:$I$89,5,0)</f>
        <v>55.303902439024377</v>
      </c>
      <c r="CA33" s="14">
        <f t="shared" si="39"/>
        <v>15.975375318728771</v>
      </c>
      <c r="CB33" s="22">
        <f t="shared" si="10"/>
        <v>124.14474209475338</v>
      </c>
      <c r="CC33" s="62">
        <f t="shared" si="11"/>
        <v>417.4780754280867</v>
      </c>
      <c r="CD33" s="62">
        <f ca="1">AVERAGE(OFFSET($CC$3,0,0,'Données projet'!$E$12+1,1))-AVERAGE(OFFSET($H$3,0,0,'Données projet'!$E$12+1,1))</f>
        <v>264.88170274686757</v>
      </c>
      <c r="CE33" s="62">
        <f t="shared" si="40"/>
        <v>160.81140876142001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101.93040000000003</v>
      </c>
      <c r="CV33" s="14">
        <f t="shared" si="41"/>
        <v>27.421375718582158</v>
      </c>
      <c r="CW33" s="22">
        <f t="shared" si="13"/>
        <v>225.28767604319731</v>
      </c>
      <c r="CX33" s="62">
        <f t="shared" si="14"/>
        <v>518.62100937653065</v>
      </c>
      <c r="CY33" s="62">
        <f ca="1">AVERAGE(OFFSET($CX$3,0,0,'Données projet'!$E$13+1,1))-AVERAGE(OFFSET($H$3,0,0,'Données projet'!$E$13+1,1))</f>
        <v>411.60020200960821</v>
      </c>
      <c r="CZ33" s="62">
        <f t="shared" si="42"/>
        <v>261.95434270986397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4.0832233678093584</v>
      </c>
      <c r="DI33" s="24">
        <f t="shared" si="15"/>
        <v>4.0832233678093584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138</v>
      </c>
      <c r="DM33" s="13">
        <f>VLOOKUP(A33,'Données projet'!$A$165:$I$185,9,0)</f>
        <v>8.4</v>
      </c>
      <c r="DN33" s="13">
        <f t="array" ref="DN33">INDEX(DM:DM,MIN(IF(ISNUMBER(DM33:DM229),ROW(DM33:DM229),"")))</f>
        <v>8.4</v>
      </c>
      <c r="DO33" s="13">
        <f>IF('Données projet'!$A$166&gt;35,DO32+DN33-DW32,IF(A33&lt;'Données projet'!$A$166,$DL$205^A33,IF(A33='Données projet'!$A$166,'Données projet'!$B$166,DO32+DN33-DW32)))</f>
        <v>138.00000000000003</v>
      </c>
      <c r="DP33" s="18">
        <f>DO33*VLOOKUP('Données projet'!$B$14,Paramètres!$A$1:$I$89,3,0)*VLOOKUP('Données projet'!$B$14,Paramètres!$A$1:$I$89,5,0)</f>
        <v>90.417600000000022</v>
      </c>
      <c r="DQ33" s="14">
        <f t="shared" si="43"/>
        <v>24.665912907068826</v>
      </c>
      <c r="DR33" s="22">
        <f t="shared" si="16"/>
        <v>200.43711831314491</v>
      </c>
      <c r="DS33" s="62">
        <f t="shared" si="17"/>
        <v>493.77045164647825</v>
      </c>
      <c r="DT33" s="62">
        <f ca="1">AVERAGE(OFFSET($DS$3,0,0,'Données projet'!$E$14+1,1))-AVERAGE(OFFSET($H$3,0,0,'Données projet'!$E$14+1,1))</f>
        <v>240.134073924311</v>
      </c>
      <c r="DU33" s="62">
        <f t="shared" si="44"/>
        <v>237.10378497981156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23</v>
      </c>
      <c r="DX33" s="17">
        <f>IF(ISNA(VLOOKUP(A33,'Données projet'!$A$165:$I$185,5,0)),0%,VLOOKUP(A33,'Données projet'!$A$165:$I$185,5,0)*VLOOKUP('Données projet'!$B$14,Paramètres!$A$1:$I$89,7,0))</f>
        <v>4.3000000000000003E-2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1</v>
      </c>
      <c r="EA33" s="23">
        <f>EXP(-LN(2)/35)*EA32+(1-EXP(-LN(2)/35))/(LN(2)/35)*DW33*DX33*VLOOKUP('Données projet'!$B$14,Paramètres!$A$1:$I$89,3,0)*0.475*44/12</f>
        <v>1.3087224075769952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16.720970518070196</v>
      </c>
      <c r="ED33" s="24">
        <f t="shared" si="18"/>
        <v>18.02969292564719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>
        <f>VLOOKUP(A34,'Données projet'!$A$35:$I$55,2,0)</f>
        <v>155</v>
      </c>
      <c r="L34" s="13">
        <f>VLOOKUP(A34,'Données projet'!$A$35:$I$55,9,0)</f>
        <v>11.5</v>
      </c>
      <c r="M34" s="13">
        <f t="array" ref="M34">INDEX(L:L,MIN(IF(ISNUMBER(L34:L230),ROW(L34:L230),"")))</f>
        <v>11.5</v>
      </c>
      <c r="N34" s="14">
        <f>IF('Données projet'!$A$36&gt;35,N33+M34-V33,IF(A34&lt;'Données projet'!$A$36,$K$205^A34,IF(A34='Données projet'!$A$36,'Données projet'!$B$36,N33+M34-V33)))</f>
        <v>154.99999999999994</v>
      </c>
      <c r="O34" s="14">
        <f>N34*VLOOKUP('Données projet'!$B$9,Paramètres!$A$1:$I$89,3,0)*VLOOKUP('Données projet'!$B$9,Paramètres!$A$1:$I$89,5,0)</f>
        <v>120.89999999999996</v>
      </c>
      <c r="P34" s="14">
        <f t="shared" si="33"/>
        <v>31.884818143351602</v>
      </c>
      <c r="Q34" s="22">
        <f t="shared" si="2"/>
        <v>266.10022493300397</v>
      </c>
      <c r="R34" s="62">
        <f t="shared" si="0"/>
        <v>559.43355826633729</v>
      </c>
      <c r="S34" s="62">
        <f ca="1">AVERAGE(OFFSET($R$3,0,0,'Données projet'!$E$9+1,1))-AVERAGE(OFFSET($H$3,0,0,'Données projet'!$E$9+1,1))</f>
        <v>288.82868507674738</v>
      </c>
      <c r="T34" s="62">
        <f t="shared" si="34"/>
        <v>283.48738729114024</v>
      </c>
      <c r="U34" s="16">
        <f>IF(ISNA(VLOOKUP(A34,'Données projet'!$A$35:$I$55,3,0)),0,VLOOKUP(A34,'Données projet'!$A$35:$I$55,3,0))</f>
        <v>4</v>
      </c>
      <c r="V34" s="16">
        <f>IF(ISNA(VLOOKUP(A34,'Données projet'!$A$35:$I$55,4,0)),0,VLOOKUP(A34,'Données projet'!$A$35:$I$55,4,0))</f>
        <v>36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1.6886644917283928</v>
      </c>
      <c r="AB34" s="23">
        <f>EXP(-LN(2)/2)*AB33+(1-EXP(-LN(2)/2))/(LN(2)/2)*V34*Y34*VLOOKUP('Données projet'!$B$9,Paramètres!$A$1:$I$89,3,0)*0.475*44/12</f>
        <v>2.4022514344632335</v>
      </c>
      <c r="AC34" s="24">
        <f t="shared" si="3"/>
        <v>4.0909159261916264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464.12470794029787</v>
      </c>
      <c r="AN34" s="62">
        <f ca="1">AVERAGE(OFFSET($AM$3,0,0,'Données projet'!$E$10+1,1))-AVERAGE(OFFSET($H$3,0,0,'Données projet'!$E$10+1,1))</f>
        <v>371.95849973474657</v>
      </c>
      <c r="AO34" s="62">
        <f t="shared" si="36"/>
        <v>233.32640143610547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13.530548203198913</v>
      </c>
      <c r="AX34" s="23">
        <f t="shared" si="6"/>
        <v>13.530548203198913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88.632960000000011</v>
      </c>
      <c r="BF34" s="14">
        <f t="shared" si="37"/>
        <v>24.235234744745632</v>
      </c>
      <c r="BG34" s="22">
        <f t="shared" si="7"/>
        <v>196.5787725137653</v>
      </c>
      <c r="BH34" s="62">
        <f t="shared" si="8"/>
        <v>489.91210584709859</v>
      </c>
      <c r="BI34" s="62">
        <f ca="1">AVERAGE(OFFSET($BH$3,0,0,'Données projet'!$E$11+1,1))-AVERAGE(OFFSET($H$3,0,0,'Données projet'!$E$11+1,1))</f>
        <v>423.40903481736001</v>
      </c>
      <c r="BJ34" s="62">
        <f t="shared" si="38"/>
        <v>263.03039552465799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15.630116027833232</v>
      </c>
      <c r="BS34" s="24">
        <f t="shared" si="9"/>
        <v>15.630116027833232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3.9390243902439024</v>
      </c>
      <c r="BY34" s="13">
        <f>IF('Données projet'!$A$114&gt;35,BY33+BX34-CG33,IF(A34&lt;'Données projet'!$A$114,$BV$205^A34,IF(A34='Données projet'!$A$114,'Données projet'!$B$114,BY33+BX34-CG33)))</f>
        <v>122.10975609756095</v>
      </c>
      <c r="BZ34" s="14">
        <f>BY34*VLOOKUP('Données projet'!$B$12,Paramètres!$A$1:$I$89,3,0)*VLOOKUP('Données projet'!$B$12,Paramètres!$A$1:$I$89,5,0)</f>
        <v>57.147365853658521</v>
      </c>
      <c r="CA34" s="14">
        <f t="shared" si="39"/>
        <v>16.445001676125731</v>
      </c>
      <c r="CB34" s="22">
        <f t="shared" si="10"/>
        <v>128.17337344770758</v>
      </c>
      <c r="CC34" s="62">
        <f t="shared" si="11"/>
        <v>421.50670678104086</v>
      </c>
      <c r="CD34" s="62">
        <f ca="1">AVERAGE(OFFSET($CC$3,0,0,'Données projet'!$E$12+1,1))-AVERAGE(OFFSET($H$3,0,0,'Données projet'!$E$12+1,1))</f>
        <v>264.88170274686757</v>
      </c>
      <c r="CE34" s="62">
        <f t="shared" si="40"/>
        <v>160.81140876142001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87.441120000000041</v>
      </c>
      <c r="CV34" s="14">
        <f t="shared" si="41"/>
        <v>23.947052577122424</v>
      </c>
      <c r="CW34" s="22">
        <f t="shared" si="13"/>
        <v>194.0010672384883</v>
      </c>
      <c r="CX34" s="62">
        <f t="shared" si="14"/>
        <v>487.33440057182162</v>
      </c>
      <c r="CY34" s="62">
        <f ca="1">AVERAGE(OFFSET($CX$3,0,0,'Données projet'!$E$13+1,1))-AVERAGE(OFFSET($H$3,0,0,'Données projet'!$E$13+1,1))</f>
        <v>411.60020200960821</v>
      </c>
      <c r="CZ34" s="62">
        <f t="shared" si="42"/>
        <v>261.95434270986397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2.8872749324773697</v>
      </c>
      <c r="DI34" s="24">
        <f t="shared" si="15"/>
        <v>2.8872749324773697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8.1999999999999993</v>
      </c>
      <c r="DO34" s="13">
        <f>IF('Données projet'!$A$166&gt;35,DO33+DN34-DW33,IF(A34&lt;'Données projet'!$A$166,$DL$205^A34,IF(A34='Données projet'!$A$166,'Données projet'!$B$166,DO33+DN34-DW33)))</f>
        <v>123.20000000000002</v>
      </c>
      <c r="DP34" s="18">
        <f>DO34*VLOOKUP('Données projet'!$B$14,Paramètres!$A$1:$I$89,3,0)*VLOOKUP('Données projet'!$B$14,Paramètres!$A$1:$I$89,5,0)</f>
        <v>80.720640000000017</v>
      </c>
      <c r="DQ34" s="14">
        <f t="shared" si="43"/>
        <v>22.313292287527993</v>
      </c>
      <c r="DR34" s="22">
        <f t="shared" si="16"/>
        <v>179.45076540077795</v>
      </c>
      <c r="DS34" s="62">
        <f t="shared" si="17"/>
        <v>472.78409873411124</v>
      </c>
      <c r="DT34" s="62">
        <f ca="1">AVERAGE(OFFSET($DS$3,0,0,'Données projet'!$E$14+1,1))-AVERAGE(OFFSET($H$3,0,0,'Données projet'!$E$14+1,1))</f>
        <v>240.134073924311</v>
      </c>
      <c r="DU34" s="62">
        <f t="shared" si="44"/>
        <v>237.10378497981156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1.283059159406259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11.823511641347775</v>
      </c>
      <c r="ED34" s="24">
        <f t="shared" si="18"/>
        <v>13.106570800754033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11.5</v>
      </c>
      <c r="N35" s="14">
        <f>IF('Données projet'!$A$36&gt;35,N34+M35-V34,IF(A35&lt;'Données projet'!$A$36,$K$205^A35,IF(A35='Données projet'!$A$36,'Données projet'!$B$36,N34+M35-V34)))</f>
        <v>130.49999999999994</v>
      </c>
      <c r="O35" s="14">
        <f>N35*VLOOKUP('Données projet'!$B$9,Paramètres!$A$1:$I$89,3,0)*VLOOKUP('Données projet'!$B$9,Paramètres!$A$1:$I$89,5,0)</f>
        <v>101.78999999999996</v>
      </c>
      <c r="P35" s="14">
        <f t="shared" si="33"/>
        <v>27.38799903683508</v>
      </c>
      <c r="Q35" s="22">
        <f t="shared" ref="Q35:Q66" si="53">(O35+P35)*0.475*44/12</f>
        <v>224.98501498915437</v>
      </c>
      <c r="R35" s="62">
        <f t="shared" si="0"/>
        <v>518.31834832248774</v>
      </c>
      <c r="S35" s="62">
        <f ca="1">AVERAGE(OFFSET($R$3,0,0,'Données projet'!$E$9+1,1))-AVERAGE(OFFSET($H$3,0,0,'Données projet'!$E$9+1,1))</f>
        <v>288.82868507674738</v>
      </c>
      <c r="T35" s="62">
        <f t="shared" si="34"/>
        <v>283.48738729114024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1.6424878723990739</v>
      </c>
      <c r="AB35" s="23">
        <f>EXP(-LN(2)/2)*AB34+(1-EXP(-LN(2)/2))/(LN(2)/2)*V35*Y35*VLOOKUP('Données projet'!$B$9,Paramètres!$A$1:$I$89,3,0)*0.475*44/12</f>
        <v>1.6986482794240636</v>
      </c>
      <c r="AC35" s="24">
        <f t="shared" si="3"/>
        <v>3.3411361518231377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479.42081191091745</v>
      </c>
      <c r="AN35" s="62">
        <f ca="1">AVERAGE(OFFSET($AM$3,0,0,'Données projet'!$E$10+1,1))-AVERAGE(OFFSET($H$3,0,0,'Données projet'!$E$10+1,1))</f>
        <v>371.95849973474657</v>
      </c>
      <c r="AO35" s="62">
        <f t="shared" si="36"/>
        <v>233.32640143610547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9.5675423876534076</v>
      </c>
      <c r="AX35" s="23">
        <f t="shared" si="6"/>
        <v>9.5675423876534076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96.785520000000005</v>
      </c>
      <c r="BF35" s="14">
        <f t="shared" si="37"/>
        <v>26.194741889494949</v>
      </c>
      <c r="BG35" s="22">
        <f t="shared" si="7"/>
        <v>214.19062279087038</v>
      </c>
      <c r="BH35" s="62">
        <f t="shared" si="8"/>
        <v>507.52395612420366</v>
      </c>
      <c r="BI35" s="62">
        <f ca="1">AVERAGE(OFFSET($BH$3,0,0,'Données projet'!$E$11+1,1))-AVERAGE(OFFSET($H$3,0,0,'Données projet'!$E$11+1,1))</f>
        <v>423.40903481736001</v>
      </c>
      <c r="BJ35" s="62">
        <f t="shared" si="38"/>
        <v>263.03039552465799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11.052161034013423</v>
      </c>
      <c r="BS35" s="24">
        <f t="shared" si="9"/>
        <v>11.052161034013423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3.9390243902439024</v>
      </c>
      <c r="BY35" s="13">
        <f>IF('Données projet'!$A$114&gt;35,BY34+BX35-CG34,IF(A35&lt;'Données projet'!$A$114,$BV$205^A35,IF(A35='Données projet'!$A$114,'Données projet'!$B$114,BY34+BX35-CG34)))</f>
        <v>126.04878048780485</v>
      </c>
      <c r="BZ35" s="14">
        <f>BY35*VLOOKUP('Données projet'!$B$12,Paramètres!$A$1:$I$89,3,0)*VLOOKUP('Données projet'!$B$12,Paramètres!$A$1:$I$89,5,0)</f>
        <v>58.990829268292671</v>
      </c>
      <c r="CA35" s="14">
        <f t="shared" si="39"/>
        <v>16.912867646195725</v>
      </c>
      <c r="CB35" s="22">
        <f t="shared" si="10"/>
        <v>132.19893879273394</v>
      </c>
      <c r="CC35" s="62">
        <f t="shared" si="11"/>
        <v>425.53227212606726</v>
      </c>
      <c r="CD35" s="62">
        <f ca="1">AVERAGE(OFFSET($CC$3,0,0,'Données projet'!$E$12+1,1))-AVERAGE(OFFSET($H$3,0,0,'Données projet'!$E$12+1,1))</f>
        <v>264.88170274686757</v>
      </c>
      <c r="CE35" s="62">
        <f t="shared" si="40"/>
        <v>160.81140876142001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96.539040000000043</v>
      </c>
      <c r="CV35" s="14">
        <f t="shared" si="41"/>
        <v>26.135788937894091</v>
      </c>
      <c r="CW35" s="22">
        <f t="shared" si="13"/>
        <v>213.65866040016559</v>
      </c>
      <c r="CX35" s="62">
        <f t="shared" si="14"/>
        <v>506.99199373349893</v>
      </c>
      <c r="CY35" s="62">
        <f ca="1">AVERAGE(OFFSET($CX$3,0,0,'Données projet'!$E$13+1,1))-AVERAGE(OFFSET($H$3,0,0,'Données projet'!$E$13+1,1))</f>
        <v>411.60020200960821</v>
      </c>
      <c r="CZ35" s="62">
        <f t="shared" si="42"/>
        <v>261.95434270986397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2.0416116839046792</v>
      </c>
      <c r="DI35" s="24">
        <f t="shared" si="15"/>
        <v>2.0416116839046792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8.1999999999999993</v>
      </c>
      <c r="DO35" s="13">
        <f>IF('Données projet'!$A$166&gt;35,DO34+DN35-DW34,IF(A35&lt;'Données projet'!$A$166,$DL$205^A35,IF(A35='Données projet'!$A$166,'Données projet'!$B$166,DO34+DN35-DW34)))</f>
        <v>131.4</v>
      </c>
      <c r="DP35" s="18">
        <f>DO35*VLOOKUP('Données projet'!$B$14,Paramètres!$A$1:$I$89,3,0)*VLOOKUP('Données projet'!$B$14,Paramètres!$A$1:$I$89,5,0)</f>
        <v>86.093280000000007</v>
      </c>
      <c r="DQ35" s="14">
        <f t="shared" si="43"/>
        <v>23.620598504835936</v>
      </c>
      <c r="DR35" s="22">
        <f t="shared" si="16"/>
        <v>191.08500506258926</v>
      </c>
      <c r="DS35" s="62">
        <f t="shared" si="17"/>
        <v>484.41833839592255</v>
      </c>
      <c r="DT35" s="62">
        <f ca="1">AVERAGE(OFFSET($DS$3,0,0,'Données projet'!$E$14+1,1))-AVERAGE(OFFSET($H$3,0,0,'Données projet'!$E$14+1,1))</f>
        <v>240.134073924311</v>
      </c>
      <c r="DU35" s="62">
        <f t="shared" si="44"/>
        <v>237.10378497981156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1.2578991518791154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8.3604852590350998</v>
      </c>
      <c r="ED35" s="24">
        <f t="shared" si="18"/>
        <v>9.6183844109142154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11.5</v>
      </c>
      <c r="N36" s="14">
        <f>IF('Données projet'!$A$36&gt;35,N35+M36-V35,IF(A36&lt;'Données projet'!$A$36,$K$205^A36,IF(A36='Données projet'!$A$36,'Données projet'!$B$36,N35+M36-V35)))</f>
        <v>141.99999999999994</v>
      </c>
      <c r="O36" s="14">
        <f>N36*VLOOKUP('Données projet'!$B$9,Paramètres!$A$1:$I$89,3,0)*VLOOKUP('Données projet'!$B$9,Paramètres!$A$1:$I$89,5,0)</f>
        <v>110.75999999999996</v>
      </c>
      <c r="P36" s="14">
        <f t="shared" si="33"/>
        <v>29.509974682362923</v>
      </c>
      <c r="Q36" s="22">
        <f t="shared" si="53"/>
        <v>244.30353923844871</v>
      </c>
      <c r="R36" s="62">
        <f t="shared" si="0"/>
        <v>537.63687257178208</v>
      </c>
      <c r="S36" s="62">
        <f ca="1">AVERAGE(OFFSET($R$3,0,0,'Données projet'!$E$9+1,1))-AVERAGE(OFFSET($H$3,0,0,'Données projet'!$E$9+1,1))</f>
        <v>288.82868507674738</v>
      </c>
      <c r="T36" s="62">
        <f t="shared" si="34"/>
        <v>283.48738729114024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1.5975739551536379</v>
      </c>
      <c r="AB36" s="23">
        <f>EXP(-LN(2)/2)*AB35+(1-EXP(-LN(2)/2))/(LN(2)/2)*V36*Y36*VLOOKUP('Données projet'!$B$9,Paramètres!$A$1:$I$89,3,0)*0.475*44/12</f>
        <v>1.2011257172316168</v>
      </c>
      <c r="AC36" s="24">
        <f t="shared" si="3"/>
        <v>2.7986996723852546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494.68756585460881</v>
      </c>
      <c r="AN36" s="62">
        <f ca="1">AVERAGE(OFFSET($AM$3,0,0,'Données projet'!$E$10+1,1))-AVERAGE(OFFSET($H$3,0,0,'Données projet'!$E$10+1,1))</f>
        <v>371.95849973474657</v>
      </c>
      <c r="AO36" s="62">
        <f t="shared" si="36"/>
        <v>233.32640143610547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6.7652741015994566</v>
      </c>
      <c r="AX36" s="23">
        <f t="shared" si="6"/>
        <v>6.7652741015994566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104.93808</v>
      </c>
      <c r="BF36" s="14">
        <f t="shared" si="37"/>
        <v>28.135106555014872</v>
      </c>
      <c r="BG36" s="22">
        <f t="shared" si="7"/>
        <v>231.76913324998421</v>
      </c>
      <c r="BH36" s="62">
        <f t="shared" si="8"/>
        <v>525.10246658331755</v>
      </c>
      <c r="BI36" s="62">
        <f ca="1">AVERAGE(OFFSET($BH$3,0,0,'Données projet'!$E$11+1,1))-AVERAGE(OFFSET($H$3,0,0,'Données projet'!$E$11+1,1))</f>
        <v>423.40903481736001</v>
      </c>
      <c r="BJ36" s="62">
        <f t="shared" si="38"/>
        <v>263.03039552465799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7.8150580139166168</v>
      </c>
      <c r="BS36" s="24">
        <f t="shared" si="9"/>
        <v>7.8150580139166168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3.9390243902439024</v>
      </c>
      <c r="BY36" s="13">
        <f>IF('Données projet'!$A$114&gt;35,BY35+BX36-CG35,IF(A36&lt;'Données projet'!$A$114,$BV$205^A36,IF(A36='Données projet'!$A$114,'Données projet'!$B$114,BY35+BX36-CG35)))</f>
        <v>129.98780487804876</v>
      </c>
      <c r="BZ36" s="14">
        <f>BY36*VLOOKUP('Données projet'!$B$12,Paramètres!$A$1:$I$89,3,0)*VLOOKUP('Données projet'!$B$12,Paramètres!$A$1:$I$89,5,0)</f>
        <v>60.834292682926822</v>
      </c>
      <c r="CA36" s="14">
        <f t="shared" si="39"/>
        <v>17.379034553140229</v>
      </c>
      <c r="CB36" s="22">
        <f t="shared" si="10"/>
        <v>136.22154493615011</v>
      </c>
      <c r="CC36" s="62">
        <f t="shared" si="11"/>
        <v>429.55487826948342</v>
      </c>
      <c r="CD36" s="62">
        <f ca="1">AVERAGE(OFFSET($CC$3,0,0,'Données projet'!$E$12+1,1))-AVERAGE(OFFSET($H$3,0,0,'Données projet'!$E$12+1,1))</f>
        <v>264.88170274686757</v>
      </c>
      <c r="CE36" s="62">
        <f t="shared" si="40"/>
        <v>160.81140876142001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105.63696000000004</v>
      </c>
      <c r="CV36" s="14">
        <f t="shared" si="41"/>
        <v>28.300609534766192</v>
      </c>
      <c r="CW36" s="22">
        <f t="shared" si="13"/>
        <v>233.27460027305116</v>
      </c>
      <c r="CX36" s="62">
        <f t="shared" si="14"/>
        <v>526.60793360638445</v>
      </c>
      <c r="CY36" s="62">
        <f ca="1">AVERAGE(OFFSET($CX$3,0,0,'Données projet'!$E$13+1,1))-AVERAGE(OFFSET($H$3,0,0,'Données projet'!$E$13+1,1))</f>
        <v>411.60020200960821</v>
      </c>
      <c r="CZ36" s="62">
        <f t="shared" si="42"/>
        <v>261.95434270986397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1.4436374662386848</v>
      </c>
      <c r="DI36" s="24">
        <f t="shared" si="15"/>
        <v>1.4436374662386848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8.1999999999999993</v>
      </c>
      <c r="DO36" s="13">
        <f>IF('Données projet'!$A$166&gt;35,DO35+DN36-DW35,IF(A36&lt;'Données projet'!$A$166,$DL$205^A36,IF(A36='Données projet'!$A$166,'Données projet'!$B$166,DO35+DN36-DW35)))</f>
        <v>139.6</v>
      </c>
      <c r="DP36" s="18">
        <f>DO36*VLOOKUP('Données projet'!$B$14,Paramètres!$A$1:$I$89,3,0)*VLOOKUP('Données projet'!$B$14,Paramètres!$A$1:$I$89,5,0)</f>
        <v>91.465919999999997</v>
      </c>
      <c r="DQ36" s="14">
        <f t="shared" si="43"/>
        <v>24.918436466018196</v>
      </c>
      <c r="DR36" s="22">
        <f t="shared" si="16"/>
        <v>202.70275417831499</v>
      </c>
      <c r="DS36" s="62">
        <f t="shared" si="17"/>
        <v>496.0360875116483</v>
      </c>
      <c r="DT36" s="62">
        <f ca="1">AVERAGE(OFFSET($DS$3,0,0,'Données projet'!$E$14+1,1))-AVERAGE(OFFSET($H$3,0,0,'Données projet'!$E$14+1,1))</f>
        <v>240.134073924311</v>
      </c>
      <c r="DU36" s="62">
        <f t="shared" si="44"/>
        <v>237.10378497981156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1.2332325167534897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5.9117558206738892</v>
      </c>
      <c r="ED36" s="24">
        <f t="shared" si="18"/>
        <v>7.144988337427379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11.5</v>
      </c>
      <c r="N37" s="14">
        <f>IF('Données projet'!$A$36&gt;35,N36+M37-V36,IF(A37&lt;'Données projet'!$A$36,$K$205^A37,IF(A37='Données projet'!$A$36,'Données projet'!$B$36,N36+M37-V36)))</f>
        <v>153.49999999999994</v>
      </c>
      <c r="O37" s="14">
        <f>N37*VLOOKUP('Données projet'!$B$9,Paramètres!$A$1:$I$89,3,0)*VLOOKUP('Données projet'!$B$9,Paramètres!$A$1:$I$89,5,0)</f>
        <v>119.72999999999996</v>
      </c>
      <c r="P37" s="14">
        <f t="shared" si="33"/>
        <v>31.612017974790529</v>
      </c>
      <c r="Q37" s="22">
        <f t="shared" si="53"/>
        <v>263.58734797276003</v>
      </c>
      <c r="R37" s="62">
        <f t="shared" si="0"/>
        <v>556.92068130609334</v>
      </c>
      <c r="S37" s="62">
        <f ca="1">AVERAGE(OFFSET($R$3,0,0,'Données projet'!$E$9+1,1))-AVERAGE(OFFSET($H$3,0,0,'Données projet'!$E$9+1,1))</f>
        <v>288.82868507674738</v>
      </c>
      <c r="T37" s="62">
        <f t="shared" si="34"/>
        <v>283.48738729114024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1.5538882113371986</v>
      </c>
      <c r="AB37" s="23">
        <f>EXP(-LN(2)/2)*AB36+(1-EXP(-LN(2)/2))/(LN(2)/2)*V37*Y37*VLOOKUP('Données projet'!$B$9,Paramètres!$A$1:$I$89,3,0)*0.475*44/12</f>
        <v>0.8493241397120318</v>
      </c>
      <c r="AC37" s="24">
        <f t="shared" si="3"/>
        <v>2.4032123510492305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509.92750920098484</v>
      </c>
      <c r="AN37" s="62">
        <f ca="1">AVERAGE(OFFSET($AM$3,0,0,'Données projet'!$E$10+1,1))-AVERAGE(OFFSET($H$3,0,0,'Données projet'!$E$10+1,1))</f>
        <v>371.95849973474657</v>
      </c>
      <c r="AO37" s="62">
        <f t="shared" si="36"/>
        <v>233.32640143610547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4.7837711938267038</v>
      </c>
      <c r="AX37" s="23">
        <f t="shared" si="6"/>
        <v>4.7837711938267038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113.09064000000001</v>
      </c>
      <c r="BF37" s="14">
        <f t="shared" si="37"/>
        <v>30.057984991186821</v>
      </c>
      <c r="BG37" s="22">
        <f t="shared" si="7"/>
        <v>249.31718852631707</v>
      </c>
      <c r="BH37" s="62">
        <f t="shared" si="8"/>
        <v>542.65052185965033</v>
      </c>
      <c r="BI37" s="62">
        <f ca="1">AVERAGE(OFFSET($BH$3,0,0,'Données projet'!$E$11+1,1))-AVERAGE(OFFSET($H$3,0,0,'Données projet'!$E$11+1,1))</f>
        <v>423.40903481736001</v>
      </c>
      <c r="BJ37" s="62">
        <f t="shared" si="38"/>
        <v>263.03039552465799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5.5260805170067124</v>
      </c>
      <c r="BS37" s="24">
        <f t="shared" si="9"/>
        <v>5.5260805170067124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3.9390243902439024</v>
      </c>
      <c r="BY37" s="13">
        <f>IF('Données projet'!$A$114&gt;35,BY36+BX37-CG36,IF(A37&lt;'Données projet'!$A$114,$BV$205^A37,IF(A37='Données projet'!$A$114,'Données projet'!$B$114,BY36+BX37-CG36)))</f>
        <v>133.92682926829266</v>
      </c>
      <c r="BZ37" s="14">
        <f>BY37*VLOOKUP('Données projet'!$B$12,Paramètres!$A$1:$I$89,3,0)*VLOOKUP('Données projet'!$B$12,Paramètres!$A$1:$I$89,5,0)</f>
        <v>62.677756097560966</v>
      </c>
      <c r="CA37" s="14">
        <f t="shared" si="39"/>
        <v>17.8435597933412</v>
      </c>
      <c r="CB37" s="22">
        <f t="shared" si="10"/>
        <v>140.24129184332125</v>
      </c>
      <c r="CC37" s="62">
        <f t="shared" si="11"/>
        <v>433.57462517665454</v>
      </c>
      <c r="CD37" s="62">
        <f ca="1">AVERAGE(OFFSET($CC$3,0,0,'Données projet'!$E$12+1,1))-AVERAGE(OFFSET($H$3,0,0,'Données projet'!$E$12+1,1))</f>
        <v>264.88170274686757</v>
      </c>
      <c r="CE37" s="62">
        <f t="shared" si="40"/>
        <v>160.81140876142001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114.73488000000005</v>
      </c>
      <c r="CV37" s="14">
        <f t="shared" si="41"/>
        <v>30.443808287231871</v>
      </c>
      <c r="CW37" s="22">
        <f t="shared" si="13"/>
        <v>252.85288210026226</v>
      </c>
      <c r="CX37" s="62">
        <f t="shared" si="14"/>
        <v>546.18621543359563</v>
      </c>
      <c r="CY37" s="62">
        <f ca="1">AVERAGE(OFFSET($CX$3,0,0,'Données projet'!$E$13+1,1))-AVERAGE(OFFSET($H$3,0,0,'Données projet'!$E$13+1,1))</f>
        <v>411.60020200960821</v>
      </c>
      <c r="CZ37" s="62">
        <f t="shared" si="42"/>
        <v>261.95434270986397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1.0208058419523396</v>
      </c>
      <c r="DI37" s="24">
        <f t="shared" si="15"/>
        <v>1.0208058419523396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8.1999999999999993</v>
      </c>
      <c r="DO37" s="13">
        <f>IF('Données projet'!$A$166&gt;35,DO36+DN37-DW36,IF(A37&lt;'Données projet'!$A$166,$DL$205^A37,IF(A37='Données projet'!$A$166,'Données projet'!$B$166,DO36+DN37-DW36)))</f>
        <v>147.79999999999998</v>
      </c>
      <c r="DP37" s="18">
        <f>DO37*VLOOKUP('Données projet'!$B$14,Paramètres!$A$1:$I$89,3,0)*VLOOKUP('Données projet'!$B$14,Paramètres!$A$1:$I$89,5,0)</f>
        <v>96.838559999999987</v>
      </c>
      <c r="DQ37" s="14">
        <f t="shared" si="43"/>
        <v>26.207425681432216</v>
      </c>
      <c r="DR37" s="22">
        <f t="shared" si="16"/>
        <v>214.3050917284944</v>
      </c>
      <c r="DS37" s="62">
        <f t="shared" si="17"/>
        <v>507.63842506182772</v>
      </c>
      <c r="DT37" s="62">
        <f ca="1">AVERAGE(OFFSET($DS$3,0,0,'Données projet'!$E$14+1,1))-AVERAGE(OFFSET($H$3,0,0,'Données projet'!$E$14+1,1))</f>
        <v>240.134073924311</v>
      </c>
      <c r="DU37" s="62">
        <f t="shared" si="44"/>
        <v>237.10378497981156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1.2090495792975156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4.1802426295175508</v>
      </c>
      <c r="ED37" s="24">
        <f t="shared" si="18"/>
        <v>5.3892922088150659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11.5</v>
      </c>
      <c r="N38" s="14">
        <f>IF('Données projet'!$A$36&gt;35,N37+M38-V37,IF(A38&lt;'Données projet'!$A$36,$K$205^A38,IF(A38='Données projet'!$A$36,'Données projet'!$B$36,N37+M38-V37)))</f>
        <v>164.99999999999994</v>
      </c>
      <c r="O38" s="14">
        <f>N38*VLOOKUP('Données projet'!$B$9,Paramètres!$A$1:$I$89,3,0)*VLOOKUP('Données projet'!$B$9,Paramètres!$A$1:$I$89,5,0)</f>
        <v>128.69999999999996</v>
      </c>
      <c r="P38" s="14">
        <f t="shared" si="33"/>
        <v>33.695792019186115</v>
      </c>
      <c r="Q38" s="22">
        <f t="shared" si="53"/>
        <v>282.83933776674911</v>
      </c>
      <c r="R38" s="62">
        <f t="shared" si="0"/>
        <v>576.17267110008243</v>
      </c>
      <c r="S38" s="62">
        <f ca="1">AVERAGE(OFFSET($R$3,0,0,'Données projet'!$E$9+1,1))-AVERAGE(OFFSET($H$3,0,0,'Données projet'!$E$9+1,1))</f>
        <v>288.82868507674738</v>
      </c>
      <c r="T38" s="62">
        <f t="shared" si="34"/>
        <v>283.48738729114024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1.5113970564827532</v>
      </c>
      <c r="AB38" s="23">
        <f>EXP(-LN(2)/2)*AB37+(1-EXP(-LN(2)/2))/(LN(2)/2)*V38*Y38*VLOOKUP('Données projet'!$B$9,Paramètres!$A$1:$I$89,3,0)*0.475*44/12</f>
        <v>0.60056285861580838</v>
      </c>
      <c r="AC38" s="24">
        <f t="shared" si="3"/>
        <v>2.1119599150985615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371.95849973474657</v>
      </c>
      <c r="AO38" s="62">
        <f t="shared" si="36"/>
        <v>233.32640143610547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3.3826370507997283</v>
      </c>
      <c r="AX38" s="23">
        <f t="shared" si="6"/>
        <v>3.3826370507997283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121.2432</v>
      </c>
      <c r="BF38" s="14">
        <f t="shared" si="37"/>
        <v>31.964781119270334</v>
      </c>
      <c r="BG38" s="22">
        <f t="shared" si="7"/>
        <v>266.83723378272913</v>
      </c>
      <c r="BH38" s="62">
        <f t="shared" si="8"/>
        <v>560.17056711606244</v>
      </c>
      <c r="BI38" s="62">
        <f ca="1">AVERAGE(OFFSET($BH$3,0,0,'Données projet'!$E$11+1,1))-AVERAGE(OFFSET($H$3,0,0,'Données projet'!$E$11+1,1))</f>
        <v>423.40903481736001</v>
      </c>
      <c r="BJ38" s="62">
        <f t="shared" si="38"/>
        <v>263.03039552465799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3.9075290069583093</v>
      </c>
      <c r="BS38" s="24">
        <f t="shared" si="9"/>
        <v>3.9075290069583093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3.9390243902439024</v>
      </c>
      <c r="BY38" s="13">
        <f>IF('Données projet'!$A$114&gt;35,BY37+BX38-CG37,IF(A38&lt;'Données projet'!$A$114,$BV$205^A38,IF(A38='Données projet'!$A$114,'Données projet'!$B$114,BY37+BX38-CG37)))</f>
        <v>137.86585365853657</v>
      </c>
      <c r="BZ38" s="14">
        <f>BY38*VLOOKUP('Données projet'!$B$12,Paramètres!$A$1:$I$89,3,0)*VLOOKUP('Données projet'!$B$12,Paramètres!$A$1:$I$89,5,0)</f>
        <v>64.521219512195117</v>
      </c>
      <c r="CA38" s="14">
        <f t="shared" si="39"/>
        <v>18.306497194975456</v>
      </c>
      <c r="CB38" s="22">
        <f t="shared" si="10"/>
        <v>144.25827326498873</v>
      </c>
      <c r="CC38" s="62">
        <f t="shared" si="11"/>
        <v>437.59160659832207</v>
      </c>
      <c r="CD38" s="62">
        <f ca="1">AVERAGE(OFFSET($CC$3,0,0,'Données projet'!$E$12+1,1))-AVERAGE(OFFSET($H$3,0,0,'Données projet'!$E$12+1,1))</f>
        <v>264.88170274686757</v>
      </c>
      <c r="CE38" s="62">
        <f t="shared" si="40"/>
        <v>160.81140876142001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123.83280000000006</v>
      </c>
      <c r="CV38" s="14">
        <f t="shared" si="41"/>
        <v>32.567294628684579</v>
      </c>
      <c r="CW38" s="22">
        <f t="shared" si="13"/>
        <v>272.39683147829243</v>
      </c>
      <c r="CX38" s="62">
        <f t="shared" si="14"/>
        <v>565.73016481162574</v>
      </c>
      <c r="CY38" s="62">
        <f ca="1">AVERAGE(OFFSET($CX$3,0,0,'Données projet'!$E$13+1,1))-AVERAGE(OFFSET($H$3,0,0,'Données projet'!$E$13+1,1))</f>
        <v>411.60020200960821</v>
      </c>
      <c r="CZ38" s="62">
        <f t="shared" si="42"/>
        <v>261.95434270986397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0.72181873311934241</v>
      </c>
      <c r="DI38" s="24">
        <f t="shared" si="15"/>
        <v>0.72181873311934241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156</v>
      </c>
      <c r="DM38" s="13">
        <f>VLOOKUP(A38,'Données projet'!$A$165:$I$185,9,0)</f>
        <v>8.1999999999999993</v>
      </c>
      <c r="DN38" s="13">
        <f t="array" ref="DN38">INDEX(DM:DM,MIN(IF(ISNUMBER(DM38:DM234),ROW(DM38:DM234),"")))</f>
        <v>8.1999999999999993</v>
      </c>
      <c r="DO38" s="13">
        <f>IF('Données projet'!$A$166&gt;35,DO37+DN38-DW37,IF(A38&lt;'Données projet'!$A$166,$DL$205^A38,IF(A38='Données projet'!$A$166,'Données projet'!$B$166,DO37+DN38-DW37)))</f>
        <v>155.99999999999997</v>
      </c>
      <c r="DP38" s="18">
        <f>DO38*VLOOKUP('Données projet'!$B$14,Paramètres!$A$1:$I$89,3,0)*VLOOKUP('Données projet'!$B$14,Paramètres!$A$1:$I$89,5,0)</f>
        <v>102.21119999999998</v>
      </c>
      <c r="DQ38" s="14">
        <f t="shared" si="43"/>
        <v>27.488113037666018</v>
      </c>
      <c r="DR38" s="22">
        <f t="shared" si="16"/>
        <v>225.89297020726829</v>
      </c>
      <c r="DS38" s="62">
        <f t="shared" si="17"/>
        <v>519.22630354060163</v>
      </c>
      <c r="DT38" s="62">
        <f ca="1">AVERAGE(OFFSET($DS$3,0,0,'Données projet'!$E$14+1,1))-AVERAGE(OFFSET($H$3,0,0,'Données projet'!$E$14+1,1))</f>
        <v>240.134073924311</v>
      </c>
      <c r="DU38" s="62">
        <f t="shared" si="44"/>
        <v>237.10378497981156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25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1.1853408544949178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2.955877910336945</v>
      </c>
      <c r="ED38" s="24">
        <f t="shared" si="18"/>
        <v>4.141218764831863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11.5</v>
      </c>
      <c r="N39" s="14">
        <f>IF('Données projet'!$A$36&gt;35,N38+M39-V38,IF(A39&lt;'Données projet'!$A$36,$K$205^A39,IF(A39='Données projet'!$A$36,'Données projet'!$B$36,N38+M39-V38)))</f>
        <v>176.49999999999994</v>
      </c>
      <c r="O39" s="14">
        <f>N39*VLOOKUP('Données projet'!$B$9,Paramètres!$A$1:$I$89,3,0)*VLOOKUP('Données projet'!$B$9,Paramètres!$A$1:$I$89,5,0)</f>
        <v>137.66999999999996</v>
      </c>
      <c r="P39" s="14">
        <f t="shared" si="33"/>
        <v>35.762714965854656</v>
      </c>
      <c r="Q39" s="22">
        <f t="shared" si="53"/>
        <v>302.06197856553007</v>
      </c>
      <c r="R39" s="62">
        <f t="shared" si="0"/>
        <v>595.39531189886338</v>
      </c>
      <c r="S39" s="62">
        <f ca="1">AVERAGE(OFFSET($R$3,0,0,'Données projet'!$E$9+1,1))-AVERAGE(OFFSET($H$3,0,0,'Données projet'!$E$9+1,1))</f>
        <v>288.82868507674738</v>
      </c>
      <c r="T39" s="62">
        <f t="shared" si="34"/>
        <v>283.48738729114024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1.4700678244923155</v>
      </c>
      <c r="AB39" s="23">
        <f>EXP(-LN(2)/2)*AB38+(1-EXP(-LN(2)/2))/(LN(2)/2)*V39*Y39*VLOOKUP('Données projet'!$B$9,Paramètres!$A$1:$I$89,3,0)*0.475*44/12</f>
        <v>0.4246620698560159</v>
      </c>
      <c r="AC39" s="24">
        <f t="shared" si="3"/>
        <v>1.8947298943483315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371.95849973474657</v>
      </c>
      <c r="AO39" s="62">
        <f t="shared" si="36"/>
        <v>233.32640143610547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2.3918855969133519</v>
      </c>
      <c r="AX39" s="23">
        <f t="shared" si="6"/>
        <v>2.3918855969133519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108.07368</v>
      </c>
      <c r="BF39" s="14">
        <f t="shared" si="37"/>
        <v>28.876662943781092</v>
      </c>
      <c r="BG39" s="22">
        <f t="shared" si="7"/>
        <v>238.52184729375207</v>
      </c>
      <c r="BH39" s="62">
        <f t="shared" si="8"/>
        <v>531.85518062708536</v>
      </c>
      <c r="BI39" s="62">
        <f ca="1">AVERAGE(OFFSET($BH$3,0,0,'Données projet'!$E$11+1,1))-AVERAGE(OFFSET($H$3,0,0,'Données projet'!$E$11+1,1))</f>
        <v>423.40903481736001</v>
      </c>
      <c r="BJ39" s="62">
        <f t="shared" si="38"/>
        <v>263.03039552465799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2.7630402585033567</v>
      </c>
      <c r="BS39" s="24">
        <f t="shared" si="9"/>
        <v>2.7630402585033567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3.9390243902439024</v>
      </c>
      <c r="BY39" s="13">
        <f>IF('Données projet'!$A$114&gt;35,BY38+BX39-CG38,IF(A39&lt;'Données projet'!$A$114,$BV$205^A39,IF(A39='Données projet'!$A$114,'Données projet'!$B$114,BY38+BX39-CG38)))</f>
        <v>141.80487804878047</v>
      </c>
      <c r="BZ39" s="14">
        <f>BY39*VLOOKUP('Données projet'!$B$12,Paramètres!$A$1:$I$89,3,0)*VLOOKUP('Données projet'!$B$12,Paramètres!$A$1:$I$89,5,0)</f>
        <v>66.364682926829261</v>
      </c>
      <c r="CA39" s="14">
        <f t="shared" si="39"/>
        <v>18.767897335375036</v>
      </c>
      <c r="CB39" s="22">
        <f t="shared" si="10"/>
        <v>148.27257729000584</v>
      </c>
      <c r="CC39" s="62">
        <f t="shared" si="11"/>
        <v>441.60591062333913</v>
      </c>
      <c r="CD39" s="62">
        <f ca="1">AVERAGE(OFFSET($CC$3,0,0,'Données projet'!$E$12+1,1))-AVERAGE(OFFSET($H$3,0,0,'Données projet'!$E$12+1,1))</f>
        <v>264.88170274686757</v>
      </c>
      <c r="CE39" s="62">
        <f t="shared" si="40"/>
        <v>160.81140876142001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109.68048000000006</v>
      </c>
      <c r="CV39" s="14">
        <f t="shared" si="41"/>
        <v>29.255690427909659</v>
      </c>
      <c r="CW39" s="22">
        <f t="shared" si="13"/>
        <v>241.9804968286094</v>
      </c>
      <c r="CX39" s="62">
        <f t="shared" si="14"/>
        <v>535.31383016194275</v>
      </c>
      <c r="CY39" s="62">
        <f ca="1">AVERAGE(OFFSET($CX$3,0,0,'Données projet'!$E$13+1,1))-AVERAGE(OFFSET($H$3,0,0,'Données projet'!$E$13+1,1))</f>
        <v>411.60020200960821</v>
      </c>
      <c r="CZ39" s="62">
        <f t="shared" si="42"/>
        <v>261.95434270986397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0.51040292097616979</v>
      </c>
      <c r="DI39" s="24">
        <f t="shared" si="15"/>
        <v>0.51040292097616979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7.8</v>
      </c>
      <c r="DO39" s="13">
        <f>IF('Données projet'!$A$166&gt;35,DO38+DN39-DW38,IF(A39&lt;'Données projet'!$A$166,$DL$205^A39,IF(A39='Données projet'!$A$166,'Données projet'!$B$166,DO38+DN39-DW38)))</f>
        <v>138.79999999999998</v>
      </c>
      <c r="DP39" s="18">
        <f>DO39*VLOOKUP('Données projet'!$B$14,Paramètres!$A$1:$I$89,3,0)*VLOOKUP('Données projet'!$B$14,Paramètres!$A$1:$I$89,5,0)</f>
        <v>90.941759999999988</v>
      </c>
      <c r="DQ39" s="14">
        <f t="shared" si="43"/>
        <v>24.792217040885554</v>
      </c>
      <c r="DR39" s="22">
        <f t="shared" si="16"/>
        <v>201.57001001287566</v>
      </c>
      <c r="DS39" s="62">
        <f t="shared" si="17"/>
        <v>494.903343346209</v>
      </c>
      <c r="DT39" s="62">
        <f ca="1">AVERAGE(OFFSET($DS$3,0,0,'Données projet'!$E$14+1,1))-AVERAGE(OFFSET($H$3,0,0,'Données projet'!$E$14+1,1))</f>
        <v>240.134073924311</v>
      </c>
      <c r="DU39" s="62">
        <f t="shared" si="44"/>
        <v>237.10378497981156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1.1620970433248048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2.0901213147587758</v>
      </c>
      <c r="ED39" s="24">
        <f t="shared" si="18"/>
        <v>3.2522183580835806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188</v>
      </c>
      <c r="L40" s="13">
        <f>VLOOKUP(A40,'Données projet'!$A$35:$I$55,9,0)</f>
        <v>11.5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187.99999999999994</v>
      </c>
      <c r="O40" s="14">
        <f>N40*VLOOKUP('Données projet'!$B$9,Paramètres!$A$1:$I$89,3,0)*VLOOKUP('Données projet'!$B$9,Paramètres!$A$1:$I$89,5,0)</f>
        <v>146.63999999999996</v>
      </c>
      <c r="P40" s="14">
        <f t="shared" si="33"/>
        <v>37.814009712703026</v>
      </c>
      <c r="Q40" s="22">
        <f t="shared" si="53"/>
        <v>321.25740024962437</v>
      </c>
      <c r="R40" s="62">
        <f t="shared" si="0"/>
        <v>614.59073358295768</v>
      </c>
      <c r="S40" s="62">
        <f ca="1">AVERAGE(OFFSET($R$3,0,0,'Données projet'!$E$9+1,1))-AVERAGE(OFFSET($H$3,0,0,'Données projet'!$E$9+1,1))</f>
        <v>288.82868507674738</v>
      </c>
      <c r="T40" s="62">
        <f t="shared" si="34"/>
        <v>283.48738729114024</v>
      </c>
      <c r="U40" s="16">
        <f>IF(ISNA(VLOOKUP(A40,'Données projet'!$A$35:$I$55,3,0)),0,VLOOKUP(A40,'Données projet'!$A$35:$I$55,3,0))</f>
        <v>5</v>
      </c>
      <c r="V40" s="16">
        <f>IF(ISNA(VLOOKUP(A40,'Données projet'!$A$35:$I$55,4,0)),0,VLOOKUP(A40,'Données projet'!$A$35:$I$55,4,0))</f>
        <v>36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1.4298687425240661</v>
      </c>
      <c r="AB40" s="23">
        <f>EXP(-LN(2)/2)*AB39+(1-EXP(-LN(2)/2))/(LN(2)/2)*V40*Y40*VLOOKUP('Données projet'!$B$9,Paramètres!$A$1:$I$89,3,0)*0.475*44/12</f>
        <v>0.30028142930790419</v>
      </c>
      <c r="AC40" s="24">
        <f t="shared" si="3"/>
        <v>1.7301501718319703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371.95849973474657</v>
      </c>
      <c r="AO40" s="62">
        <f t="shared" si="36"/>
        <v>233.32640143610547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1.6913185253998642</v>
      </c>
      <c r="AX40" s="23">
        <f t="shared" si="6"/>
        <v>1.6913185253998642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116.85336000000001</v>
      </c>
      <c r="BF40" s="14">
        <f t="shared" si="37"/>
        <v>30.939966081410812</v>
      </c>
      <c r="BG40" s="22">
        <f t="shared" si="7"/>
        <v>257.4067095917905</v>
      </c>
      <c r="BH40" s="62">
        <f t="shared" si="8"/>
        <v>550.74004292512382</v>
      </c>
      <c r="BI40" s="62">
        <f ca="1">AVERAGE(OFFSET($BH$3,0,0,'Données projet'!$E$11+1,1))-AVERAGE(OFFSET($H$3,0,0,'Données projet'!$E$11+1,1))</f>
        <v>423.40903481736001</v>
      </c>
      <c r="BJ40" s="62">
        <f t="shared" si="38"/>
        <v>263.03039552465799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1.9537645034791549</v>
      </c>
      <c r="BS40" s="24">
        <f t="shared" si="9"/>
        <v>1.9537645034791549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3.9390243902439024</v>
      </c>
      <c r="BY40" s="13">
        <f>IF('Données projet'!$A$114&gt;35,BY39+BX40-CG39,IF(A40&lt;'Données projet'!$A$114,$BV$205^A40,IF(A40='Données projet'!$A$114,'Données projet'!$B$114,BY39+BX40-CG39)))</f>
        <v>145.74390243902437</v>
      </c>
      <c r="BZ40" s="14">
        <f>BY40*VLOOKUP('Données projet'!$B$12,Paramètres!$A$1:$I$89,3,0)*VLOOKUP('Données projet'!$B$12,Paramètres!$A$1:$I$89,5,0)</f>
        <v>68.208146341463404</v>
      </c>
      <c r="CA40" s="14">
        <f t="shared" si="39"/>
        <v>19.227807822133961</v>
      </c>
      <c r="CB40" s="22">
        <f t="shared" si="10"/>
        <v>152.28428683493206</v>
      </c>
      <c r="CC40" s="62">
        <f t="shared" si="11"/>
        <v>445.61762016826538</v>
      </c>
      <c r="CD40" s="62">
        <f ca="1">AVERAGE(OFFSET($CC$3,0,0,'Données projet'!$E$12+1,1))-AVERAGE(OFFSET($H$3,0,0,'Données projet'!$E$12+1,1))</f>
        <v>264.88170274686757</v>
      </c>
      <c r="CE40" s="62">
        <f t="shared" si="40"/>
        <v>160.81140876142001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119.11536000000004</v>
      </c>
      <c r="CV40" s="14">
        <f t="shared" si="41"/>
        <v>31.468582772748093</v>
      </c>
      <c r="CW40" s="22">
        <f t="shared" si="13"/>
        <v>262.26703366253628</v>
      </c>
      <c r="CX40" s="62">
        <f t="shared" si="14"/>
        <v>555.60036699586954</v>
      </c>
      <c r="CY40" s="62">
        <f ca="1">AVERAGE(OFFSET($CX$3,0,0,'Données projet'!$E$13+1,1))-AVERAGE(OFFSET($H$3,0,0,'Données projet'!$E$13+1,1))</f>
        <v>411.60020200960821</v>
      </c>
      <c r="CZ40" s="62">
        <f t="shared" si="42"/>
        <v>261.95434270986397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0.36090936655967121</v>
      </c>
      <c r="DI40" s="24">
        <f t="shared" si="15"/>
        <v>0.36090936655967121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7.8</v>
      </c>
      <c r="DO40" s="13">
        <f>IF('Données projet'!$A$166&gt;35,DO39+DN40-DW39,IF(A40&lt;'Données projet'!$A$166,$DL$205^A40,IF(A40='Données projet'!$A$166,'Données projet'!$B$166,DO39+DN40-DW39)))</f>
        <v>146.6</v>
      </c>
      <c r="DP40" s="18">
        <f>DO40*VLOOKUP('Données projet'!$B$14,Paramètres!$A$1:$I$89,3,0)*VLOOKUP('Données projet'!$B$14,Paramètres!$A$1:$I$89,5,0)</f>
        <v>96.052319999999995</v>
      </c>
      <c r="DQ40" s="14">
        <f t="shared" si="43"/>
        <v>26.019324001860248</v>
      </c>
      <c r="DR40" s="22">
        <f t="shared" si="16"/>
        <v>212.60811330323995</v>
      </c>
      <c r="DS40" s="62">
        <f t="shared" si="17"/>
        <v>505.94144663657323</v>
      </c>
      <c r="DT40" s="62">
        <f ca="1">AVERAGE(OFFSET($DS$3,0,0,'Données projet'!$E$14+1,1))-AVERAGE(OFFSET($H$3,0,0,'Données projet'!$E$14+1,1))</f>
        <v>240.134073924311</v>
      </c>
      <c r="DU40" s="62">
        <f t="shared" si="44"/>
        <v>237.10378497981156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1.1393090291144128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1.4779389551684727</v>
      </c>
      <c r="ED40" s="24">
        <f t="shared" si="18"/>
        <v>2.6172479842828853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11.142857142857142</v>
      </c>
      <c r="N41" s="14">
        <f>IF('Données projet'!$A$36&gt;35,N40+M41-V40,IF(A41&lt;'Données projet'!$A$36,$K$205^A41,IF(A41='Données projet'!$A$36,'Données projet'!$B$36,N40+M41-V40)))</f>
        <v>163.14285714285708</v>
      </c>
      <c r="O41" s="14">
        <f>N41*VLOOKUP('Données projet'!$B$9,Paramètres!$A$1:$I$89,3,0)*VLOOKUP('Données projet'!$B$9,Paramètres!$A$1:$I$89,5,0)</f>
        <v>127.25142857142853</v>
      </c>
      <c r="P41" s="14">
        <f t="shared" si="33"/>
        <v>33.360457439554281</v>
      </c>
      <c r="Q41" s="22">
        <f t="shared" si="53"/>
        <v>279.73236813579501</v>
      </c>
      <c r="R41" s="62">
        <f t="shared" si="0"/>
        <v>573.06570146912827</v>
      </c>
      <c r="S41" s="62">
        <f ca="1">AVERAGE(OFFSET($R$3,0,0,'Données projet'!$E$9+1,1))-AVERAGE(OFFSET($H$3,0,0,'Données projet'!$E$9+1,1))</f>
        <v>288.82868507674738</v>
      </c>
      <c r="T41" s="62">
        <f t="shared" si="34"/>
        <v>283.48738729114024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1.3907689065662163</v>
      </c>
      <c r="AB41" s="23">
        <f>EXP(-LN(2)/2)*AB40+(1-EXP(-LN(2)/2))/(LN(2)/2)*V41*Y41*VLOOKUP('Données projet'!$B$9,Paramètres!$A$1:$I$89,3,0)*0.475*44/12</f>
        <v>0.21233103492800795</v>
      </c>
      <c r="AC41" s="24">
        <f t="shared" si="3"/>
        <v>1.6030999414942242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533.32608479725718</v>
      </c>
      <c r="AN41" s="62">
        <f ca="1">AVERAGE(OFFSET($AM$3,0,0,'Données projet'!$E$10+1,1))-AVERAGE(OFFSET($H$3,0,0,'Données projet'!$E$10+1,1))</f>
        <v>371.95849973474657</v>
      </c>
      <c r="AO41" s="62">
        <f t="shared" si="36"/>
        <v>233.32640143610547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1.1959427984566759</v>
      </c>
      <c r="AX41" s="23">
        <f t="shared" si="6"/>
        <v>1.1959427984566759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125.63304000000001</v>
      </c>
      <c r="BF41" s="14">
        <f t="shared" si="37"/>
        <v>32.98528518542296</v>
      </c>
      <c r="BG41" s="22">
        <f t="shared" si="7"/>
        <v>276.26024969794497</v>
      </c>
      <c r="BH41" s="62">
        <f t="shared" si="8"/>
        <v>569.59358303127829</v>
      </c>
      <c r="BI41" s="62">
        <f ca="1">AVERAGE(OFFSET($BH$3,0,0,'Données projet'!$E$11+1,1))-AVERAGE(OFFSET($H$3,0,0,'Données projet'!$E$11+1,1))</f>
        <v>423.40903481736001</v>
      </c>
      <c r="BJ41" s="62">
        <f t="shared" si="38"/>
        <v>263.03039552465799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1.3815201292516786</v>
      </c>
      <c r="BS41" s="24">
        <f t="shared" si="9"/>
        <v>1.3815201292516786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3.9390243902439024</v>
      </c>
      <c r="BY41" s="13">
        <f>IF('Données projet'!$A$114&gt;35,BY40+BX41-CG40,IF(A41&lt;'Données projet'!$A$114,$BV$205^A41,IF(A41='Données projet'!$A$114,'Données projet'!$B$114,BY40+BX41-CG40)))</f>
        <v>149.68292682926827</v>
      </c>
      <c r="BZ41" s="14">
        <f>BY41*VLOOKUP('Données projet'!$B$12,Paramètres!$A$1:$I$89,3,0)*VLOOKUP('Données projet'!$B$12,Paramètres!$A$1:$I$89,5,0)</f>
        <v>70.051609756097548</v>
      </c>
      <c r="CA41" s="14">
        <f t="shared" si="39"/>
        <v>19.6862735429706</v>
      </c>
      <c r="CB41" s="22">
        <f t="shared" si="10"/>
        <v>156.29348007921035</v>
      </c>
      <c r="CC41" s="62">
        <f t="shared" si="11"/>
        <v>449.6268134125437</v>
      </c>
      <c r="CD41" s="62">
        <f ca="1">AVERAGE(OFFSET($CC$3,0,0,'Données projet'!$E$12+1,1))-AVERAGE(OFFSET($H$3,0,0,'Données projet'!$E$12+1,1))</f>
        <v>264.88170274686757</v>
      </c>
      <c r="CE41" s="62">
        <f t="shared" si="40"/>
        <v>160.81140876142001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128.55024000000003</v>
      </c>
      <c r="CV41" s="14">
        <f t="shared" si="41"/>
        <v>33.661144026076663</v>
      </c>
      <c r="CW41" s="22">
        <f t="shared" si="13"/>
        <v>282.51816051208363</v>
      </c>
      <c r="CX41" s="62">
        <f t="shared" si="14"/>
        <v>575.85149384541694</v>
      </c>
      <c r="CY41" s="62">
        <f ca="1">AVERAGE(OFFSET($CX$3,0,0,'Données projet'!$E$13+1,1))-AVERAGE(OFFSET($H$3,0,0,'Données projet'!$E$13+1,1))</f>
        <v>411.60020200960821</v>
      </c>
      <c r="CZ41" s="62">
        <f t="shared" si="42"/>
        <v>261.95434270986397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0.2552014604880849</v>
      </c>
      <c r="DI41" s="24">
        <f t="shared" si="15"/>
        <v>0.2552014604880849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7.8</v>
      </c>
      <c r="DO41" s="13">
        <f>IF('Données projet'!$A$166&gt;35,DO40+DN41-DW40,IF(A41&lt;'Données projet'!$A$166,$DL$205^A41,IF(A41='Données projet'!$A$166,'Données projet'!$B$166,DO40+DN41-DW40)))</f>
        <v>154.4</v>
      </c>
      <c r="DP41" s="18">
        <f>DO41*VLOOKUP('Données projet'!$B$14,Paramètres!$A$1:$I$89,3,0)*VLOOKUP('Données projet'!$B$14,Paramètres!$A$1:$I$89,5,0)</f>
        <v>101.16288</v>
      </c>
      <c r="DQ41" s="14">
        <f t="shared" si="43"/>
        <v>27.238850979377386</v>
      </c>
      <c r="DR41" s="22">
        <f t="shared" si="16"/>
        <v>223.63301478908227</v>
      </c>
      <c r="DS41" s="62">
        <f t="shared" si="17"/>
        <v>516.96634812241564</v>
      </c>
      <c r="DT41" s="62">
        <f ca="1">AVERAGE(OFFSET($DS$3,0,0,'Données projet'!$E$14+1,1))-AVERAGE(OFFSET($H$3,0,0,'Données projet'!$E$14+1,1))</f>
        <v>240.134073924311</v>
      </c>
      <c r="DU41" s="62">
        <f t="shared" si="44"/>
        <v>237.10378497981156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1.1169678739633702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1.0450606573793879</v>
      </c>
      <c r="ED41" s="24">
        <f t="shared" si="18"/>
        <v>2.1620285313427581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11.142857142857142</v>
      </c>
      <c r="N42" s="14">
        <f>IF('Données projet'!$A$36&gt;35,N41+M42-V41,IF(A42&lt;'Données projet'!$A$36,$K$205^A42,IF(A42='Données projet'!$A$36,'Données projet'!$B$36,N41+M42-V41)))</f>
        <v>174.28571428571422</v>
      </c>
      <c r="O42" s="14">
        <f>N42*VLOOKUP('Données projet'!$B$9,Paramètres!$A$1:$I$89,3,0)*VLOOKUP('Données projet'!$B$9,Paramètres!$A$1:$I$89,5,0)</f>
        <v>135.94285714285709</v>
      </c>
      <c r="P42" s="14">
        <f t="shared" si="33"/>
        <v>35.365986273808367</v>
      </c>
      <c r="Q42" s="22">
        <f t="shared" si="53"/>
        <v>298.36290228402567</v>
      </c>
      <c r="R42" s="62">
        <f t="shared" si="0"/>
        <v>591.69623561735898</v>
      </c>
      <c r="S42" s="62">
        <f ca="1">AVERAGE(OFFSET($R$3,0,0,'Données projet'!$E$9+1,1))-AVERAGE(OFFSET($H$3,0,0,'Données projet'!$E$9+1,1))</f>
        <v>288.82868507674738</v>
      </c>
      <c r="T42" s="62">
        <f t="shared" si="34"/>
        <v>283.48738729114024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1.352738257678805</v>
      </c>
      <c r="AB42" s="23">
        <f>EXP(-LN(2)/2)*AB41+(1-EXP(-LN(2)/2))/(LN(2)/2)*V42*Y42*VLOOKUP('Données projet'!$B$9,Paramètres!$A$1:$I$89,3,0)*0.475*44/12</f>
        <v>0.1501407146539521</v>
      </c>
      <c r="AC42" s="24">
        <f t="shared" si="3"/>
        <v>1.5028789723327571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371.95849973474657</v>
      </c>
      <c r="AO42" s="62">
        <f t="shared" si="36"/>
        <v>233.32640143610547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0.84565926269993208</v>
      </c>
      <c r="AX42" s="23">
        <f t="shared" si="6"/>
        <v>0.84565926269993208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134.41272000000001</v>
      </c>
      <c r="BF42" s="14">
        <f t="shared" si="37"/>
        <v>35.014020000711284</v>
      </c>
      <c r="BG42" s="22">
        <f t="shared" si="7"/>
        <v>295.08490550123878</v>
      </c>
      <c r="BH42" s="62">
        <f t="shared" si="8"/>
        <v>588.41823883457209</v>
      </c>
      <c r="BI42" s="62">
        <f ca="1">AVERAGE(OFFSET($BH$3,0,0,'Données projet'!$E$11+1,1))-AVERAGE(OFFSET($H$3,0,0,'Données projet'!$E$11+1,1))</f>
        <v>423.40903481736001</v>
      </c>
      <c r="BJ42" s="62">
        <f t="shared" si="38"/>
        <v>263.03039552465799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0.97688225173957755</v>
      </c>
      <c r="BS42" s="24">
        <f t="shared" si="9"/>
        <v>0.97688225173957755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3.9390243902439024</v>
      </c>
      <c r="BY42" s="13">
        <f>IF('Données projet'!$A$114&gt;35,BY41+BX42-CG41,IF(A42&lt;'Données projet'!$A$114,$BV$205^A42,IF(A42='Données projet'!$A$114,'Données projet'!$B$114,BY41+BX42-CG41)))</f>
        <v>153.62195121951217</v>
      </c>
      <c r="BZ42" s="14">
        <f>BY42*VLOOKUP('Données projet'!$B$12,Paramètres!$A$1:$I$89,3,0)*VLOOKUP('Données projet'!$B$12,Paramètres!$A$1:$I$89,5,0)</f>
        <v>71.895073170731692</v>
      </c>
      <c r="CA42" s="14">
        <f t="shared" si="39"/>
        <v>20.143336888548586</v>
      </c>
      <c r="CB42" s="22">
        <f t="shared" si="10"/>
        <v>160.30023085324646</v>
      </c>
      <c r="CC42" s="62">
        <f t="shared" si="11"/>
        <v>453.63356418657975</v>
      </c>
      <c r="CD42" s="62">
        <f ca="1">AVERAGE(OFFSET($CC$3,0,0,'Données projet'!$E$12+1,1))-AVERAGE(OFFSET($H$3,0,0,'Données projet'!$E$12+1,1))</f>
        <v>264.88170274686757</v>
      </c>
      <c r="CE42" s="62">
        <f t="shared" si="40"/>
        <v>160.81140876142001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137.98512000000002</v>
      </c>
      <c r="CV42" s="14">
        <f t="shared" si="41"/>
        <v>35.835036067646342</v>
      </c>
      <c r="CW42" s="22">
        <f t="shared" si="13"/>
        <v>302.73677181781744</v>
      </c>
      <c r="CX42" s="62">
        <f t="shared" si="14"/>
        <v>596.07010515115076</v>
      </c>
      <c r="CY42" s="62">
        <f ca="1">AVERAGE(OFFSET($CX$3,0,0,'Données projet'!$E$13+1,1))-AVERAGE(OFFSET($H$3,0,0,'Données projet'!$E$13+1,1))</f>
        <v>411.60020200960821</v>
      </c>
      <c r="CZ42" s="62">
        <f t="shared" si="42"/>
        <v>261.95434270986397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0.1804546832798356</v>
      </c>
      <c r="DI42" s="24">
        <f t="shared" si="15"/>
        <v>0.1804546832798356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7.8</v>
      </c>
      <c r="DO42" s="13">
        <f>IF('Données projet'!$A$166&gt;35,DO41+DN42-DW41,IF(A42&lt;'Données projet'!$A$166,$DL$205^A42,IF(A42='Données projet'!$A$166,'Données projet'!$B$166,DO41+DN42-DW41)))</f>
        <v>162.20000000000002</v>
      </c>
      <c r="DP42" s="18">
        <f>DO42*VLOOKUP('Données projet'!$B$14,Paramètres!$A$1:$I$89,3,0)*VLOOKUP('Données projet'!$B$14,Paramètres!$A$1:$I$89,5,0)</f>
        <v>106.27344000000002</v>
      </c>
      <c r="DQ42" s="14">
        <f t="shared" si="43"/>
        <v>28.45122459003127</v>
      </c>
      <c r="DR42" s="22">
        <f t="shared" si="16"/>
        <v>234.64545749430451</v>
      </c>
      <c r="DS42" s="62">
        <f t="shared" si="17"/>
        <v>527.97879082763779</v>
      </c>
      <c r="DT42" s="62">
        <f ca="1">AVERAGE(OFFSET($DS$3,0,0,'Données projet'!$E$14+1,1))-AVERAGE(OFFSET($H$3,0,0,'Données projet'!$E$14+1,1))</f>
        <v>240.134073924311</v>
      </c>
      <c r="DU42" s="62">
        <f t="shared" si="44"/>
        <v>237.10378497981156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1.0950648152380804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0.73896947758423637</v>
      </c>
      <c r="ED42" s="24">
        <f t="shared" si="18"/>
        <v>1.8340342928223168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11.142857142857142</v>
      </c>
      <c r="N43" s="14">
        <f>IF('Données projet'!$A$36&gt;35,N42+M43-V42,IF(A43&lt;'Données projet'!$A$36,$K$205^A43,IF(A43='Données projet'!$A$36,'Données projet'!$B$36,N42+M43-V42)))</f>
        <v>185.42857142857136</v>
      </c>
      <c r="O43" s="14">
        <f>N43*VLOOKUP('Données projet'!$B$9,Paramètres!$A$1:$I$89,3,0)*VLOOKUP('Données projet'!$B$9,Paramètres!$A$1:$I$89,5,0)</f>
        <v>144.63428571428565</v>
      </c>
      <c r="P43" s="14">
        <f t="shared" si="33"/>
        <v>37.356634728420524</v>
      </c>
      <c r="Q43" s="22">
        <f t="shared" si="53"/>
        <v>316.96751977104657</v>
      </c>
      <c r="R43" s="62">
        <f t="shared" si="0"/>
        <v>610.30085310437994</v>
      </c>
      <c r="S43" s="62">
        <f ca="1">AVERAGE(OFFSET($R$3,0,0,'Données projet'!$E$9+1,1))-AVERAGE(OFFSET($H$3,0,0,'Données projet'!$E$9+1,1))</f>
        <v>288.82868507674738</v>
      </c>
      <c r="T43" s="62">
        <f t="shared" si="34"/>
        <v>283.48738729114024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1.3157475588851648</v>
      </c>
      <c r="AB43" s="23">
        <f>EXP(-LN(2)/2)*AB42+(1-EXP(-LN(2)/2))/(LN(2)/2)*V43*Y43*VLOOKUP('Données projet'!$B$9,Paramètres!$A$1:$I$89,3,0)*0.475*44/12</f>
        <v>0.10616551746400398</v>
      </c>
      <c r="AC43" s="24">
        <f t="shared" si="3"/>
        <v>1.4219130763491687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371.95849973474657</v>
      </c>
      <c r="AO43" s="62">
        <f t="shared" si="36"/>
        <v>233.32640143610547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0.59797139922833797</v>
      </c>
      <c r="AX43" s="23">
        <f t="shared" si="6"/>
        <v>0.59797139922833797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143.19240000000002</v>
      </c>
      <c r="BF43" s="14">
        <f t="shared" si="37"/>
        <v>37.027377071278792</v>
      </c>
      <c r="BG43" s="22">
        <f t="shared" si="7"/>
        <v>313.88277839914394</v>
      </c>
      <c r="BH43" s="62">
        <f t="shared" si="8"/>
        <v>607.2161117324772</v>
      </c>
      <c r="BI43" s="62">
        <f ca="1">AVERAGE(OFFSET($BH$3,0,0,'Données projet'!$E$11+1,1))-AVERAGE(OFFSET($H$3,0,0,'Données projet'!$E$11+1,1))</f>
        <v>423.40903481736001</v>
      </c>
      <c r="BJ43" s="62">
        <f t="shared" si="38"/>
        <v>263.03039552465799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0.69076006462583939</v>
      </c>
      <c r="BS43" s="24">
        <f t="shared" si="9"/>
        <v>0.69076006462583939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3.9390243902439024</v>
      </c>
      <c r="BY43" s="13">
        <f>IF('Données projet'!$A$114&gt;35,BY42+BX43-CG42,IF(A43&lt;'Données projet'!$A$114,$BV$205^A43,IF(A43='Données projet'!$A$114,'Données projet'!$B$114,BY42+BX43-CG42)))</f>
        <v>157.56097560975607</v>
      </c>
      <c r="BZ43" s="14">
        <f>BY43*VLOOKUP('Données projet'!$B$12,Paramètres!$A$1:$I$89,3,0)*VLOOKUP('Données projet'!$B$12,Paramètres!$A$1:$I$89,5,0)</f>
        <v>73.73853658536585</v>
      </c>
      <c r="CA43" s="14">
        <f t="shared" si="39"/>
        <v>20.599037951801549</v>
      </c>
      <c r="CB43" s="22">
        <f t="shared" si="10"/>
        <v>164.30460898556655</v>
      </c>
      <c r="CC43" s="62">
        <f t="shared" si="11"/>
        <v>457.63794231889983</v>
      </c>
      <c r="CD43" s="62">
        <f ca="1">AVERAGE(OFFSET($CC$3,0,0,'Données projet'!$E$12+1,1))-AVERAGE(OFFSET($H$3,0,0,'Données projet'!$E$12+1,1))</f>
        <v>264.88170274686757</v>
      </c>
      <c r="CE43" s="62">
        <f t="shared" si="40"/>
        <v>160.81140876142001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147.42000000000002</v>
      </c>
      <c r="CV43" s="14">
        <f t="shared" si="41"/>
        <v>37.991680647570291</v>
      </c>
      <c r="CW43" s="22">
        <f t="shared" si="13"/>
        <v>322.92534379451826</v>
      </c>
      <c r="CX43" s="62">
        <f t="shared" si="14"/>
        <v>616.25867712785157</v>
      </c>
      <c r="CY43" s="62">
        <f ca="1">AVERAGE(OFFSET($CX$3,0,0,'Données projet'!$E$13+1,1))-AVERAGE(OFFSET($H$3,0,0,'Données projet'!$E$13+1,1))</f>
        <v>411.60020200960821</v>
      </c>
      <c r="CZ43" s="62">
        <f t="shared" si="42"/>
        <v>261.95434270986397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0.12760073024404245</v>
      </c>
      <c r="DI43" s="24">
        <f t="shared" si="15"/>
        <v>0.12760073024404245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170</v>
      </c>
      <c r="DM43" s="13">
        <f>VLOOKUP(A43,'Données projet'!$A$165:$I$185,9,0)</f>
        <v>7.8</v>
      </c>
      <c r="DN43" s="13">
        <f t="array" ref="DN43">INDEX(DM:DM,MIN(IF(ISNUMBER(DM43:DM239),ROW(DM43:DM239),"")))</f>
        <v>7.8</v>
      </c>
      <c r="DO43" s="13">
        <f>IF('Données projet'!$A$166&gt;35,DO42+DN43-DW42,IF(A43&lt;'Données projet'!$A$166,$DL$205^A43,IF(A43='Données projet'!$A$166,'Données projet'!$B$166,DO42+DN43-DW42)))</f>
        <v>170.00000000000003</v>
      </c>
      <c r="DP43" s="18">
        <f>DO43*VLOOKUP('Données projet'!$B$14,Paramètres!$A$1:$I$89,3,0)*VLOOKUP('Données projet'!$B$14,Paramètres!$A$1:$I$89,5,0)</f>
        <v>111.38400000000001</v>
      </c>
      <c r="DQ43" s="14">
        <f t="shared" si="43"/>
        <v>29.656828101147433</v>
      </c>
      <c r="DR43" s="22">
        <f t="shared" si="16"/>
        <v>245.6461089428318</v>
      </c>
      <c r="DS43" s="62">
        <f t="shared" si="17"/>
        <v>538.97944227616517</v>
      </c>
      <c r="DT43" s="62">
        <f ca="1">AVERAGE(OFFSET($DS$3,0,0,'Données projet'!$E$14+1,1))-AVERAGE(OFFSET($H$3,0,0,'Données projet'!$E$14+1,1))</f>
        <v>240.134073924311</v>
      </c>
      <c r="DU43" s="62">
        <f t="shared" si="44"/>
        <v>237.10378497981156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25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1.0735912621348469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0.52253032868969396</v>
      </c>
      <c r="ED43" s="24">
        <f t="shared" si="18"/>
        <v>1.596121590824541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11.142857142857142</v>
      </c>
      <c r="N44" s="14">
        <f>IF('Données projet'!$A$36&gt;35,N43+M44-V43,IF(A44&lt;'Données projet'!$A$36,$K$205^A44,IF(A44='Données projet'!$A$36,'Données projet'!$B$36,N43+M44-V43)))</f>
        <v>196.5714285714285</v>
      </c>
      <c r="O44" s="14">
        <f>N44*VLOOKUP('Données projet'!$B$9,Paramètres!$A$1:$I$89,3,0)*VLOOKUP('Données projet'!$B$9,Paramètres!$A$1:$I$89,5,0)</f>
        <v>153.32571428571424</v>
      </c>
      <c r="P44" s="14">
        <f t="shared" si="33"/>
        <v>39.333398837614155</v>
      </c>
      <c r="Q44" s="22">
        <f t="shared" si="53"/>
        <v>335.5479553564636</v>
      </c>
      <c r="R44" s="62">
        <f t="shared" si="0"/>
        <v>628.88128868979697</v>
      </c>
      <c r="S44" s="62">
        <f ca="1">AVERAGE(OFFSET($R$3,0,0,'Données projet'!$E$9+1,1))-AVERAGE(OFFSET($H$3,0,0,'Données projet'!$E$9+1,1))</f>
        <v>288.82868507674738</v>
      </c>
      <c r="T44" s="62">
        <f t="shared" si="34"/>
        <v>283.48738729114024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1.2797683726952931</v>
      </c>
      <c r="AB44" s="23">
        <f>EXP(-LN(2)/2)*AB43+(1-EXP(-LN(2)/2))/(LN(2)/2)*V44*Y44*VLOOKUP('Données projet'!$B$9,Paramètres!$A$1:$I$89,3,0)*0.475*44/12</f>
        <v>7.5070357326976048E-2</v>
      </c>
      <c r="AC44" s="24">
        <f t="shared" si="3"/>
        <v>1.3548387300222691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371.95849973474657</v>
      </c>
      <c r="AO44" s="62">
        <f t="shared" si="36"/>
        <v>233.32640143610547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0.42282963134996604</v>
      </c>
      <c r="AX44" s="23">
        <f t="shared" si="6"/>
        <v>0.42282963134996604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130.02288000000001</v>
      </c>
      <c r="BF44" s="14">
        <f t="shared" si="37"/>
        <v>34.00164617442524</v>
      </c>
      <c r="BG44" s="22">
        <f t="shared" si="7"/>
        <v>285.67604975379066</v>
      </c>
      <c r="BH44" s="62">
        <f t="shared" si="8"/>
        <v>579.00938308712398</v>
      </c>
      <c r="BI44" s="62">
        <f ca="1">AVERAGE(OFFSET($BH$3,0,0,'Données projet'!$E$11+1,1))-AVERAGE(OFFSET($H$3,0,0,'Données projet'!$E$11+1,1))</f>
        <v>423.40903481736001</v>
      </c>
      <c r="BJ44" s="62">
        <f t="shared" si="38"/>
        <v>263.03039552465799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0.48844112586978888</v>
      </c>
      <c r="BS44" s="24">
        <f t="shared" si="9"/>
        <v>0.48844112586978888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3.9390243902439024</v>
      </c>
      <c r="BY44" s="13">
        <f>IF('Données projet'!$A$114&gt;35,BY43+BX44-CG43,IF(A44&lt;'Données projet'!$A$114,$BV$205^A44,IF(A44='Données projet'!$A$114,'Données projet'!$B$114,BY43+BX44-CG43)))</f>
        <v>161.49999999999997</v>
      </c>
      <c r="BZ44" s="14">
        <f>BY44*VLOOKUP('Données projet'!$B$12,Paramètres!$A$1:$I$89,3,0)*VLOOKUP('Données projet'!$B$12,Paramètres!$A$1:$I$89,5,0)</f>
        <v>75.581999999999979</v>
      </c>
      <c r="CA44" s="14">
        <f t="shared" si="39"/>
        <v>21.053414706764119</v>
      </c>
      <c r="CB44" s="22">
        <f t="shared" si="10"/>
        <v>168.30668061428079</v>
      </c>
      <c r="CC44" s="62">
        <f t="shared" si="11"/>
        <v>461.64001394761408</v>
      </c>
      <c r="CD44" s="62">
        <f ca="1">AVERAGE(OFFSET($CC$3,0,0,'Données projet'!$E$12+1,1))-AVERAGE(OFFSET($H$3,0,0,'Données projet'!$E$12+1,1))</f>
        <v>264.88170274686757</v>
      </c>
      <c r="CE44" s="62">
        <f t="shared" si="40"/>
        <v>160.81140876142001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133.43616000000003</v>
      </c>
      <c r="CV44" s="14">
        <f t="shared" si="41"/>
        <v>34.789145432008958</v>
      </c>
      <c r="CW44" s="22">
        <f t="shared" si="13"/>
        <v>292.99240696074895</v>
      </c>
      <c r="CX44" s="62">
        <f t="shared" si="14"/>
        <v>586.32574029408227</v>
      </c>
      <c r="CY44" s="62">
        <f ca="1">AVERAGE(OFFSET($CX$3,0,0,'Données projet'!$E$13+1,1))-AVERAGE(OFFSET($H$3,0,0,'Données projet'!$E$13+1,1))</f>
        <v>411.60020200960821</v>
      </c>
      <c r="CZ44" s="62">
        <f t="shared" si="42"/>
        <v>261.95434270986397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9.0227341639917802E-2</v>
      </c>
      <c r="DI44" s="24">
        <f t="shared" si="15"/>
        <v>9.0227341639917802E-2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7.4</v>
      </c>
      <c r="DO44" s="13">
        <f>IF('Données projet'!$A$166&gt;35,DO43+DN44-DW43,IF(A44&lt;'Données projet'!$A$166,$DL$205^A44,IF(A44='Données projet'!$A$166,'Données projet'!$B$166,DO43+DN44-DW43)))</f>
        <v>152.40000000000003</v>
      </c>
      <c r="DP44" s="18">
        <f>DO44*VLOOKUP('Données projet'!$B$14,Paramètres!$A$1:$I$89,3,0)*VLOOKUP('Données projet'!$B$14,Paramètres!$A$1:$I$89,5,0)</f>
        <v>99.852480000000014</v>
      </c>
      <c r="DQ44" s="14">
        <f t="shared" si="43"/>
        <v>26.926849923546513</v>
      </c>
      <c r="DR44" s="22">
        <f t="shared" si="16"/>
        <v>220.80733295017686</v>
      </c>
      <c r="DS44" s="62">
        <f t="shared" si="17"/>
        <v>514.1406662835102</v>
      </c>
      <c r="DT44" s="62">
        <f ca="1">AVERAGE(OFFSET($DS$3,0,0,'Données projet'!$E$14+1,1))-AVERAGE(OFFSET($H$3,0,0,'Données projet'!$E$14+1,1))</f>
        <v>240.134073924311</v>
      </c>
      <c r="DU44" s="62">
        <f t="shared" si="44"/>
        <v>237.10378497981156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1.0525387923103937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0.36948473879211818</v>
      </c>
      <c r="ED44" s="24">
        <f t="shared" si="18"/>
        <v>1.422023531102512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11.142857142857142</v>
      </c>
      <c r="N45" s="14">
        <f>IF('Données projet'!$A$36&gt;35,N44+M45-V44,IF(A45&lt;'Données projet'!$A$36,$K$205^A45,IF(A45='Données projet'!$A$36,'Données projet'!$B$36,N44+M45-V44)))</f>
        <v>207.71428571428564</v>
      </c>
      <c r="O45" s="14">
        <f>N45*VLOOKUP('Données projet'!$B$9,Paramètres!$A$1:$I$89,3,0)*VLOOKUP('Données projet'!$B$9,Paramètres!$A$1:$I$89,5,0)</f>
        <v>162.0171428571428</v>
      </c>
      <c r="P45" s="14">
        <f t="shared" si="33"/>
        <v>41.29715533509664</v>
      </c>
      <c r="Q45" s="22">
        <f t="shared" si="53"/>
        <v>354.10573601815037</v>
      </c>
      <c r="R45" s="62">
        <f t="shared" si="0"/>
        <v>647.43906935148368</v>
      </c>
      <c r="S45" s="62">
        <f ca="1">AVERAGE(OFFSET($R$3,0,0,'Données projet'!$E$9+1,1))-AVERAGE(OFFSET($H$3,0,0,'Données projet'!$E$9+1,1))</f>
        <v>288.82868507674738</v>
      </c>
      <c r="T45" s="62">
        <f t="shared" si="34"/>
        <v>283.48738729114024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1.2447730392438465</v>
      </c>
      <c r="AB45" s="23">
        <f>EXP(-LN(2)/2)*AB44+(1-EXP(-LN(2)/2))/(LN(2)/2)*V45*Y45*VLOOKUP('Données projet'!$B$9,Paramètres!$A$1:$I$89,3,0)*0.475*44/12</f>
        <v>5.3082758732001988E-2</v>
      </c>
      <c r="AC45" s="24">
        <f t="shared" si="3"/>
        <v>1.2978557979758485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557.83878140250943</v>
      </c>
      <c r="AN45" s="62">
        <f ca="1">AVERAGE(OFFSET($AM$3,0,0,'Données projet'!$E$10+1,1))-AVERAGE(OFFSET($H$3,0,0,'Données projet'!$E$10+1,1))</f>
        <v>371.95849973474657</v>
      </c>
      <c r="AO45" s="62">
        <f t="shared" si="36"/>
        <v>233.32640143610547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0.29898569961416899</v>
      </c>
      <c r="AX45" s="23">
        <f t="shared" si="6"/>
        <v>0.29898569961416899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138.80256000000003</v>
      </c>
      <c r="BF45" s="14">
        <f t="shared" si="37"/>
        <v>36.022551816496033</v>
      </c>
      <c r="BG45" s="22">
        <f t="shared" si="7"/>
        <v>304.48706974706403</v>
      </c>
      <c r="BH45" s="62">
        <f t="shared" si="8"/>
        <v>597.82040308039734</v>
      </c>
      <c r="BI45" s="62">
        <f ca="1">AVERAGE(OFFSET($BH$3,0,0,'Données projet'!$E$11+1,1))-AVERAGE(OFFSET($H$3,0,0,'Données projet'!$E$11+1,1))</f>
        <v>423.40903481736001</v>
      </c>
      <c r="BJ45" s="62">
        <f t="shared" si="38"/>
        <v>263.03039552465799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0.34538003231291975</v>
      </c>
      <c r="BS45" s="24">
        <f t="shared" si="9"/>
        <v>0.34538003231291975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3.9390243902439024</v>
      </c>
      <c r="BY45" s="13">
        <f>IF('Données projet'!$A$114&gt;35,BY44+BX45-CG44,IF(A45&lt;'Données projet'!$A$114,$BV$205^A45,IF(A45='Données projet'!$A$114,'Données projet'!$B$114,BY44+BX45-CG44)))</f>
        <v>165.43902439024387</v>
      </c>
      <c r="BZ45" s="14">
        <f>BY45*VLOOKUP('Données projet'!$B$12,Paramètres!$A$1:$I$89,3,0)*VLOOKUP('Données projet'!$B$12,Paramètres!$A$1:$I$89,5,0)</f>
        <v>77.425463414634137</v>
      </c>
      <c r="CA45" s="14">
        <f t="shared" si="39"/>
        <v>21.506503169464821</v>
      </c>
      <c r="CB45" s="22">
        <f t="shared" si="10"/>
        <v>172.30650846730569</v>
      </c>
      <c r="CC45" s="62">
        <f t="shared" si="11"/>
        <v>465.63984180063903</v>
      </c>
      <c r="CD45" s="62">
        <f ca="1">AVERAGE(OFFSET($CC$3,0,0,'Données projet'!$E$12+1,1))-AVERAGE(OFFSET($H$3,0,0,'Données projet'!$E$12+1,1))</f>
        <v>264.88170274686757</v>
      </c>
      <c r="CE45" s="62">
        <f t="shared" si="40"/>
        <v>160.81140876142001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143.03952000000001</v>
      </c>
      <c r="CV45" s="14">
        <f t="shared" si="41"/>
        <v>36.992444033168439</v>
      </c>
      <c r="CW45" s="22">
        <f t="shared" si="13"/>
        <v>313.55567069110168</v>
      </c>
      <c r="CX45" s="62">
        <f t="shared" si="14"/>
        <v>606.88900402443505</v>
      </c>
      <c r="CY45" s="62">
        <f ca="1">AVERAGE(OFFSET($CX$3,0,0,'Données projet'!$E$13+1,1))-AVERAGE(OFFSET($H$3,0,0,'Données projet'!$E$13+1,1))</f>
        <v>411.60020200960821</v>
      </c>
      <c r="CZ45" s="62">
        <f t="shared" si="42"/>
        <v>261.95434270986397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6.3800365122021224E-2</v>
      </c>
      <c r="DI45" s="24">
        <f t="shared" si="15"/>
        <v>6.3800365122021224E-2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7.4</v>
      </c>
      <c r="DO45" s="13">
        <f>IF('Données projet'!$A$166&gt;35,DO44+DN45-DW44,IF(A45&lt;'Données projet'!$A$166,$DL$205^A45,IF(A45='Données projet'!$A$166,'Données projet'!$B$166,DO44+DN45-DW44)))</f>
        <v>159.80000000000004</v>
      </c>
      <c r="DP45" s="18">
        <f>DO45*VLOOKUP('Données projet'!$B$14,Paramètres!$A$1:$I$89,3,0)*VLOOKUP('Données projet'!$B$14,Paramètres!$A$1:$I$89,5,0)</f>
        <v>104.70096000000002</v>
      </c>
      <c r="DQ45" s="14">
        <f t="shared" si="43"/>
        <v>28.07892464469024</v>
      </c>
      <c r="DR45" s="22">
        <f t="shared" si="16"/>
        <v>231.2582990895022</v>
      </c>
      <c r="DS45" s="62">
        <f t="shared" si="17"/>
        <v>524.59163242283557</v>
      </c>
      <c r="DT45" s="62">
        <f ca="1">AVERAGE(OFFSET($DS$3,0,0,'Données projet'!$E$14+1,1))-AVERAGE(OFFSET($H$3,0,0,'Données projet'!$E$14+1,1))</f>
        <v>240.134073924311</v>
      </c>
      <c r="DU45" s="62">
        <f t="shared" si="44"/>
        <v>237.10378497981156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1.0318991485784594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0.26126516434484698</v>
      </c>
      <c r="ED45" s="24">
        <f t="shared" si="18"/>
        <v>1.2931643129233064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11.142857142857142</v>
      </c>
      <c r="N46" s="14">
        <f>IF('Données projet'!$A$36&gt;35,N45+M46-V45,IF(A46&lt;'Données projet'!$A$36,$K$205^A46,IF(A46='Données projet'!$A$36,'Données projet'!$B$36,N45+M46-V45)))</f>
        <v>218.85714285714278</v>
      </c>
      <c r="O46" s="14">
        <f>N46*VLOOKUP('Données projet'!$B$9,Paramètres!$A$1:$I$89,3,0)*VLOOKUP('Données projet'!$B$9,Paramètres!$A$1:$I$89,5,0)</f>
        <v>170.70857142857136</v>
      </c>
      <c r="P46" s="14">
        <f t="shared" si="33"/>
        <v>43.248681576985376</v>
      </c>
      <c r="Q46" s="22">
        <f t="shared" si="53"/>
        <v>372.64221565134466</v>
      </c>
      <c r="R46" s="62">
        <f t="shared" si="0"/>
        <v>665.97554898467797</v>
      </c>
      <c r="S46" s="62">
        <f ca="1">AVERAGE(OFFSET($R$3,0,0,'Données projet'!$E$9+1,1))-AVERAGE(OFFSET($H$3,0,0,'Données projet'!$E$9+1,1))</f>
        <v>288.82868507674738</v>
      </c>
      <c r="T46" s="62">
        <f t="shared" si="34"/>
        <v>283.48738729114024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1.2107346550259543</v>
      </c>
      <c r="AB46" s="23">
        <f>EXP(-LN(2)/2)*AB45+(1-EXP(-LN(2)/2))/(LN(2)/2)*V46*Y46*VLOOKUP('Données projet'!$B$9,Paramètres!$A$1:$I$89,3,0)*0.475*44/12</f>
        <v>3.7535178663488024E-2</v>
      </c>
      <c r="AC46" s="24">
        <f t="shared" si="3"/>
        <v>1.2482698336894424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371.95849973474657</v>
      </c>
      <c r="AO46" s="62">
        <f t="shared" si="36"/>
        <v>233.32640143610547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0.21141481567498302</v>
      </c>
      <c r="AX46" s="23">
        <f t="shared" si="6"/>
        <v>0.21141481567498302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147.58224000000001</v>
      </c>
      <c r="BF46" s="14">
        <f t="shared" si="37"/>
        <v>38.028622437771823</v>
      </c>
      <c r="BG46" s="22">
        <f t="shared" si="7"/>
        <v>323.27225207911926</v>
      </c>
      <c r="BH46" s="62">
        <f t="shared" si="8"/>
        <v>616.60558541245257</v>
      </c>
      <c r="BI46" s="62">
        <f ca="1">AVERAGE(OFFSET($BH$3,0,0,'Données projet'!$E$11+1,1))-AVERAGE(OFFSET($H$3,0,0,'Données projet'!$E$11+1,1))</f>
        <v>423.40903481736001</v>
      </c>
      <c r="BJ46" s="62">
        <f t="shared" si="38"/>
        <v>263.03039552465799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0.24422056293489447</v>
      </c>
      <c r="BS46" s="24">
        <f t="shared" si="9"/>
        <v>0.24422056293489447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3.9390243902439024</v>
      </c>
      <c r="BY46" s="13">
        <f>IF('Données projet'!$A$114&gt;35,BY45+BX46-CG45,IF(A46&lt;'Données projet'!$A$114,$BV$205^A46,IF(A46='Données projet'!$A$114,'Données projet'!$B$114,BY45+BX46-CG45)))</f>
        <v>169.37804878048777</v>
      </c>
      <c r="BZ46" s="14">
        <f>BY46*VLOOKUP('Données projet'!$B$12,Paramètres!$A$1:$I$89,3,0)*VLOOKUP('Données projet'!$B$12,Paramètres!$A$1:$I$89,5,0)</f>
        <v>79.268926829268281</v>
      </c>
      <c r="CA46" s="14">
        <f t="shared" si="39"/>
        <v>21.958337543064122</v>
      </c>
      <c r="CB46" s="22">
        <f t="shared" si="10"/>
        <v>176.3041521151456</v>
      </c>
      <c r="CC46" s="62">
        <f t="shared" si="11"/>
        <v>469.63748544847891</v>
      </c>
      <c r="CD46" s="62">
        <f ca="1">AVERAGE(OFFSET($CC$3,0,0,'Données projet'!$E$12+1,1))-AVERAGE(OFFSET($H$3,0,0,'Données projet'!$E$12+1,1))</f>
        <v>264.88170274686757</v>
      </c>
      <c r="CE46" s="62">
        <f t="shared" si="40"/>
        <v>160.81140876142001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152.64288000000002</v>
      </c>
      <c r="CV46" s="14">
        <f t="shared" si="41"/>
        <v>39.178577703588573</v>
      </c>
      <c r="CW46" s="22">
        <f t="shared" si="13"/>
        <v>334.08903883375007</v>
      </c>
      <c r="CX46" s="62">
        <f t="shared" si="14"/>
        <v>627.42237216708338</v>
      </c>
      <c r="CY46" s="62">
        <f ca="1">AVERAGE(OFFSET($CX$3,0,0,'Données projet'!$E$13+1,1))-AVERAGE(OFFSET($H$3,0,0,'Données projet'!$E$13+1,1))</f>
        <v>411.60020200960821</v>
      </c>
      <c r="CZ46" s="62">
        <f t="shared" si="42"/>
        <v>261.95434270986397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4.5113670819958901E-2</v>
      </c>
      <c r="DI46" s="24">
        <f t="shared" si="15"/>
        <v>4.5113670819958901E-2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7.4</v>
      </c>
      <c r="DO46" s="13">
        <f>IF('Données projet'!$A$166&gt;35,DO45+DN46-DW45,IF(A46&lt;'Données projet'!$A$166,$DL$205^A46,IF(A46='Données projet'!$A$166,'Données projet'!$B$166,DO45+DN46-DW45)))</f>
        <v>167.20000000000005</v>
      </c>
      <c r="DP46" s="18">
        <f>DO46*VLOOKUP('Données projet'!$B$14,Paramètres!$A$1:$I$89,3,0)*VLOOKUP('Données projet'!$B$14,Paramètres!$A$1:$I$89,5,0)</f>
        <v>109.54944000000003</v>
      </c>
      <c r="DQ46" s="14">
        <f t="shared" si="43"/>
        <v>29.224803777563448</v>
      </c>
      <c r="DR46" s="22">
        <f t="shared" si="16"/>
        <v>241.69847457925638</v>
      </c>
      <c r="DS46" s="62">
        <f t="shared" si="17"/>
        <v>535.03180791258967</v>
      </c>
      <c r="DT46" s="62">
        <f ca="1">AVERAGE(OFFSET($DS$3,0,0,'Données projet'!$E$14+1,1))-AVERAGE(OFFSET($H$3,0,0,'Données projet'!$E$14+1,1))</f>
        <v>240.134073924311</v>
      </c>
      <c r="DU46" s="62">
        <f t="shared" si="44"/>
        <v>237.10378497981156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1.0116642356711687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0.18474236939605909</v>
      </c>
      <c r="ED46" s="24">
        <f t="shared" si="18"/>
        <v>1.1964066050672277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230</v>
      </c>
      <c r="L47" s="13">
        <f>VLOOKUP(A47,'Données projet'!$A$35:$I$55,9,0)</f>
        <v>11.142857142857142</v>
      </c>
      <c r="M47" s="13">
        <f t="array" ref="M47">INDEX(L:L,MIN(IF(ISNUMBER(L47:L243),ROW(L47:L243),"")))</f>
        <v>11.142857142857142</v>
      </c>
      <c r="N47" s="14">
        <f>IF('Données projet'!$A$36&gt;35,N46+M47-V46,IF(A47&lt;'Données projet'!$A$36,$K$205^A47,IF(A47='Données projet'!$A$36,'Données projet'!$B$36,N46+M47-V46)))</f>
        <v>229.99999999999991</v>
      </c>
      <c r="O47" s="14">
        <f>N47*VLOOKUP('Données projet'!$B$9,Paramètres!$A$1:$I$89,3,0)*VLOOKUP('Données projet'!$B$9,Paramètres!$A$1:$I$89,5,0)</f>
        <v>179.39999999999995</v>
      </c>
      <c r="P47" s="14">
        <f t="shared" si="33"/>
        <v>45.188671291872232</v>
      </c>
      <c r="Q47" s="22">
        <f t="shared" si="53"/>
        <v>391.15860250001066</v>
      </c>
      <c r="R47" s="62">
        <f t="shared" si="0"/>
        <v>684.49193583334397</v>
      </c>
      <c r="S47" s="62">
        <f ca="1">AVERAGE(OFFSET($R$3,0,0,'Données projet'!$E$9+1,1))-AVERAGE(OFFSET($H$3,0,0,'Données projet'!$E$9+1,1))</f>
        <v>288.82868507674738</v>
      </c>
      <c r="T47" s="62">
        <f t="shared" si="34"/>
        <v>283.48738729114024</v>
      </c>
      <c r="U47" s="16">
        <f>IF(ISNA(VLOOKUP(A47,'Données projet'!$A$35:$I$55,3,0)),0,VLOOKUP(A47,'Données projet'!$A$35:$I$55,3,0))</f>
        <v>6</v>
      </c>
      <c r="V47" s="16">
        <f>IF(ISNA(VLOOKUP(A47,'Données projet'!$A$35:$I$55,4,0)),0,VLOOKUP(A47,'Données projet'!$A$35:$I$55,4,0))</f>
        <v>43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1.1776270522145014</v>
      </c>
      <c r="AB47" s="23">
        <f>EXP(-LN(2)/2)*AB46+(1-EXP(-LN(2)/2))/(LN(2)/2)*V47*Y47*VLOOKUP('Données projet'!$B$9,Paramètres!$A$1:$I$89,3,0)*0.475*44/12</f>
        <v>2.6541379366000994E-2</v>
      </c>
      <c r="AC47" s="24">
        <f t="shared" si="3"/>
        <v>1.2041684315805024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371.95849973474657</v>
      </c>
      <c r="AO47" s="62">
        <f t="shared" si="36"/>
        <v>233.32640143610547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0.14949284980708449</v>
      </c>
      <c r="AX47" s="23">
        <f t="shared" si="6"/>
        <v>0.14949284980708449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156.36192000000005</v>
      </c>
      <c r="BF47" s="14">
        <f t="shared" si="37"/>
        <v>40.020841092261293</v>
      </c>
      <c r="BG47" s="22">
        <f t="shared" si="7"/>
        <v>342.0333089023552</v>
      </c>
      <c r="BH47" s="62">
        <f t="shared" si="8"/>
        <v>635.36664223568846</v>
      </c>
      <c r="BI47" s="62">
        <f ca="1">AVERAGE(OFFSET($BH$3,0,0,'Données projet'!$E$11+1,1))-AVERAGE(OFFSET($H$3,0,0,'Données projet'!$E$11+1,1))</f>
        <v>423.40903481736001</v>
      </c>
      <c r="BJ47" s="62">
        <f t="shared" si="38"/>
        <v>263.03039552465799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0.1726900161564599</v>
      </c>
      <c r="BS47" s="24">
        <f t="shared" si="9"/>
        <v>0.1726900161564599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3.9390243902439024</v>
      </c>
      <c r="BY47" s="13">
        <f>IF('Données projet'!$A$114&gt;35,BY46+BX47-CG46,IF(A47&lt;'Données projet'!$A$114,$BV$205^A47,IF(A47='Données projet'!$A$114,'Données projet'!$B$114,BY46+BX47-CG46)))</f>
        <v>173.31707317073167</v>
      </c>
      <c r="BZ47" s="14">
        <f>BY47*VLOOKUP('Données projet'!$B$12,Paramètres!$A$1:$I$89,3,0)*VLOOKUP('Données projet'!$B$12,Paramètres!$A$1:$I$89,5,0)</f>
        <v>81.112390243902425</v>
      </c>
      <c r="CA47" s="14">
        <f t="shared" si="39"/>
        <v>22.408950349110981</v>
      </c>
      <c r="CB47" s="22">
        <f t="shared" si="10"/>
        <v>180.29966819949834</v>
      </c>
      <c r="CC47" s="62">
        <f t="shared" si="11"/>
        <v>473.63300153283166</v>
      </c>
      <c r="CD47" s="62">
        <f ca="1">AVERAGE(OFFSET($CC$3,0,0,'Données projet'!$E$12+1,1))-AVERAGE(OFFSET($H$3,0,0,'Données projet'!$E$12+1,1))</f>
        <v>264.88170274686757</v>
      </c>
      <c r="CE47" s="62">
        <f t="shared" si="40"/>
        <v>160.81140876142001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162.24624000000003</v>
      </c>
      <c r="CV47" s="14">
        <f t="shared" si="41"/>
        <v>41.348749290582795</v>
      </c>
      <c r="CW47" s="22">
        <f t="shared" si="13"/>
        <v>354.59460634776502</v>
      </c>
      <c r="CX47" s="62">
        <f t="shared" si="14"/>
        <v>647.92793968109834</v>
      </c>
      <c r="CY47" s="62">
        <f ca="1">AVERAGE(OFFSET($CX$3,0,0,'Données projet'!$E$13+1,1))-AVERAGE(OFFSET($H$3,0,0,'Données projet'!$E$13+1,1))</f>
        <v>411.60020200960821</v>
      </c>
      <c r="CZ47" s="62">
        <f t="shared" si="42"/>
        <v>261.95434270986397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3.1900182561010612E-2</v>
      </c>
      <c r="DI47" s="24">
        <f t="shared" si="15"/>
        <v>3.1900182561010612E-2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7.4</v>
      </c>
      <c r="DO47" s="13">
        <f>IF('Données projet'!$A$166&gt;35,DO46+DN47-DW46,IF(A47&lt;'Données projet'!$A$166,$DL$205^A47,IF(A47='Données projet'!$A$166,'Données projet'!$B$166,DO46+DN47-DW46)))</f>
        <v>174.60000000000005</v>
      </c>
      <c r="DP47" s="18">
        <f>DO47*VLOOKUP('Données projet'!$B$14,Paramètres!$A$1:$I$89,3,0)*VLOOKUP('Données projet'!$B$14,Paramètres!$A$1:$I$89,5,0)</f>
        <v>114.39792000000004</v>
      </c>
      <c r="DQ47" s="14">
        <f t="shared" si="43"/>
        <v>30.364792863013299</v>
      </c>
      <c r="DR47" s="22">
        <f t="shared" si="16"/>
        <v>252.12839156974823</v>
      </c>
      <c r="DS47" s="62">
        <f t="shared" si="17"/>
        <v>545.46172490308152</v>
      </c>
      <c r="DT47" s="62">
        <f ca="1">AVERAGE(OFFSET($DS$3,0,0,'Données projet'!$E$14+1,1))-AVERAGE(OFFSET($H$3,0,0,'Données projet'!$E$14+1,1))</f>
        <v>240.134073924311</v>
      </c>
      <c r="DU47" s="62">
        <f t="shared" si="44"/>
        <v>237.10378497981156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0.99182611706391177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0.13063258217242349</v>
      </c>
      <c r="ED47" s="24">
        <f t="shared" si="18"/>
        <v>1.1224586992363352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10.375</v>
      </c>
      <c r="N48" s="14">
        <f>IF('Données projet'!$A$36&gt;35,N47+M48-V47,IF(A48&lt;'Données projet'!$A$36,$K$205^A48,IF(A48='Données projet'!$A$36,'Données projet'!$B$36,N47+M48-V47)))</f>
        <v>197.37499999999991</v>
      </c>
      <c r="O48" s="14">
        <f>N48*VLOOKUP('Données projet'!$B$9,Paramètres!$A$1:$I$89,3,0)*VLOOKUP('Données projet'!$B$9,Paramètres!$A$1:$I$89,5,0)</f>
        <v>153.95249999999993</v>
      </c>
      <c r="P48" s="14">
        <f t="shared" si="33"/>
        <v>39.475441267837361</v>
      </c>
      <c r="Q48" s="22">
        <f t="shared" si="53"/>
        <v>336.88699770814992</v>
      </c>
      <c r="R48" s="62">
        <f t="shared" si="0"/>
        <v>630.22033104148318</v>
      </c>
      <c r="S48" s="62">
        <f ca="1">AVERAGE(OFFSET($R$3,0,0,'Données projet'!$E$9+1,1))-AVERAGE(OFFSET($H$3,0,0,'Données projet'!$E$9+1,1))</f>
        <v>288.82868507674738</v>
      </c>
      <c r="T48" s="62">
        <f t="shared" si="34"/>
        <v>283.48738729114024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1.1454247785429807</v>
      </c>
      <c r="AB48" s="23">
        <f>EXP(-LN(2)/2)*AB47+(1-EXP(-LN(2)/2))/(LN(2)/2)*V48*Y48*VLOOKUP('Données projet'!$B$9,Paramètres!$A$1:$I$89,3,0)*0.475*44/12</f>
        <v>1.8767589331744012E-2</v>
      </c>
      <c r="AC48" s="24">
        <f t="shared" si="3"/>
        <v>1.1641923678747248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371.95849973474657</v>
      </c>
      <c r="AO48" s="62">
        <f t="shared" si="36"/>
        <v>233.32640143610547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0.10570740783749151</v>
      </c>
      <c r="AX48" s="23">
        <f t="shared" si="6"/>
        <v>0.10570740783749151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165.14160000000004</v>
      </c>
      <c r="BF48" s="14">
        <f t="shared" si="37"/>
        <v>42.000074202332975</v>
      </c>
      <c r="BG48" s="22">
        <f t="shared" si="7"/>
        <v>360.77174923572994</v>
      </c>
      <c r="BH48" s="62">
        <f t="shared" si="8"/>
        <v>654.10508256906326</v>
      </c>
      <c r="BI48" s="62">
        <f ca="1">AVERAGE(OFFSET($BH$3,0,0,'Données projet'!$E$11+1,1))-AVERAGE(OFFSET($H$3,0,0,'Données projet'!$E$11+1,1))</f>
        <v>423.40903481736001</v>
      </c>
      <c r="BJ48" s="62">
        <f t="shared" si="38"/>
        <v>263.03039552465799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0.12211028146744726</v>
      </c>
      <c r="BS48" s="24">
        <f t="shared" si="9"/>
        <v>0.12211028146744726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3.9390243902439024</v>
      </c>
      <c r="BY48" s="13">
        <f>IF('Données projet'!$A$114&gt;35,BY47+BX48-CG47,IF(A48&lt;'Données projet'!$A$114,$BV$205^A48,IF(A48='Données projet'!$A$114,'Données projet'!$B$114,BY47+BX48-CG47)))</f>
        <v>177.25609756097558</v>
      </c>
      <c r="BZ48" s="14">
        <f>BY48*VLOOKUP('Données projet'!$B$12,Paramètres!$A$1:$I$89,3,0)*VLOOKUP('Données projet'!$B$12,Paramètres!$A$1:$I$89,5,0)</f>
        <v>82.955853658536569</v>
      </c>
      <c r="CA48" s="14">
        <f t="shared" si="39"/>
        <v>22.85837254653056</v>
      </c>
      <c r="CB48" s="22">
        <f t="shared" si="10"/>
        <v>184.29311064049193</v>
      </c>
      <c r="CC48" s="62">
        <f t="shared" si="11"/>
        <v>477.62644397382525</v>
      </c>
      <c r="CD48" s="62">
        <f ca="1">AVERAGE(OFFSET($CC$3,0,0,'Données projet'!$E$12+1,1))-AVERAGE(OFFSET($H$3,0,0,'Données projet'!$E$12+1,1))</f>
        <v>264.88170274686757</v>
      </c>
      <c r="CE48" s="62">
        <f t="shared" si="40"/>
        <v>160.81140876142001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171.84960000000004</v>
      </c>
      <c r="CV48" s="14">
        <f t="shared" si="41"/>
        <v>43.50401120412441</v>
      </c>
      <c r="CW48" s="22">
        <f t="shared" si="13"/>
        <v>375.07420618051674</v>
      </c>
      <c r="CX48" s="62">
        <f t="shared" si="14"/>
        <v>668.40753951385</v>
      </c>
      <c r="CY48" s="62">
        <f ca="1">AVERAGE(OFFSET($CX$3,0,0,'Données projet'!$E$13+1,1))-AVERAGE(OFFSET($H$3,0,0,'Données projet'!$E$13+1,1))</f>
        <v>411.60020200960821</v>
      </c>
      <c r="CZ48" s="62">
        <f t="shared" si="42"/>
        <v>261.95434270986397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2.255683540997945E-2</v>
      </c>
      <c r="DI48" s="24">
        <f t="shared" si="15"/>
        <v>2.255683540997945E-2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182</v>
      </c>
      <c r="DM48" s="13">
        <f>VLOOKUP(A48,'Données projet'!$A$165:$I$185,9,0)</f>
        <v>7.4</v>
      </c>
      <c r="DN48" s="13">
        <f t="array" ref="DN48">INDEX(DM:DM,MIN(IF(ISNUMBER(DM48:DM244),ROW(DM48:DM244),"")))</f>
        <v>7.4</v>
      </c>
      <c r="DO48" s="13">
        <f>IF('Données projet'!$A$166&gt;35,DO47+DN48-DW47,IF(A48&lt;'Données projet'!$A$166,$DL$205^A48,IF(A48='Données projet'!$A$166,'Données projet'!$B$166,DO47+DN48-DW47)))</f>
        <v>182.00000000000006</v>
      </c>
      <c r="DP48" s="18">
        <f>DO48*VLOOKUP('Données projet'!$B$14,Paramètres!$A$1:$I$89,3,0)*VLOOKUP('Données projet'!$B$14,Paramètres!$A$1:$I$89,5,0)</f>
        <v>119.24640000000005</v>
      </c>
      <c r="DQ48" s="14">
        <f t="shared" si="43"/>
        <v>31.499170077667042</v>
      </c>
      <c r="DR48" s="22">
        <f t="shared" si="16"/>
        <v>262.54853455193683</v>
      </c>
      <c r="DS48" s="62">
        <f t="shared" si="17"/>
        <v>555.88186788527014</v>
      </c>
      <c r="DT48" s="62">
        <f ca="1">AVERAGE(OFFSET($DS$3,0,0,'Données projet'!$E$14+1,1))-AVERAGE(OFFSET($H$3,0,0,'Données projet'!$E$14+1,1))</f>
        <v>240.134073924311</v>
      </c>
      <c r="DU48" s="62">
        <f t="shared" si="44"/>
        <v>237.10378497981156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25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0.9723770118624856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9.2371184698029546E-2</v>
      </c>
      <c r="ED48" s="24">
        <f t="shared" si="18"/>
        <v>1.0647481965605152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10.375</v>
      </c>
      <c r="N49" s="14">
        <f>IF('Données projet'!$A$36&gt;35,N48+M49-V48,IF(A49&lt;'Données projet'!$A$36,$K$205^A49,IF(A49='Données projet'!$A$36,'Données projet'!$B$36,N48+M49-V48)))</f>
        <v>207.74999999999991</v>
      </c>
      <c r="O49" s="14">
        <f>N49*VLOOKUP('Données projet'!$B$9,Paramètres!$A$1:$I$89,3,0)*VLOOKUP('Données projet'!$B$9,Paramètres!$A$1:$I$89,5,0)</f>
        <v>162.04499999999993</v>
      </c>
      <c r="P49" s="14">
        <f t="shared" si="33"/>
        <v>41.303429372463391</v>
      </c>
      <c r="Q49" s="22">
        <f t="shared" si="53"/>
        <v>354.16518115704025</v>
      </c>
      <c r="R49" s="62">
        <f t="shared" si="0"/>
        <v>647.49851449037351</v>
      </c>
      <c r="S49" s="62">
        <f ca="1">AVERAGE(OFFSET($R$3,0,0,'Données projet'!$E$9+1,1))-AVERAGE(OFFSET($H$3,0,0,'Données projet'!$E$9+1,1))</f>
        <v>288.82868507674738</v>
      </c>
      <c r="T49" s="62">
        <f t="shared" si="34"/>
        <v>283.48738729114024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1.1141030777384517</v>
      </c>
      <c r="AB49" s="23">
        <f>EXP(-LN(2)/2)*AB48+(1-EXP(-LN(2)/2))/(LN(2)/2)*V49*Y49*VLOOKUP('Données projet'!$B$9,Paramètres!$A$1:$I$89,3,0)*0.475*44/12</f>
        <v>1.3270689683000497E-2</v>
      </c>
      <c r="AC49" s="24">
        <f t="shared" si="3"/>
        <v>1.1273737674214523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582.30024964318545</v>
      </c>
      <c r="AN49" s="62">
        <f ca="1">AVERAGE(OFFSET($AM$3,0,0,'Données projet'!$E$10+1,1))-AVERAGE(OFFSET($H$3,0,0,'Données projet'!$E$10+1,1))</f>
        <v>371.95849973474657</v>
      </c>
      <c r="AO49" s="62">
        <f t="shared" si="36"/>
        <v>233.32640143610547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7.4746424903542247E-2</v>
      </c>
      <c r="AX49" s="23">
        <f t="shared" si="6"/>
        <v>7.4746424903542247E-2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151.97208000000006</v>
      </c>
      <c r="BF49" s="14">
        <f t="shared" si="37"/>
        <v>39.026406624566306</v>
      </c>
      <c r="BG49" s="22">
        <f t="shared" si="7"/>
        <v>332.65569753778635</v>
      </c>
      <c r="BH49" s="62">
        <f t="shared" si="8"/>
        <v>625.98903087111967</v>
      </c>
      <c r="BI49" s="62">
        <f ca="1">AVERAGE(OFFSET($BH$3,0,0,'Données projet'!$E$11+1,1))-AVERAGE(OFFSET($H$3,0,0,'Données projet'!$E$11+1,1))</f>
        <v>423.40903481736001</v>
      </c>
      <c r="BJ49" s="62">
        <f t="shared" si="38"/>
        <v>263.03039552465799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8.6345008078229965E-2</v>
      </c>
      <c r="BS49" s="24">
        <f t="shared" si="9"/>
        <v>8.6345008078229965E-2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3.9390243902439024</v>
      </c>
      <c r="BY49" s="13">
        <f>IF('Données projet'!$A$114&gt;35,BY48+BX49-CG48,IF(A49&lt;'Données projet'!$A$114,$BV$205^A49,IF(A49='Données projet'!$A$114,'Données projet'!$B$114,BY48+BX49-CG48)))</f>
        <v>181.19512195121948</v>
      </c>
      <c r="BZ49" s="14">
        <f>BY49*VLOOKUP('Données projet'!$B$12,Paramètres!$A$1:$I$89,3,0)*VLOOKUP('Données projet'!$B$12,Paramètres!$A$1:$I$89,5,0)</f>
        <v>84.799317073170727</v>
      </c>
      <c r="CA49" s="14">
        <f t="shared" si="39"/>
        <v>23.306633639736987</v>
      </c>
      <c r="CB49" s="22">
        <f t="shared" si="10"/>
        <v>188.28453082498095</v>
      </c>
      <c r="CC49" s="62">
        <f t="shared" si="11"/>
        <v>481.61786415831426</v>
      </c>
      <c r="CD49" s="62">
        <f ca="1">AVERAGE(OFFSET($CC$3,0,0,'Données projet'!$E$12+1,1))-AVERAGE(OFFSET($H$3,0,0,'Données projet'!$E$12+1,1))</f>
        <v>264.88170274686757</v>
      </c>
      <c r="CE49" s="62">
        <f t="shared" si="40"/>
        <v>160.81140876142001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157.52880000000005</v>
      </c>
      <c r="CV49" s="14">
        <f t="shared" si="41"/>
        <v>40.284625411479013</v>
      </c>
      <c r="CW49" s="22">
        <f t="shared" si="13"/>
        <v>344.52504925832596</v>
      </c>
      <c r="CX49" s="62">
        <f t="shared" si="14"/>
        <v>637.85838259165928</v>
      </c>
      <c r="CY49" s="62">
        <f ca="1">AVERAGE(OFFSET($CX$3,0,0,'Données projet'!$E$13+1,1))-AVERAGE(OFFSET($H$3,0,0,'Données projet'!$E$13+1,1))</f>
        <v>411.60020200960821</v>
      </c>
      <c r="CZ49" s="62">
        <f t="shared" si="42"/>
        <v>261.95434270986397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1.5950091280505306E-2</v>
      </c>
      <c r="DI49" s="24">
        <f t="shared" si="15"/>
        <v>1.5950091280505306E-2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6.8</v>
      </c>
      <c r="DO49" s="13">
        <f>IF('Données projet'!$A$166&gt;35,DO48+DN49-DW48,IF(A49&lt;'Données projet'!$A$166,$DL$205^A49,IF(A49='Données projet'!$A$166,'Données projet'!$B$166,DO48+DN49-DW48)))</f>
        <v>163.80000000000007</v>
      </c>
      <c r="DP49" s="18">
        <f>DO49*VLOOKUP('Données projet'!$B$14,Paramètres!$A$1:$I$89,3,0)*VLOOKUP('Données projet'!$B$14,Paramètres!$A$1:$I$89,5,0)</f>
        <v>107.32176000000004</v>
      </c>
      <c r="DQ49" s="14">
        <f t="shared" si="43"/>
        <v>28.699067963776873</v>
      </c>
      <c r="DR49" s="22">
        <f t="shared" si="16"/>
        <v>236.90294203691144</v>
      </c>
      <c r="DS49" s="62">
        <f t="shared" si="17"/>
        <v>530.23627537024481</v>
      </c>
      <c r="DT49" s="62">
        <f ca="1">AVERAGE(OFFSET($DS$3,0,0,'Données projet'!$E$14+1,1))-AVERAGE(OFFSET($H$3,0,0,'Données projet'!$E$14+1,1))</f>
        <v>240.134073924311</v>
      </c>
      <c r="DU49" s="62">
        <f t="shared" si="44"/>
        <v>237.10378497981156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0.95330929175127654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6.5316291086211745E-2</v>
      </c>
      <c r="ED49" s="24">
        <f t="shared" si="18"/>
        <v>1.0186255828374884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10.375</v>
      </c>
      <c r="N50" s="14">
        <f>IF('Données projet'!$A$36&gt;35,N49+M50-V49,IF(A50&lt;'Données projet'!$A$36,$K$205^A50,IF(A50='Données projet'!$A$36,'Données projet'!$B$36,N49+M50-V49)))</f>
        <v>218.12499999999991</v>
      </c>
      <c r="O50" s="14">
        <f>N50*VLOOKUP('Données projet'!$B$9,Paramètres!$A$1:$I$89,3,0)*VLOOKUP('Données projet'!$B$9,Paramètres!$A$1:$I$89,5,0)</f>
        <v>170.13749999999993</v>
      </c>
      <c r="P50" s="14">
        <f t="shared" si="33"/>
        <v>43.120817562072375</v>
      </c>
      <c r="Q50" s="22">
        <f t="shared" si="53"/>
        <v>371.42490308727588</v>
      </c>
      <c r="R50" s="62">
        <f t="shared" si="0"/>
        <v>664.75823642060914</v>
      </c>
      <c r="S50" s="62">
        <f ca="1">AVERAGE(OFFSET($R$3,0,0,'Données projet'!$E$9+1,1))-AVERAGE(OFFSET($H$3,0,0,'Données projet'!$E$9+1,1))</f>
        <v>288.82868507674738</v>
      </c>
      <c r="T50" s="62">
        <f t="shared" si="34"/>
        <v>283.48738729114024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1.0836378704895593</v>
      </c>
      <c r="AB50" s="23">
        <f>EXP(-LN(2)/2)*AB49+(1-EXP(-LN(2)/2))/(LN(2)/2)*V50*Y50*VLOOKUP('Données projet'!$B$9,Paramètres!$A$1:$I$89,3,0)*0.475*44/12</f>
        <v>9.383794665872006E-3</v>
      </c>
      <c r="AC50" s="24">
        <f t="shared" si="3"/>
        <v>1.0930216651554312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598.5819131330129</v>
      </c>
      <c r="AN50" s="62">
        <f ca="1">AVERAGE(OFFSET($AM$3,0,0,'Données projet'!$E$10+1,1))-AVERAGE(OFFSET($H$3,0,0,'Données projet'!$E$10+1,1))</f>
        <v>371.95849973474657</v>
      </c>
      <c r="AO50" s="62">
        <f t="shared" si="36"/>
        <v>233.32640143610547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5.2853703918745755E-2</v>
      </c>
      <c r="AX50" s="23">
        <f t="shared" si="6"/>
        <v>5.2853703918745755E-2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160.75176000000005</v>
      </c>
      <c r="BF50" s="14">
        <f t="shared" si="37"/>
        <v>41.01203068691094</v>
      </c>
      <c r="BG50" s="22">
        <f t="shared" si="7"/>
        <v>351.40526877970325</v>
      </c>
      <c r="BH50" s="62">
        <f t="shared" si="8"/>
        <v>644.73860211303656</v>
      </c>
      <c r="BI50" s="62">
        <f ca="1">AVERAGE(OFFSET($BH$3,0,0,'Données projet'!$E$11+1,1))-AVERAGE(OFFSET($H$3,0,0,'Données projet'!$E$11+1,1))</f>
        <v>423.40903481736001</v>
      </c>
      <c r="BJ50" s="62">
        <f t="shared" si="38"/>
        <v>263.03039552465799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6.1055140733723638E-2</v>
      </c>
      <c r="BS50" s="24">
        <f t="shared" si="9"/>
        <v>6.1055140733723638E-2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3.9390243902439024</v>
      </c>
      <c r="BY50" s="13">
        <f>IF('Données projet'!$A$114&gt;35,BY49+BX50-CG49,IF(A50&lt;'Données projet'!$A$114,$BV$205^A50,IF(A50='Données projet'!$A$114,'Données projet'!$B$114,BY49+BX50-CG49)))</f>
        <v>185.13414634146338</v>
      </c>
      <c r="BZ50" s="14">
        <f>BY50*VLOOKUP('Données projet'!$B$12,Paramètres!$A$1:$I$89,3,0)*VLOOKUP('Données projet'!$B$12,Paramètres!$A$1:$I$89,5,0)</f>
        <v>86.642780487804856</v>
      </c>
      <c r="CA50" s="14">
        <f t="shared" si="39"/>
        <v>23.753761777079841</v>
      </c>
      <c r="CB50" s="22">
        <f t="shared" si="10"/>
        <v>192.27397777800752</v>
      </c>
      <c r="CC50" s="62">
        <f t="shared" si="11"/>
        <v>485.60731111134083</v>
      </c>
      <c r="CD50" s="62">
        <f ca="1">AVERAGE(OFFSET($CC$3,0,0,'Données projet'!$E$12+1,1))-AVERAGE(OFFSET($H$3,0,0,'Données projet'!$E$12+1,1))</f>
        <v>264.88170274686757</v>
      </c>
      <c r="CE50" s="62">
        <f t="shared" si="40"/>
        <v>160.81140876142001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166.79520000000002</v>
      </c>
      <c r="CV50" s="14">
        <f t="shared" si="41"/>
        <v>42.371461898472788</v>
      </c>
      <c r="CW50" s="22">
        <f t="shared" si="13"/>
        <v>364.29860280650678</v>
      </c>
      <c r="CX50" s="62">
        <f t="shared" si="14"/>
        <v>657.63193613984004</v>
      </c>
      <c r="CY50" s="62">
        <f ca="1">AVERAGE(OFFSET($CX$3,0,0,'Données projet'!$E$13+1,1))-AVERAGE(OFFSET($H$3,0,0,'Données projet'!$E$13+1,1))</f>
        <v>411.60020200960821</v>
      </c>
      <c r="CZ50" s="62">
        <f t="shared" si="42"/>
        <v>261.95434270986397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1.1278417704989725E-2</v>
      </c>
      <c r="DI50" s="24">
        <f t="shared" si="15"/>
        <v>1.1278417704989725E-2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6.8</v>
      </c>
      <c r="DO50" s="13">
        <f>IF('Données projet'!$A$166&gt;35,DO49+DN50-DW49,IF(A50&lt;'Données projet'!$A$166,$DL$205^A50,IF(A50='Données projet'!$A$166,'Données projet'!$B$166,DO49+DN50-DW49)))</f>
        <v>170.60000000000008</v>
      </c>
      <c r="DP50" s="18">
        <f>DO50*VLOOKUP('Données projet'!$B$14,Paramètres!$A$1:$I$89,3,0)*VLOOKUP('Données projet'!$B$14,Paramètres!$A$1:$I$89,5,0)</f>
        <v>111.77712000000005</v>
      </c>
      <c r="DQ50" s="14">
        <f t="shared" si="43"/>
        <v>29.749296563258252</v>
      </c>
      <c r="DR50" s="22">
        <f t="shared" si="16"/>
        <v>246.4918421810082</v>
      </c>
      <c r="DS50" s="62">
        <f t="shared" si="17"/>
        <v>539.82517551434148</v>
      </c>
      <c r="DT50" s="62">
        <f ca="1">AVERAGE(OFFSET($DS$3,0,0,'Données projet'!$E$14+1,1))-AVERAGE(OFFSET($H$3,0,0,'Données projet'!$E$14+1,1))</f>
        <v>240.134073924311</v>
      </c>
      <c r="DU50" s="62">
        <f t="shared" si="44"/>
        <v>237.10378497981156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0.93461547800128741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4.6185592349014773E-2</v>
      </c>
      <c r="ED50" s="24">
        <f t="shared" si="18"/>
        <v>0.98080107035030217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10.375</v>
      </c>
      <c r="N51" s="14">
        <f>IF('Données projet'!$A$36&gt;35,N50+M51-V50,IF(A51&lt;'Données projet'!$A$36,$K$205^A51,IF(A51='Données projet'!$A$36,'Données projet'!$B$36,N50+M51-V50)))</f>
        <v>228.49999999999991</v>
      </c>
      <c r="O51" s="14">
        <f>N51*VLOOKUP('Données projet'!$B$9,Paramètres!$A$1:$I$89,3,0)*VLOOKUP('Données projet'!$B$9,Paramètres!$A$1:$I$89,5,0)</f>
        <v>178.22999999999993</v>
      </c>
      <c r="P51" s="14">
        <f t="shared" si="33"/>
        <v>44.928167580487852</v>
      </c>
      <c r="Q51" s="22">
        <f t="shared" si="53"/>
        <v>388.66714186934951</v>
      </c>
      <c r="R51" s="62">
        <f t="shared" si="0"/>
        <v>682.00047520268276</v>
      </c>
      <c r="S51" s="62">
        <f ca="1">AVERAGE(OFFSET($R$3,0,0,'Données projet'!$E$9+1,1))-AVERAGE(OFFSET($H$3,0,0,'Données projet'!$E$9+1,1))</f>
        <v>288.82868507674738</v>
      </c>
      <c r="T51" s="62">
        <f t="shared" si="34"/>
        <v>283.48738729114024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1.0540057359349833</v>
      </c>
      <c r="AB51" s="23">
        <f>EXP(-LN(2)/2)*AB50+(1-EXP(-LN(2)/2))/(LN(2)/2)*V51*Y51*VLOOKUP('Données projet'!$B$9,Paramètres!$A$1:$I$89,3,0)*0.475*44/12</f>
        <v>6.6353448415002484E-3</v>
      </c>
      <c r="AC51" s="24">
        <f t="shared" si="3"/>
        <v>1.0606410807764834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614.84427332521136</v>
      </c>
      <c r="AN51" s="62">
        <f ca="1">AVERAGE(OFFSET($AM$3,0,0,'Données projet'!$E$10+1,1))-AVERAGE(OFFSET($H$3,0,0,'Données projet'!$E$10+1,1))</f>
        <v>371.95849973474657</v>
      </c>
      <c r="AO51" s="62">
        <f t="shared" si="36"/>
        <v>233.32640143610547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3.7373212451771123E-2</v>
      </c>
      <c r="AX51" s="23">
        <f t="shared" si="6"/>
        <v>3.7373212451771123E-2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169.53144000000006</v>
      </c>
      <c r="BF51" s="14">
        <f t="shared" si="37"/>
        <v>42.985064880945778</v>
      </c>
      <c r="BG51" s="22">
        <f t="shared" si="7"/>
        <v>370.13291266764736</v>
      </c>
      <c r="BH51" s="62">
        <f t="shared" si="8"/>
        <v>663.46624600098062</v>
      </c>
      <c r="BI51" s="62">
        <f ca="1">AVERAGE(OFFSET($BH$3,0,0,'Données projet'!$E$11+1,1))-AVERAGE(OFFSET($H$3,0,0,'Données projet'!$E$11+1,1))</f>
        <v>423.40903481736001</v>
      </c>
      <c r="BJ51" s="62">
        <f t="shared" si="38"/>
        <v>263.03039552465799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4.3172504039114989E-2</v>
      </c>
      <c r="BS51" s="24">
        <f t="shared" si="9"/>
        <v>4.3172504039114989E-2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3.9390243902439024</v>
      </c>
      <c r="BY51" s="13">
        <f>IF('Données projet'!$A$114&gt;35,BY50+BX51-CG50,IF(A51&lt;'Données projet'!$A$114,$BV$205^A51,IF(A51='Données projet'!$A$114,'Données projet'!$B$114,BY50+BX51-CG50)))</f>
        <v>189.07317073170728</v>
      </c>
      <c r="BZ51" s="14">
        <f>BY51*VLOOKUP('Données projet'!$B$12,Paramètres!$A$1:$I$89,3,0)*VLOOKUP('Données projet'!$B$12,Paramètres!$A$1:$I$89,5,0)</f>
        <v>88.486243902439</v>
      </c>
      <c r="CA51" s="14">
        <f t="shared" si="39"/>
        <v>24.199783840675924</v>
      </c>
      <c r="CB51" s="22">
        <f t="shared" si="10"/>
        <v>196.26149831925849</v>
      </c>
      <c r="CC51" s="62">
        <f t="shared" si="11"/>
        <v>489.59483165259178</v>
      </c>
      <c r="CD51" s="62">
        <f ca="1">AVERAGE(OFFSET($CC$3,0,0,'Données projet'!$E$12+1,1))-AVERAGE(OFFSET($H$3,0,0,'Données projet'!$E$12+1,1))</f>
        <v>264.88170274686757</v>
      </c>
      <c r="CE51" s="62">
        <f t="shared" si="40"/>
        <v>160.81140876142001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176.06160000000006</v>
      </c>
      <c r="CV51" s="14">
        <f t="shared" si="41"/>
        <v>44.444839741138928</v>
      </c>
      <c r="CW51" s="22">
        <f t="shared" si="13"/>
        <v>384.04871588248369</v>
      </c>
      <c r="CX51" s="62">
        <f t="shared" si="14"/>
        <v>677.38204921581701</v>
      </c>
      <c r="CY51" s="62">
        <f ca="1">AVERAGE(OFFSET($CX$3,0,0,'Données projet'!$E$13+1,1))-AVERAGE(OFFSET($H$3,0,0,'Données projet'!$E$13+1,1))</f>
        <v>411.60020200960821</v>
      </c>
      <c r="CZ51" s="62">
        <f t="shared" si="42"/>
        <v>261.95434270986397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7.975045640252653E-3</v>
      </c>
      <c r="DI51" s="24">
        <f t="shared" si="15"/>
        <v>7.975045640252653E-3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6.8</v>
      </c>
      <c r="DO51" s="13">
        <f>IF('Données projet'!$A$166&gt;35,DO50+DN51-DW50,IF(A51&lt;'Données projet'!$A$166,$DL$205^A51,IF(A51='Données projet'!$A$166,'Données projet'!$B$166,DO50+DN51-DW50)))</f>
        <v>177.40000000000009</v>
      </c>
      <c r="DP51" s="18">
        <f>DO51*VLOOKUP('Données projet'!$B$14,Paramètres!$A$1:$I$89,3,0)*VLOOKUP('Données projet'!$B$14,Paramètres!$A$1:$I$89,5,0)</f>
        <v>116.23248000000007</v>
      </c>
      <c r="DQ51" s="14">
        <f t="shared" si="43"/>
        <v>30.794662422308217</v>
      </c>
      <c r="DR51" s="22">
        <f t="shared" si="16"/>
        <v>256.07227305218692</v>
      </c>
      <c r="DS51" s="62">
        <f t="shared" si="17"/>
        <v>549.40560638552029</v>
      </c>
      <c r="DT51" s="62">
        <f ca="1">AVERAGE(OFFSET($DS$3,0,0,'Données projet'!$E$14+1,1))-AVERAGE(OFFSET($H$3,0,0,'Données projet'!$E$14+1,1))</f>
        <v>240.134073924311</v>
      </c>
      <c r="DU51" s="62">
        <f t="shared" si="44"/>
        <v>237.10378497981156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0.91628823853683505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3.2658145543105872E-2</v>
      </c>
      <c r="ED51" s="24">
        <f t="shared" si="18"/>
        <v>0.94894638407994092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10.375</v>
      </c>
      <c r="N52" s="14">
        <f>IF('Données projet'!$A$36&gt;35,N51+M52-V51,IF(A52&lt;'Données projet'!$A$36,$K$205^A52,IF(A52='Données projet'!$A$36,'Données projet'!$B$36,N51+M52-V51)))</f>
        <v>238.87499999999991</v>
      </c>
      <c r="O52" s="14">
        <f>N52*VLOOKUP('Données projet'!$B$9,Paramètres!$A$1:$I$89,3,0)*VLOOKUP('Données projet'!$B$9,Paramètres!$A$1:$I$89,5,0)</f>
        <v>186.32249999999993</v>
      </c>
      <c r="P52" s="14">
        <f t="shared" si="33"/>
        <v>46.725987276254116</v>
      </c>
      <c r="Q52" s="22">
        <f t="shared" si="53"/>
        <v>405.8927820061424</v>
      </c>
      <c r="R52" s="62">
        <f t="shared" si="0"/>
        <v>699.22611533947565</v>
      </c>
      <c r="S52" s="62">
        <f ca="1">AVERAGE(OFFSET($R$3,0,0,'Données projet'!$E$9+1,1))-AVERAGE(OFFSET($H$3,0,0,'Données projet'!$E$9+1,1))</f>
        <v>288.82868507674738</v>
      </c>
      <c r="T52" s="62">
        <f t="shared" si="34"/>
        <v>283.48738729114024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1.0251838936580884</v>
      </c>
      <c r="AB52" s="23">
        <f>EXP(-LN(2)/2)*AB51+(1-EXP(-LN(2)/2))/(LN(2)/2)*V52*Y52*VLOOKUP('Données projet'!$B$9,Paramètres!$A$1:$I$89,3,0)*0.475*44/12</f>
        <v>4.691897332936003E-3</v>
      </c>
      <c r="AC52" s="24">
        <f t="shared" si="3"/>
        <v>1.0298757909910243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631.08844392332617</v>
      </c>
      <c r="AN52" s="62">
        <f ca="1">AVERAGE(OFFSET($AM$3,0,0,'Données projet'!$E$10+1,1))-AVERAGE(OFFSET($H$3,0,0,'Données projet'!$E$10+1,1))</f>
        <v>371.95849973474657</v>
      </c>
      <c r="AO52" s="62">
        <f t="shared" si="36"/>
        <v>233.32640143610547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2.6426851959372877E-2</v>
      </c>
      <c r="AX52" s="23">
        <f t="shared" si="6"/>
        <v>2.6426851959372877E-2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178.31112000000007</v>
      </c>
      <c r="BF52" s="14">
        <f t="shared" si="37"/>
        <v>44.946235578984847</v>
      </c>
      <c r="BG52" s="22">
        <f t="shared" si="7"/>
        <v>388.8398943000654</v>
      </c>
      <c r="BH52" s="62">
        <f t="shared" si="8"/>
        <v>682.17322763339871</v>
      </c>
      <c r="BI52" s="62">
        <f ca="1">AVERAGE(OFFSET($BH$3,0,0,'Données projet'!$E$11+1,1))-AVERAGE(OFFSET($H$3,0,0,'Données projet'!$E$11+1,1))</f>
        <v>423.40903481736001</v>
      </c>
      <c r="BJ52" s="62">
        <f t="shared" si="38"/>
        <v>263.03039552465799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3.0527570366861823E-2</v>
      </c>
      <c r="BS52" s="24">
        <f t="shared" si="9"/>
        <v>3.0527570366861823E-2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3.9390243902439024</v>
      </c>
      <c r="BY52" s="13">
        <f>IF('Données projet'!$A$114&gt;35,BY51+BX52-CG51,IF(A52&lt;'Données projet'!$A$114,$BV$205^A52,IF(A52='Données projet'!$A$114,'Données projet'!$B$114,BY51+BX52-CG51)))</f>
        <v>193.01219512195118</v>
      </c>
      <c r="BZ52" s="14">
        <f>BY52*VLOOKUP('Données projet'!$B$12,Paramètres!$A$1:$I$89,3,0)*VLOOKUP('Données projet'!$B$12,Paramètres!$A$1:$I$89,5,0)</f>
        <v>90.329707317073158</v>
      </c>
      <c r="CA52" s="14">
        <f t="shared" si="39"/>
        <v>24.644725528543486</v>
      </c>
      <c r="CB52" s="22">
        <f t="shared" si="10"/>
        <v>200.24713720611564</v>
      </c>
      <c r="CC52" s="62">
        <f t="shared" si="11"/>
        <v>493.58047053944892</v>
      </c>
      <c r="CD52" s="62">
        <f ca="1">AVERAGE(OFFSET($CC$3,0,0,'Données projet'!$E$12+1,1))-AVERAGE(OFFSET($H$3,0,0,'Données projet'!$E$12+1,1))</f>
        <v>264.88170274686757</v>
      </c>
      <c r="CE52" s="62">
        <f t="shared" si="40"/>
        <v>160.81140876142001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185.32800000000006</v>
      </c>
      <c r="CV52" s="14">
        <f t="shared" si="41"/>
        <v>46.505548070897625</v>
      </c>
      <c r="CW52" s="22">
        <f t="shared" si="13"/>
        <v>403.77676289014676</v>
      </c>
      <c r="CX52" s="62">
        <f t="shared" si="14"/>
        <v>697.11009622348001</v>
      </c>
      <c r="CY52" s="62">
        <f ca="1">AVERAGE(OFFSET($CX$3,0,0,'Données projet'!$E$13+1,1))-AVERAGE(OFFSET($H$3,0,0,'Données projet'!$E$13+1,1))</f>
        <v>411.60020200960821</v>
      </c>
      <c r="CZ52" s="62">
        <f t="shared" si="42"/>
        <v>261.95434270986397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5.6392088524948626E-3</v>
      </c>
      <c r="DI52" s="24">
        <f t="shared" si="15"/>
        <v>5.6392088524948626E-3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6.8</v>
      </c>
      <c r="DO52" s="13">
        <f>IF('Données projet'!$A$166&gt;35,DO51+DN52-DW51,IF(A52&lt;'Données projet'!$A$166,$DL$205^A52,IF(A52='Données projet'!$A$166,'Données projet'!$B$166,DO51+DN52-DW51)))</f>
        <v>184.2000000000001</v>
      </c>
      <c r="DP52" s="18">
        <f>DO52*VLOOKUP('Données projet'!$B$14,Paramètres!$A$1:$I$89,3,0)*VLOOKUP('Données projet'!$B$14,Paramètres!$A$1:$I$89,5,0)</f>
        <v>120.68784000000008</v>
      </c>
      <c r="DQ52" s="14">
        <f t="shared" si="43"/>
        <v>31.835373273362077</v>
      </c>
      <c r="DR52" s="22">
        <f t="shared" si="16"/>
        <v>265.64459645110577</v>
      </c>
      <c r="DS52" s="62">
        <f t="shared" si="17"/>
        <v>558.97792978443908</v>
      </c>
      <c r="DT52" s="62">
        <f ca="1">AVERAGE(OFFSET($DS$3,0,0,'Données projet'!$E$14+1,1))-AVERAGE(OFFSET($H$3,0,0,'Données projet'!$E$14+1,1))</f>
        <v>240.134073924311</v>
      </c>
      <c r="DU52" s="62">
        <f t="shared" si="44"/>
        <v>237.10378497981156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0.8983203850597683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2.3092796174507386E-2</v>
      </c>
      <c r="ED52" s="24">
        <f t="shared" si="18"/>
        <v>0.92141318123427574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10.375</v>
      </c>
      <c r="N53" s="14">
        <f>IF('Données projet'!$A$36&gt;35,N52+M53-V52,IF(A53&lt;'Données projet'!$A$36,$K$205^A53,IF(A53='Données projet'!$A$36,'Données projet'!$B$36,N52+M53-V52)))</f>
        <v>249.24999999999991</v>
      </c>
      <c r="O53" s="14">
        <f>N53*VLOOKUP('Données projet'!$B$9,Paramètres!$A$1:$I$89,3,0)*VLOOKUP('Données projet'!$B$9,Paramètres!$A$1:$I$89,5,0)</f>
        <v>194.41499999999994</v>
      </c>
      <c r="P53" s="14">
        <f t="shared" si="33"/>
        <v>48.514737888684927</v>
      </c>
      <c r="Q53" s="22">
        <f t="shared" si="53"/>
        <v>423.10262682279273</v>
      </c>
      <c r="R53" s="62">
        <f t="shared" si="0"/>
        <v>716.43596015612604</v>
      </c>
      <c r="S53" s="62">
        <f ca="1">AVERAGE(OFFSET($R$3,0,0,'Données projet'!$E$9+1,1))-AVERAGE(OFFSET($H$3,0,0,'Données projet'!$E$9+1,1))</f>
        <v>288.82868507674738</v>
      </c>
      <c r="T53" s="62">
        <f t="shared" si="34"/>
        <v>283.48738729114024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0.99715018617393003</v>
      </c>
      <c r="AB53" s="23">
        <f>EXP(-LN(2)/2)*AB52+(1-EXP(-LN(2)/2))/(LN(2)/2)*V53*Y53*VLOOKUP('Données projet'!$B$9,Paramètres!$A$1:$I$89,3,0)*0.475*44/12</f>
        <v>3.3176724207501242E-3</v>
      </c>
      <c r="AC53" s="24">
        <f t="shared" si="3"/>
        <v>1.0004678585946802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647.31542276201071</v>
      </c>
      <c r="AN53" s="62">
        <f ca="1">AVERAGE(OFFSET($AM$3,0,0,'Données projet'!$E$10+1,1))-AVERAGE(OFFSET($H$3,0,0,'Données projet'!$E$10+1,1))</f>
        <v>371.95849973474657</v>
      </c>
      <c r="AO53" s="62">
        <f t="shared" si="36"/>
        <v>233.32640143610547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1.8686606225885562E-2</v>
      </c>
      <c r="AX53" s="23">
        <f t="shared" si="6"/>
        <v>1.8686606225885562E-2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187.09080000000009</v>
      </c>
      <c r="BF53" s="14">
        <f t="shared" si="37"/>
        <v>46.896193582104758</v>
      </c>
      <c r="BG53" s="22">
        <f t="shared" si="7"/>
        <v>407.52734715549929</v>
      </c>
      <c r="BH53" s="62">
        <f t="shared" si="8"/>
        <v>700.8606804888326</v>
      </c>
      <c r="BI53" s="62">
        <f ca="1">AVERAGE(OFFSET($BH$3,0,0,'Données projet'!$E$11+1,1))-AVERAGE(OFFSET($H$3,0,0,'Données projet'!$E$11+1,1))</f>
        <v>423.40903481736001</v>
      </c>
      <c r="BJ53" s="62">
        <f t="shared" si="38"/>
        <v>263.03039552465799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2.1586252019557498E-2</v>
      </c>
      <c r="BS53" s="24">
        <f t="shared" si="9"/>
        <v>2.1586252019557498E-2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3.9390243902439024</v>
      </c>
      <c r="BY53" s="13">
        <f>IF('Données projet'!$A$114&gt;35,BY52+BX53-CG52,IF(A53&lt;'Données projet'!$A$114,$BV$205^A53,IF(A53='Données projet'!$A$114,'Données projet'!$B$114,BY52+BX53-CG52)))</f>
        <v>196.95121951219508</v>
      </c>
      <c r="BZ53" s="14">
        <f>BY53*VLOOKUP('Données projet'!$B$12,Paramètres!$A$1:$I$89,3,0)*VLOOKUP('Données projet'!$B$12,Paramètres!$A$1:$I$89,5,0)</f>
        <v>92.173170731707302</v>
      </c>
      <c r="CA53" s="14">
        <f t="shared" si="39"/>
        <v>25.088611429842558</v>
      </c>
      <c r="CB53" s="22">
        <f t="shared" si="10"/>
        <v>204.23093726469929</v>
      </c>
      <c r="CC53" s="62">
        <f t="shared" si="11"/>
        <v>497.56427059803264</v>
      </c>
      <c r="CD53" s="62">
        <f ca="1">AVERAGE(OFFSET($CC$3,0,0,'Données projet'!$E$12+1,1))-AVERAGE(OFFSET($H$3,0,0,'Données projet'!$E$12+1,1))</f>
        <v>264.88170274686757</v>
      </c>
      <c r="CE53" s="62">
        <f t="shared" si="40"/>
        <v>160.81140876142001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194.59440000000004</v>
      </c>
      <c r="CV53" s="14">
        <f t="shared" si="41"/>
        <v>48.554292648263456</v>
      </c>
      <c r="CW53" s="22">
        <f t="shared" si="13"/>
        <v>423.48397302905886</v>
      </c>
      <c r="CX53" s="62">
        <f t="shared" si="14"/>
        <v>716.81730636239217</v>
      </c>
      <c r="CY53" s="62">
        <f ca="1">AVERAGE(OFFSET($CX$3,0,0,'Données projet'!$E$13+1,1))-AVERAGE(OFFSET($H$3,0,0,'Données projet'!$E$13+1,1))</f>
        <v>411.60020200960821</v>
      </c>
      <c r="CZ53" s="62">
        <f t="shared" si="42"/>
        <v>261.95434270986397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3.9875228201263265E-3</v>
      </c>
      <c r="DI53" s="24">
        <f t="shared" si="15"/>
        <v>3.9875228201263265E-3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191</v>
      </c>
      <c r="DM53" s="13">
        <f>VLOOKUP(A53,'Données projet'!$A$165:$I$185,9,0)</f>
        <v>6.8</v>
      </c>
      <c r="DN53" s="13">
        <f t="array" ref="DN53">INDEX(DM:DM,MIN(IF(ISNUMBER(DM53:DM249),ROW(DM53:DM249),"")))</f>
        <v>6.8</v>
      </c>
      <c r="DO53" s="13">
        <f>IF('Données projet'!$A$166&gt;35,DO52+DN53-DW52,IF(A53&lt;'Données projet'!$A$166,$DL$205^A53,IF(A53='Données projet'!$A$166,'Données projet'!$B$166,DO52+DN53-DW52)))</f>
        <v>191.00000000000011</v>
      </c>
      <c r="DP53" s="18">
        <f>DO53*VLOOKUP('Données projet'!$B$14,Paramètres!$A$1:$I$89,3,0)*VLOOKUP('Données projet'!$B$14,Paramètres!$A$1:$I$89,5,0)</f>
        <v>125.14320000000006</v>
      </c>
      <c r="DQ53" s="14">
        <f t="shared" si="43"/>
        <v>32.871620642334356</v>
      </c>
      <c r="DR53" s="22">
        <f t="shared" si="16"/>
        <v>275.20914595206574</v>
      </c>
      <c r="DS53" s="62">
        <f t="shared" si="17"/>
        <v>568.54247928539905</v>
      </c>
      <c r="DT53" s="62">
        <f ca="1">AVERAGE(OFFSET($DS$3,0,0,'Données projet'!$E$14+1,1))-AVERAGE(OFFSET($H$3,0,0,'Données projet'!$E$14+1,1))</f>
        <v>240.134073924311</v>
      </c>
      <c r="DU53" s="62">
        <f t="shared" si="44"/>
        <v>237.10378497981156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24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0.88070487023007837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1.6329072771552936E-2</v>
      </c>
      <c r="ED53" s="24">
        <f t="shared" si="18"/>
        <v>0.89703394300163131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10.375</v>
      </c>
      <c r="N54" s="14">
        <f>IF('Données projet'!$A$36&gt;35,N53+M54-V53,IF(A54&lt;'Données projet'!$A$36,$K$205^A54,IF(A54='Données projet'!$A$36,'Données projet'!$B$36,N53+M54-V53)))</f>
        <v>259.62499999999989</v>
      </c>
      <c r="O54" s="14">
        <f>N54*VLOOKUP('Données projet'!$B$9,Paramètres!$A$1:$I$89,3,0)*VLOOKUP('Données projet'!$B$9,Paramètres!$A$1:$I$89,5,0)</f>
        <v>202.50749999999991</v>
      </c>
      <c r="P54" s="14">
        <f t="shared" si="33"/>
        <v>50.294840086606349</v>
      </c>
      <c r="Q54" s="22">
        <f t="shared" si="53"/>
        <v>440.29740898417253</v>
      </c>
      <c r="R54" s="62">
        <f t="shared" si="0"/>
        <v>733.63074231750579</v>
      </c>
      <c r="S54" s="62">
        <f ca="1">AVERAGE(OFFSET($R$3,0,0,'Données projet'!$E$9+1,1))-AVERAGE(OFFSET($H$3,0,0,'Données projet'!$E$9+1,1))</f>
        <v>288.82868507674738</v>
      </c>
      <c r="T54" s="62">
        <f t="shared" si="34"/>
        <v>283.48738729114024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0.96988306189515461</v>
      </c>
      <c r="AB54" s="23">
        <f>EXP(-LN(2)/2)*AB53+(1-EXP(-LN(2)/2))/(LN(2)/2)*V54*Y54*VLOOKUP('Données projet'!$B$9,Paramètres!$A$1:$I$89,3,0)*0.475*44/12</f>
        <v>2.3459486664680015E-3</v>
      </c>
      <c r="AC54" s="24">
        <f t="shared" si="3"/>
        <v>0.97222901056162259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622.1950174513513</v>
      </c>
      <c r="AN54" s="62">
        <f ca="1">AVERAGE(OFFSET($AM$3,0,0,'Données projet'!$E$10+1,1))-AVERAGE(OFFSET($H$3,0,0,'Données projet'!$E$10+1,1))</f>
        <v>371.95849973474657</v>
      </c>
      <c r="AO54" s="62">
        <f t="shared" si="36"/>
        <v>233.32640143610547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1.3213425979686439E-2</v>
      </c>
      <c r="AX54" s="23">
        <f t="shared" si="6"/>
        <v>1.3213425979686439E-2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173.50320000000008</v>
      </c>
      <c r="BF54" s="14">
        <f t="shared" si="37"/>
        <v>43.873689992225962</v>
      </c>
      <c r="BG54" s="22">
        <f t="shared" si="7"/>
        <v>378.59808340312702</v>
      </c>
      <c r="BH54" s="62">
        <f t="shared" si="8"/>
        <v>671.93141673646028</v>
      </c>
      <c r="BI54" s="62">
        <f ca="1">AVERAGE(OFFSET($BH$3,0,0,'Données projet'!$E$11+1,1))-AVERAGE(OFFSET($H$3,0,0,'Données projet'!$E$11+1,1))</f>
        <v>423.40903481736001</v>
      </c>
      <c r="BJ54" s="62">
        <f t="shared" si="38"/>
        <v>263.03039552465799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1.5263785183430915E-2</v>
      </c>
      <c r="BS54" s="24">
        <f t="shared" si="9"/>
        <v>1.5263785183430915E-2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3.9390243902439024</v>
      </c>
      <c r="BY54" s="13">
        <f>IF('Données projet'!$A$114&gt;35,BY53+BX54-CG53,IF(A54&lt;'Données projet'!$A$114,$BV$205^A54,IF(A54='Données projet'!$A$114,'Données projet'!$B$114,BY53+BX54-CG53)))</f>
        <v>200.89024390243898</v>
      </c>
      <c r="BZ54" s="14">
        <f>BY54*VLOOKUP('Données projet'!$B$12,Paramètres!$A$1:$I$89,3,0)*VLOOKUP('Données projet'!$B$12,Paramètres!$A$1:$I$89,5,0)</f>
        <v>94.016634146341445</v>
      </c>
      <c r="CA54" s="14">
        <f t="shared" si="39"/>
        <v>25.531465093925782</v>
      </c>
      <c r="CB54" s="22">
        <f t="shared" si="10"/>
        <v>208.21293951013206</v>
      </c>
      <c r="CC54" s="62">
        <f t="shared" si="11"/>
        <v>501.54627284346537</v>
      </c>
      <c r="CD54" s="62">
        <f ca="1">AVERAGE(OFFSET($CC$3,0,0,'Données projet'!$E$12+1,1))-AVERAGE(OFFSET($H$3,0,0,'Données projet'!$E$12+1,1))</f>
        <v>264.88170274686757</v>
      </c>
      <c r="CE54" s="62">
        <f t="shared" si="40"/>
        <v>160.81140876142001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179.59968000000003</v>
      </c>
      <c r="CV54" s="14">
        <f t="shared" si="41"/>
        <v>45.233110804333748</v>
      </c>
      <c r="CW54" s="22">
        <f t="shared" si="13"/>
        <v>391.58377731754803</v>
      </c>
      <c r="CX54" s="62">
        <f t="shared" si="14"/>
        <v>684.91711065088134</v>
      </c>
      <c r="CY54" s="62">
        <f ca="1">AVERAGE(OFFSET($CX$3,0,0,'Données projet'!$E$13+1,1))-AVERAGE(OFFSET($H$3,0,0,'Données projet'!$E$13+1,1))</f>
        <v>411.60020200960821</v>
      </c>
      <c r="CZ54" s="62">
        <f t="shared" si="42"/>
        <v>261.95434270986397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2.8196044262474313E-3</v>
      </c>
      <c r="DI54" s="24">
        <f t="shared" si="15"/>
        <v>2.8196044262474313E-3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6.6</v>
      </c>
      <c r="DO54" s="13">
        <f>IF('Données projet'!$A$166&gt;35,DO53+DN54-DW53,IF(A54&lt;'Données projet'!$A$166,$DL$205^A54,IF(A54='Données projet'!$A$166,'Données projet'!$B$166,DO53+DN54-DW53)))</f>
        <v>173.60000000000011</v>
      </c>
      <c r="DP54" s="18">
        <f>DO54*VLOOKUP('Données projet'!$B$14,Paramètres!$A$1:$I$89,3,0)*VLOOKUP('Données projet'!$B$14,Paramètres!$A$1:$I$89,5,0)</f>
        <v>113.74272000000008</v>
      </c>
      <c r="DQ54" s="14">
        <f t="shared" si="43"/>
        <v>30.211074114233369</v>
      </c>
      <c r="DR54" s="22">
        <f t="shared" si="16"/>
        <v>250.71952474895662</v>
      </c>
      <c r="DS54" s="62">
        <f t="shared" si="17"/>
        <v>544.05285808228996</v>
      </c>
      <c r="DT54" s="62">
        <f ca="1">AVERAGE(OFFSET($DS$3,0,0,'Données projet'!$E$14+1,1))-AVERAGE(OFFSET($H$3,0,0,'Données projet'!$E$14+1,1))</f>
        <v>240.134073924311</v>
      </c>
      <c r="DU54" s="62">
        <f t="shared" si="44"/>
        <v>237.10378497981156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0.86343478490179559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1.1546398087253693E-2</v>
      </c>
      <c r="ED54" s="24">
        <f t="shared" si="18"/>
        <v>0.87498118298904926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270</v>
      </c>
      <c r="L55" s="13">
        <f>VLOOKUP(A55,'Données projet'!$A$35:$I$55,9,0)</f>
        <v>10.375</v>
      </c>
      <c r="M55" s="13">
        <f t="array" ref="M55">INDEX(L:L,MIN(IF(ISNUMBER(L55:L251),ROW(L55:L251),"")))</f>
        <v>10.375</v>
      </c>
      <c r="N55" s="14">
        <f>IF('Données projet'!$A$36&gt;35,N54+M55-V54,IF(A55&lt;'Données projet'!$A$36,$K$205^A55,IF(A55='Données projet'!$A$36,'Données projet'!$B$36,N54+M55-V54)))</f>
        <v>269.99999999999989</v>
      </c>
      <c r="O55" s="14">
        <f>N55*VLOOKUP('Données projet'!$B$9,Paramètres!$A$1:$I$89,3,0)*VLOOKUP('Données projet'!$B$9,Paramètres!$A$1:$I$89,5,0)</f>
        <v>210.59999999999991</v>
      </c>
      <c r="P55" s="14">
        <f t="shared" si="33"/>
        <v>52.066679014659961</v>
      </c>
      <c r="Q55" s="22">
        <f t="shared" si="53"/>
        <v>457.47779928386586</v>
      </c>
      <c r="R55" s="62">
        <f t="shared" si="0"/>
        <v>750.81113261719918</v>
      </c>
      <c r="S55" s="62">
        <f ca="1">AVERAGE(OFFSET($R$3,0,0,'Données projet'!$E$9+1,1))-AVERAGE(OFFSET($H$3,0,0,'Données projet'!$E$9+1,1))</f>
        <v>288.82868507674738</v>
      </c>
      <c r="T55" s="62">
        <f t="shared" si="34"/>
        <v>283.48738729114024</v>
      </c>
      <c r="U55" s="16">
        <f>IF(ISNA(VLOOKUP(A55,'Données projet'!$A$35:$I$55,3,0)),0,VLOOKUP(A55,'Données projet'!$A$35:$I$55,3,0))</f>
        <v>7</v>
      </c>
      <c r="V55" s="16">
        <f>IF(ISNA(VLOOKUP(A55,'Données projet'!$A$35:$I$55,4,0)),0,VLOOKUP(A55,'Données projet'!$A$35:$I$55,4,0))</f>
        <v>48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0.94336155856369808</v>
      </c>
      <c r="AB55" s="23">
        <f>EXP(-LN(2)/2)*AB54+(1-EXP(-LN(2)/2))/(LN(2)/2)*V55*Y55*VLOOKUP('Données projet'!$B$9,Paramètres!$A$1:$I$89,3,0)*0.475*44/12</f>
        <v>1.6588362103750621E-3</v>
      </c>
      <c r="AC55" s="24">
        <f t="shared" si="3"/>
        <v>0.94502039477407318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637.65852502095504</v>
      </c>
      <c r="AN55" s="62">
        <f ca="1">AVERAGE(OFFSET($AM$3,0,0,'Données projet'!$E$10+1,1))-AVERAGE(OFFSET($H$3,0,0,'Données projet'!$E$10+1,1))</f>
        <v>371.95849973474657</v>
      </c>
      <c r="AO55" s="62">
        <f t="shared" si="36"/>
        <v>233.32640143610547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9.3433031129427808E-3</v>
      </c>
      <c r="AX55" s="23">
        <f t="shared" si="6"/>
        <v>9.3433031129427808E-3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181.86480000000006</v>
      </c>
      <c r="BF55" s="14">
        <f t="shared" si="37"/>
        <v>45.73682061391029</v>
      </c>
      <c r="BG55" s="22">
        <f t="shared" si="7"/>
        <v>396.40615590256056</v>
      </c>
      <c r="BH55" s="62">
        <f t="shared" si="8"/>
        <v>689.73948923589387</v>
      </c>
      <c r="BI55" s="62">
        <f ca="1">AVERAGE(OFFSET($BH$3,0,0,'Données projet'!$E$11+1,1))-AVERAGE(OFFSET($H$3,0,0,'Données projet'!$E$11+1,1))</f>
        <v>423.40903481736001</v>
      </c>
      <c r="BJ55" s="62">
        <f t="shared" si="38"/>
        <v>263.03039552465799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1.0793126009778751E-2</v>
      </c>
      <c r="BS55" s="24">
        <f t="shared" si="9"/>
        <v>1.0793126009778751E-2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3.9390243902439024</v>
      </c>
      <c r="BY55" s="13">
        <f>IF('Données projet'!$A$114&gt;35,BY54+BX55-CG54,IF(A55&lt;'Données projet'!$A$114,$BV$205^A55,IF(A55='Données projet'!$A$114,'Données projet'!$B$114,BY54+BX55-CG54)))</f>
        <v>204.82926829268288</v>
      </c>
      <c r="BZ55" s="14">
        <f>BY55*VLOOKUP('Données projet'!$B$12,Paramètres!$A$1:$I$89,3,0)*VLOOKUP('Données projet'!$B$12,Paramètres!$A$1:$I$89,5,0)</f>
        <v>95.860097560975589</v>
      </c>
      <c r="CA55" s="14">
        <f t="shared" si="39"/>
        <v>25.973309093820692</v>
      </c>
      <c r="CB55" s="22">
        <f t="shared" si="10"/>
        <v>212.19318325710347</v>
      </c>
      <c r="CC55" s="62">
        <f t="shared" si="11"/>
        <v>505.52651659043681</v>
      </c>
      <c r="CD55" s="62">
        <f ca="1">AVERAGE(OFFSET($CC$3,0,0,'Données projet'!$E$12+1,1))-AVERAGE(OFFSET($H$3,0,0,'Données projet'!$E$12+1,1))</f>
        <v>264.88170274686757</v>
      </c>
      <c r="CE55" s="62">
        <f t="shared" si="40"/>
        <v>160.81140876142001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188.19216000000003</v>
      </c>
      <c r="CV55" s="14">
        <f t="shared" si="41"/>
        <v>47.140042972585213</v>
      </c>
      <c r="CW55" s="22">
        <f t="shared" si="13"/>
        <v>409.870253510586</v>
      </c>
      <c r="CX55" s="62">
        <f t="shared" si="14"/>
        <v>703.20358684391931</v>
      </c>
      <c r="CY55" s="62">
        <f ca="1">AVERAGE(OFFSET($CX$3,0,0,'Données projet'!$E$13+1,1))-AVERAGE(OFFSET($H$3,0,0,'Données projet'!$E$13+1,1))</f>
        <v>411.60020200960821</v>
      </c>
      <c r="CZ55" s="62">
        <f t="shared" si="42"/>
        <v>261.95434270986397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1.9937614100631633E-3</v>
      </c>
      <c r="DI55" s="24">
        <f t="shared" si="15"/>
        <v>1.9937614100631633E-3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6.6</v>
      </c>
      <c r="DO55" s="13">
        <f>IF('Données projet'!$A$166&gt;35,DO54+DN55-DW54,IF(A55&lt;'Données projet'!$A$166,$DL$205^A55,IF(A55='Données projet'!$A$166,'Données projet'!$B$166,DO54+DN55-DW54)))</f>
        <v>180.2000000000001</v>
      </c>
      <c r="DP55" s="18">
        <f>DO55*VLOOKUP('Données projet'!$B$14,Paramètres!$A$1:$I$89,3,0)*VLOOKUP('Données projet'!$B$14,Paramètres!$A$1:$I$89,5,0)</f>
        <v>118.06704000000006</v>
      </c>
      <c r="DQ55" s="14">
        <f t="shared" si="43"/>
        <v>31.223742913894345</v>
      </c>
      <c r="DR55" s="22">
        <f t="shared" si="16"/>
        <v>260.01478024169944</v>
      </c>
      <c r="DS55" s="62">
        <f t="shared" si="17"/>
        <v>553.34811357503281</v>
      </c>
      <c r="DT55" s="62">
        <f ca="1">AVERAGE(OFFSET($DS$3,0,0,'Données projet'!$E$14+1,1))-AVERAGE(OFFSET($H$3,0,0,'Données projet'!$E$14+1,1))</f>
        <v>240.134073924311</v>
      </c>
      <c r="DU55" s="62">
        <f t="shared" si="44"/>
        <v>237.10378497981156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0.84650335541308852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8.1645363857764681E-3</v>
      </c>
      <c r="ED55" s="24">
        <f t="shared" si="18"/>
        <v>0.85466789179886504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9.375</v>
      </c>
      <c r="N56" s="14">
        <f>IF('Données projet'!$A$36&gt;35,N55+M56-V55,IF(A56&lt;'Données projet'!$A$36,$K$205^A56,IF(A56='Données projet'!$A$36,'Données projet'!$B$36,N55+M56-V55)))</f>
        <v>231.37499999999989</v>
      </c>
      <c r="O56" s="14">
        <f>N56*VLOOKUP('Données projet'!$B$9,Paramètres!$A$1:$I$89,3,0)*VLOOKUP('Données projet'!$B$9,Paramètres!$A$1:$I$89,5,0)</f>
        <v>180.47249999999991</v>
      </c>
      <c r="P56" s="14">
        <f t="shared" si="33"/>
        <v>45.427292666837829</v>
      </c>
      <c r="Q56" s="22">
        <f t="shared" si="53"/>
        <v>393.44213889474241</v>
      </c>
      <c r="R56" s="62">
        <f t="shared" si="0"/>
        <v>686.77547222807573</v>
      </c>
      <c r="S56" s="62">
        <f ca="1">AVERAGE(OFFSET($R$3,0,0,'Données projet'!$E$9+1,1))-AVERAGE(OFFSET($H$3,0,0,'Données projet'!$E$9+1,1))</f>
        <v>288.82868507674738</v>
      </c>
      <c r="T56" s="62">
        <f t="shared" si="34"/>
        <v>283.48738729114024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0.91756528713554542</v>
      </c>
      <c r="AB56" s="23">
        <f>EXP(-LN(2)/2)*AB55+(1-EXP(-LN(2)/2))/(LN(2)/2)*V56*Y56*VLOOKUP('Données projet'!$B$9,Paramètres!$A$1:$I$89,3,0)*0.475*44/12</f>
        <v>1.1729743332340007E-3</v>
      </c>
      <c r="AC56" s="24">
        <f t="shared" si="3"/>
        <v>0.91873826146877946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653.10677986901817</v>
      </c>
      <c r="AN56" s="62">
        <f ca="1">AVERAGE(OFFSET($AM$3,0,0,'Données projet'!$E$10+1,1))-AVERAGE(OFFSET($H$3,0,0,'Données projet'!$E$10+1,1))</f>
        <v>371.95849973474657</v>
      </c>
      <c r="AO56" s="62">
        <f t="shared" si="36"/>
        <v>233.32640143610547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6.6067129898432194E-3</v>
      </c>
      <c r="AX56" s="23">
        <f t="shared" si="6"/>
        <v>6.6067129898432194E-3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190.22640000000007</v>
      </c>
      <c r="BF56" s="14">
        <f t="shared" si="37"/>
        <v>47.590003207063162</v>
      </c>
      <c r="BG56" s="22">
        <f t="shared" si="7"/>
        <v>414.19690225230175</v>
      </c>
      <c r="BH56" s="62">
        <f t="shared" si="8"/>
        <v>707.53023558563507</v>
      </c>
      <c r="BI56" s="62">
        <f ca="1">AVERAGE(OFFSET($BH$3,0,0,'Données projet'!$E$11+1,1))-AVERAGE(OFFSET($H$3,0,0,'Données projet'!$E$11+1,1))</f>
        <v>423.40903481736001</v>
      </c>
      <c r="BJ56" s="62">
        <f t="shared" si="38"/>
        <v>263.03039552465799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7.6318925917154582E-3</v>
      </c>
      <c r="BS56" s="24">
        <f t="shared" si="9"/>
        <v>7.6318925917154582E-3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3.9390243902439024</v>
      </c>
      <c r="BY56" s="13">
        <f>IF('Données projet'!$A$114&gt;35,BY55+BX56-CG55,IF(A56&lt;'Données projet'!$A$114,$BV$205^A56,IF(A56='Données projet'!$A$114,'Données projet'!$B$114,BY55+BX56-CG55)))</f>
        <v>208.76829268292678</v>
      </c>
      <c r="BZ56" s="14">
        <f>BY56*VLOOKUP('Données projet'!$B$12,Paramètres!$A$1:$I$89,3,0)*VLOOKUP('Données projet'!$B$12,Paramètres!$A$1:$I$89,5,0)</f>
        <v>97.703560975609747</v>
      </c>
      <c r="CA56" s="14">
        <f t="shared" si="39"/>
        <v>26.41416508469047</v>
      </c>
      <c r="CB56" s="22">
        <f t="shared" si="10"/>
        <v>216.17170622168953</v>
      </c>
      <c r="CC56" s="62">
        <f t="shared" si="11"/>
        <v>509.50503955502285</v>
      </c>
      <c r="CD56" s="62">
        <f ca="1">AVERAGE(OFFSET($CC$3,0,0,'Données projet'!$E$12+1,1))-AVERAGE(OFFSET($H$3,0,0,'Données projet'!$E$12+1,1))</f>
        <v>264.88170274686757</v>
      </c>
      <c r="CE56" s="62">
        <f t="shared" si="40"/>
        <v>160.81140876142001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196.78464000000002</v>
      </c>
      <c r="CV56" s="14">
        <f t="shared" si="41"/>
        <v>49.036863746442876</v>
      </c>
      <c r="CW56" s="22">
        <f t="shared" si="13"/>
        <v>428.1391190250547</v>
      </c>
      <c r="CX56" s="62">
        <f t="shared" si="14"/>
        <v>721.47245235838795</v>
      </c>
      <c r="CY56" s="62">
        <f ca="1">AVERAGE(OFFSET($CX$3,0,0,'Données projet'!$E$13+1,1))-AVERAGE(OFFSET($H$3,0,0,'Données projet'!$E$13+1,1))</f>
        <v>411.60020200960821</v>
      </c>
      <c r="CZ56" s="62">
        <f t="shared" si="42"/>
        <v>261.95434270986397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1.4098022131237157E-3</v>
      </c>
      <c r="DI56" s="24">
        <f t="shared" si="15"/>
        <v>1.4098022131237157E-3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6.6</v>
      </c>
      <c r="DO56" s="13">
        <f>IF('Données projet'!$A$166&gt;35,DO55+DN56-DW55,IF(A56&lt;'Données projet'!$A$166,$DL$205^A56,IF(A56='Données projet'!$A$166,'Données projet'!$B$166,DO55+DN56-DW55)))</f>
        <v>186.8000000000001</v>
      </c>
      <c r="DP56" s="18">
        <f>DO56*VLOOKUP('Données projet'!$B$14,Paramètres!$A$1:$I$89,3,0)*VLOOKUP('Données projet'!$B$14,Paramètres!$A$1:$I$89,5,0)</f>
        <v>122.39136000000005</v>
      </c>
      <c r="DQ56" s="14">
        <f t="shared" si="43"/>
        <v>32.232102612215066</v>
      </c>
      <c r="DR56" s="22">
        <f t="shared" si="16"/>
        <v>269.3025307162747</v>
      </c>
      <c r="DS56" s="62">
        <f t="shared" si="17"/>
        <v>562.63586404960802</v>
      </c>
      <c r="DT56" s="62">
        <f ca="1">AVERAGE(OFFSET($DS$3,0,0,'Données projet'!$E$14+1,1))-AVERAGE(OFFSET($H$3,0,0,'Données projet'!$E$14+1,1))</f>
        <v>240.134073924311</v>
      </c>
      <c r="DU56" s="62">
        <f t="shared" si="44"/>
        <v>237.10378497981156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0.8299039409295027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5.7731990436268466E-3</v>
      </c>
      <c r="ED56" s="24">
        <f t="shared" si="18"/>
        <v>0.83567713997312953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9.375</v>
      </c>
      <c r="N57" s="14">
        <f>IF('Données projet'!$A$36&gt;35,N56+M57-V56,IF(A57&lt;'Données projet'!$A$36,$K$205^A57,IF(A57='Données projet'!$A$36,'Données projet'!$B$36,N56+M57-V56)))</f>
        <v>240.74999999999989</v>
      </c>
      <c r="O57" s="14">
        <f>N57*VLOOKUP('Données projet'!$B$9,Paramètres!$A$1:$I$89,3,0)*VLOOKUP('Données projet'!$B$9,Paramètres!$A$1:$I$89,5,0)</f>
        <v>187.78499999999991</v>
      </c>
      <c r="P57" s="14">
        <f t="shared" si="33"/>
        <v>47.049914090154054</v>
      </c>
      <c r="Q57" s="22">
        <f t="shared" si="53"/>
        <v>409.0041420403515</v>
      </c>
      <c r="R57" s="62">
        <f t="shared" si="0"/>
        <v>702.33747537368481</v>
      </c>
      <c r="S57" s="62">
        <f ca="1">AVERAGE(OFFSET($R$3,0,0,'Données projet'!$E$9+1,1))-AVERAGE(OFFSET($H$3,0,0,'Données projet'!$E$9+1,1))</f>
        <v>288.82868507674738</v>
      </c>
      <c r="T57" s="62">
        <f t="shared" si="34"/>
        <v>283.48738729114024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0.89247441610616263</v>
      </c>
      <c r="AB57" s="23">
        <f>EXP(-LN(2)/2)*AB56+(1-EXP(-LN(2)/2))/(LN(2)/2)*V57*Y57*VLOOKUP('Données projet'!$B$9,Paramètres!$A$1:$I$89,3,0)*0.475*44/12</f>
        <v>8.2941810518753106E-4</v>
      </c>
      <c r="AC57" s="24">
        <f t="shared" si="3"/>
        <v>0.89330383421135018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668.54052906480672</v>
      </c>
      <c r="AN57" s="62">
        <f ca="1">AVERAGE(OFFSET($AM$3,0,0,'Données projet'!$E$10+1,1))-AVERAGE(OFFSET($H$3,0,0,'Données projet'!$E$10+1,1))</f>
        <v>371.95849973474657</v>
      </c>
      <c r="AO57" s="62">
        <f t="shared" si="36"/>
        <v>233.32640143610547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4.6716515564713904E-3</v>
      </c>
      <c r="AX57" s="23">
        <f t="shared" si="6"/>
        <v>4.6716515564713904E-3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198.58800000000008</v>
      </c>
      <c r="BF57" s="14">
        <f t="shared" si="37"/>
        <v>49.433725020229176</v>
      </c>
      <c r="BG57" s="22">
        <f t="shared" si="7"/>
        <v>431.97117107689928</v>
      </c>
      <c r="BH57" s="62">
        <f t="shared" si="8"/>
        <v>725.30450441023254</v>
      </c>
      <c r="BI57" s="62">
        <f ca="1">AVERAGE(OFFSET($BH$3,0,0,'Données projet'!$E$11+1,1))-AVERAGE(OFFSET($H$3,0,0,'Données projet'!$E$11+1,1))</f>
        <v>423.40903481736001</v>
      </c>
      <c r="BJ57" s="62">
        <f t="shared" si="38"/>
        <v>263.03039552465799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5.3965630048893763E-3</v>
      </c>
      <c r="BS57" s="24">
        <f t="shared" si="9"/>
        <v>5.3965630048893763E-3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3.9390243902439024</v>
      </c>
      <c r="BY57" s="13">
        <f>IF('Données projet'!$A$114&gt;35,BY56+BX57-CG56,IF(A57&lt;'Données projet'!$A$114,$BV$205^A57,IF(A57='Données projet'!$A$114,'Données projet'!$B$114,BY56+BX57-CG56)))</f>
        <v>212.70731707317069</v>
      </c>
      <c r="BZ57" s="14">
        <f>BY57*VLOOKUP('Données projet'!$B$12,Paramètres!$A$1:$I$89,3,0)*VLOOKUP('Données projet'!$B$12,Paramètres!$A$1:$I$89,5,0)</f>
        <v>99.547024390243877</v>
      </c>
      <c r="CA57" s="14">
        <f t="shared" si="39"/>
        <v>26.854053857758007</v>
      </c>
      <c r="CB57" s="22">
        <f t="shared" si="10"/>
        <v>220.14854461526991</v>
      </c>
      <c r="CC57" s="62">
        <f t="shared" si="11"/>
        <v>513.48187794860326</v>
      </c>
      <c r="CD57" s="62">
        <f ca="1">AVERAGE(OFFSET($CC$3,0,0,'Données projet'!$E$12+1,1))-AVERAGE(OFFSET($H$3,0,0,'Données projet'!$E$12+1,1))</f>
        <v>264.88170274686757</v>
      </c>
      <c r="CE57" s="62">
        <f t="shared" si="40"/>
        <v>160.81140876142001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205.37711999999999</v>
      </c>
      <c r="CV57" s="14">
        <f t="shared" si="41"/>
        <v>50.924065093909938</v>
      </c>
      <c r="CW57" s="22">
        <f t="shared" si="13"/>
        <v>446.39123070522641</v>
      </c>
      <c r="CX57" s="62">
        <f t="shared" si="14"/>
        <v>739.72456403855972</v>
      </c>
      <c r="CY57" s="62">
        <f ca="1">AVERAGE(OFFSET($CX$3,0,0,'Données projet'!$E$13+1,1))-AVERAGE(OFFSET($H$3,0,0,'Données projet'!$E$13+1,1))</f>
        <v>411.60020200960821</v>
      </c>
      <c r="CZ57" s="62">
        <f t="shared" si="42"/>
        <v>261.95434270986397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9.9688070503158163E-4</v>
      </c>
      <c r="DI57" s="24">
        <f t="shared" si="15"/>
        <v>9.9688070503158163E-4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6.6</v>
      </c>
      <c r="DO57" s="13">
        <f>IF('Données projet'!$A$166&gt;35,DO56+DN57-DW56,IF(A57&lt;'Données projet'!$A$166,$DL$205^A57,IF(A57='Données projet'!$A$166,'Données projet'!$B$166,DO56+DN57-DW56)))</f>
        <v>193.40000000000009</v>
      </c>
      <c r="DP57" s="18">
        <f>DO57*VLOOKUP('Données projet'!$B$14,Paramètres!$A$1:$I$89,3,0)*VLOOKUP('Données projet'!$B$14,Paramètres!$A$1:$I$89,5,0)</f>
        <v>126.71568000000006</v>
      </c>
      <c r="DQ57" s="14">
        <f t="shared" si="43"/>
        <v>33.236322902461559</v>
      </c>
      <c r="DR57" s="22">
        <f t="shared" si="16"/>
        <v>278.58307172178729</v>
      </c>
      <c r="DS57" s="62">
        <f t="shared" si="17"/>
        <v>571.91640505512055</v>
      </c>
      <c r="DT57" s="62">
        <f ca="1">AVERAGE(OFFSET($DS$3,0,0,'Données projet'!$E$14+1,1))-AVERAGE(OFFSET($H$3,0,0,'Données projet'!$E$14+1,1))</f>
        <v>240.134073924311</v>
      </c>
      <c r="DU57" s="62">
        <f t="shared" si="44"/>
        <v>237.10378497981156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0.81363003083929686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4.082268192888234E-3</v>
      </c>
      <c r="ED57" s="24">
        <f t="shared" si="18"/>
        <v>0.81771229903218512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9.375</v>
      </c>
      <c r="N58" s="14">
        <f>IF('Données projet'!$A$36&gt;35,N57+M58-V57,IF(A58&lt;'Données projet'!$A$36,$K$205^A58,IF(A58='Données projet'!$A$36,'Données projet'!$B$36,N57+M58-V57)))</f>
        <v>250.12499999999989</v>
      </c>
      <c r="O58" s="14">
        <f>N58*VLOOKUP('Données projet'!$B$9,Paramètres!$A$1:$I$89,3,0)*VLOOKUP('Données projet'!$B$9,Paramètres!$A$1:$I$89,5,0)</f>
        <v>195.09749999999991</v>
      </c>
      <c r="P58" s="14">
        <f t="shared" si="33"/>
        <v>48.66519532492579</v>
      </c>
      <c r="Q58" s="22">
        <f t="shared" si="53"/>
        <v>424.55336102424553</v>
      </c>
      <c r="R58" s="62">
        <f t="shared" si="0"/>
        <v>717.88669435757879</v>
      </c>
      <c r="S58" s="62">
        <f ca="1">AVERAGE(OFFSET($R$3,0,0,'Données projet'!$E$9+1,1))-AVERAGE(OFFSET($H$3,0,0,'Données projet'!$E$9+1,1))</f>
        <v>288.82868507674738</v>
      </c>
      <c r="T58" s="62">
        <f t="shared" si="34"/>
        <v>283.48738729114024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0.86806965626454979</v>
      </c>
      <c r="AB58" s="23">
        <f>EXP(-LN(2)/2)*AB57+(1-EXP(-LN(2)/2))/(LN(2)/2)*V58*Y58*VLOOKUP('Données projet'!$B$9,Paramètres!$A$1:$I$89,3,0)*0.475*44/12</f>
        <v>5.8648716661700037E-4</v>
      </c>
      <c r="AC58" s="24">
        <f t="shared" si="3"/>
        <v>0.86865614343116682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683.96045320765336</v>
      </c>
      <c r="AN58" s="62">
        <f ca="1">AVERAGE(OFFSET($AM$3,0,0,'Données projet'!$E$10+1,1))-AVERAGE(OFFSET($H$3,0,0,'Données projet'!$E$10+1,1))</f>
        <v>371.95849973474657</v>
      </c>
      <c r="AO58" s="62">
        <f t="shared" si="36"/>
        <v>233.32640143610547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3.3033564949216097E-3</v>
      </c>
      <c r="AX58" s="23">
        <f t="shared" si="6"/>
        <v>3.3033564949216097E-3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206.94960000000009</v>
      </c>
      <c r="BF58" s="14">
        <f t="shared" si="37"/>
        <v>51.268429949375587</v>
      </c>
      <c r="BG58" s="22">
        <f t="shared" si="7"/>
        <v>449.72973549516269</v>
      </c>
      <c r="BH58" s="62">
        <f t="shared" si="8"/>
        <v>743.06306882849594</v>
      </c>
      <c r="BI58" s="62">
        <f ca="1">AVERAGE(OFFSET($BH$3,0,0,'Données projet'!$E$11+1,1))-AVERAGE(OFFSET($H$3,0,0,'Données projet'!$E$11+1,1))</f>
        <v>423.40903481736001</v>
      </c>
      <c r="BJ58" s="62">
        <f t="shared" si="38"/>
        <v>263.03039552465799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3.81594629585773E-3</v>
      </c>
      <c r="BS58" s="24">
        <f t="shared" si="9"/>
        <v>3.81594629585773E-3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3.9390243902439024</v>
      </c>
      <c r="BY58" s="13">
        <f>IF('Données projet'!$A$114&gt;35,BY57+BX58-CG57,IF(A58&lt;'Données projet'!$A$114,$BV$205^A58,IF(A58='Données projet'!$A$114,'Données projet'!$B$114,BY57+BX58-CG57)))</f>
        <v>216.64634146341459</v>
      </c>
      <c r="BZ58" s="14">
        <f>BY58*VLOOKUP('Données projet'!$B$12,Paramètres!$A$1:$I$89,3,0)*VLOOKUP('Données projet'!$B$12,Paramètres!$A$1:$I$89,5,0)</f>
        <v>101.39048780487802</v>
      </c>
      <c r="CA58" s="14">
        <f t="shared" si="39"/>
        <v>27.292995390122588</v>
      </c>
      <c r="CB58" s="22">
        <f t="shared" si="10"/>
        <v>224.1237332312927</v>
      </c>
      <c r="CC58" s="62">
        <f t="shared" si="11"/>
        <v>517.45706656462607</v>
      </c>
      <c r="CD58" s="62">
        <f ca="1">AVERAGE(OFFSET($CC$3,0,0,'Données projet'!$E$12+1,1))-AVERAGE(OFFSET($H$3,0,0,'Données projet'!$E$12+1,1))</f>
        <v>264.88170274686757</v>
      </c>
      <c r="CE58" s="62">
        <f t="shared" si="40"/>
        <v>160.81140876142001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213.96960000000001</v>
      </c>
      <c r="CV58" s="14">
        <f t="shared" si="41"/>
        <v>52.802095488627479</v>
      </c>
      <c r="CW58" s="22">
        <f t="shared" si="13"/>
        <v>464.62736964269283</v>
      </c>
      <c r="CX58" s="62">
        <f t="shared" si="14"/>
        <v>757.96070297602614</v>
      </c>
      <c r="CY58" s="62">
        <f ca="1">AVERAGE(OFFSET($CX$3,0,0,'Données projet'!$E$13+1,1))-AVERAGE(OFFSET($H$3,0,0,'Données projet'!$E$13+1,1))</f>
        <v>411.60020200960821</v>
      </c>
      <c r="CZ58" s="62">
        <f t="shared" si="42"/>
        <v>261.95434270986397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7.0490110656185783E-4</v>
      </c>
      <c r="DI58" s="24">
        <f t="shared" si="15"/>
        <v>7.0490110656185783E-4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200</v>
      </c>
      <c r="DM58" s="13">
        <f>VLOOKUP(A58,'Données projet'!$A$165:$I$185,9,0)</f>
        <v>6.6</v>
      </c>
      <c r="DN58" s="13">
        <f t="array" ref="DN58">INDEX(DM:DM,MIN(IF(ISNUMBER(DM58:DM254),ROW(DM58:DM254),"")))</f>
        <v>6.6</v>
      </c>
      <c r="DO58" s="13">
        <f>IF('Données projet'!$A$166&gt;35,DO57+DN58-DW57,IF(A58&lt;'Données projet'!$A$166,$DL$205^A58,IF(A58='Données projet'!$A$166,'Données projet'!$B$166,DO57+DN58-DW57)))</f>
        <v>200.00000000000009</v>
      </c>
      <c r="DP58" s="18">
        <f>DO58*VLOOKUP('Données projet'!$B$14,Paramètres!$A$1:$I$89,3,0)*VLOOKUP('Données projet'!$B$14,Paramètres!$A$1:$I$89,5,0)</f>
        <v>131.04000000000005</v>
      </c>
      <c r="DQ58" s="14">
        <f t="shared" si="43"/>
        <v>34.236561238949918</v>
      </c>
      <c r="DR58" s="22">
        <f t="shared" si="16"/>
        <v>287.85667749117118</v>
      </c>
      <c r="DS58" s="62">
        <f t="shared" si="17"/>
        <v>581.1900108245045</v>
      </c>
      <c r="DT58" s="62">
        <f ca="1">AVERAGE(OFFSET($DS$3,0,0,'Données projet'!$E$14+1,1))-AVERAGE(OFFSET($H$3,0,0,'Données projet'!$E$14+1,1))</f>
        <v>240.134073924311</v>
      </c>
      <c r="DU58" s="62">
        <f t="shared" si="44"/>
        <v>237.10378497981156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23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0.79767524219985497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2.8865995218134233E-3</v>
      </c>
      <c r="ED58" s="24">
        <f t="shared" si="18"/>
        <v>0.80056184172166844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9.375</v>
      </c>
      <c r="N59" s="14">
        <f>IF('Données projet'!$A$36&gt;35,N58+M59-V58,IF(A59&lt;'Données projet'!$A$36,$K$205^A59,IF(A59='Données projet'!$A$36,'Données projet'!$B$36,N58+M59-V58)))</f>
        <v>259.49999999999989</v>
      </c>
      <c r="O59" s="14">
        <f>N59*VLOOKUP('Données projet'!$B$9,Paramètres!$A$1:$I$89,3,0)*VLOOKUP('Données projet'!$B$9,Paramètres!$A$1:$I$89,5,0)</f>
        <v>202.40999999999991</v>
      </c>
      <c r="P59" s="14">
        <f t="shared" si="33"/>
        <v>50.273442991661817</v>
      </c>
      <c r="Q59" s="22">
        <f t="shared" si="53"/>
        <v>440.09032987714414</v>
      </c>
      <c r="R59" s="62">
        <f t="shared" si="0"/>
        <v>733.42366321047746</v>
      </c>
      <c r="S59" s="62">
        <f ca="1">AVERAGE(OFFSET($R$3,0,0,'Données projet'!$E$9+1,1))-AVERAGE(OFFSET($H$3,0,0,'Données projet'!$E$9+1,1))</f>
        <v>288.82868507674738</v>
      </c>
      <c r="T59" s="62">
        <f t="shared" si="34"/>
        <v>283.48738729114024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0.84433224586419642</v>
      </c>
      <c r="AB59" s="23">
        <f>EXP(-LN(2)/2)*AB58+(1-EXP(-LN(2)/2))/(LN(2)/2)*V59*Y59*VLOOKUP('Données projet'!$B$9,Paramètres!$A$1:$I$89,3,0)*0.475*44/12</f>
        <v>4.1470905259376553E-4</v>
      </c>
      <c r="AC59" s="24">
        <f t="shared" si="3"/>
        <v>0.84474695491679019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657.73839554893721</v>
      </c>
      <c r="AN59" s="62">
        <f ca="1">AVERAGE(OFFSET($AM$3,0,0,'Données projet'!$E$10+1,1))-AVERAGE(OFFSET($H$3,0,0,'Données projet'!$E$10+1,1))</f>
        <v>371.95849973474657</v>
      </c>
      <c r="AO59" s="62">
        <f t="shared" si="36"/>
        <v>233.32640143610547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2.3358257782356952E-3</v>
      </c>
      <c r="AX59" s="23">
        <f t="shared" si="6"/>
        <v>2.3358257782356952E-3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192.73488000000009</v>
      </c>
      <c r="BF59" s="14">
        <f t="shared" si="37"/>
        <v>48.144092149704086</v>
      </c>
      <c r="BG59" s="22">
        <f t="shared" si="7"/>
        <v>419.53087649406808</v>
      </c>
      <c r="BH59" s="62">
        <f t="shared" si="8"/>
        <v>712.8642098274014</v>
      </c>
      <c r="BI59" s="62">
        <f ca="1">AVERAGE(OFFSET($BH$3,0,0,'Données projet'!$E$11+1,1))-AVERAGE(OFFSET($H$3,0,0,'Données projet'!$E$11+1,1))</f>
        <v>423.40903481736001</v>
      </c>
      <c r="BJ59" s="62">
        <f t="shared" si="38"/>
        <v>263.03039552465799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2.6982815024446886E-3</v>
      </c>
      <c r="BS59" s="24">
        <f t="shared" si="9"/>
        <v>2.6982815024446886E-3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3.9390243902439024</v>
      </c>
      <c r="BY59" s="13">
        <f>IF('Données projet'!$A$114&gt;35,BY58+BX59-CG58,IF(A59&lt;'Données projet'!$A$114,$BV$205^A59,IF(A59='Données projet'!$A$114,'Données projet'!$B$114,BY58+BX59-CG58)))</f>
        <v>220.58536585365849</v>
      </c>
      <c r="BZ59" s="14">
        <f>BY59*VLOOKUP('Données projet'!$B$12,Paramètres!$A$1:$I$89,3,0)*VLOOKUP('Données projet'!$B$12,Paramètres!$A$1:$I$89,5,0)</f>
        <v>103.23395121951218</v>
      </c>
      <c r="CA59" s="14">
        <f t="shared" si="39"/>
        <v>27.731008890850809</v>
      </c>
      <c r="CB59" s="22">
        <f t="shared" si="10"/>
        <v>228.09730552554888</v>
      </c>
      <c r="CC59" s="62">
        <f t="shared" si="11"/>
        <v>521.43063885888216</v>
      </c>
      <c r="CD59" s="62">
        <f ca="1">AVERAGE(OFFSET($CC$3,0,0,'Données projet'!$E$12+1,1))-AVERAGE(OFFSET($H$3,0,0,'Données projet'!$E$12+1,1))</f>
        <v>264.88170274686757</v>
      </c>
      <c r="CE59" s="62">
        <f t="shared" si="40"/>
        <v>160.81140876142001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198.30096</v>
      </c>
      <c r="CV59" s="14">
        <f t="shared" si="41"/>
        <v>49.3705849564736</v>
      </c>
      <c r="CW59" s="22">
        <f t="shared" si="13"/>
        <v>431.36127413252484</v>
      </c>
      <c r="CX59" s="62">
        <f t="shared" si="14"/>
        <v>724.6946074658581</v>
      </c>
      <c r="CY59" s="62">
        <f ca="1">AVERAGE(OFFSET($CX$3,0,0,'Données projet'!$E$13+1,1))-AVERAGE(OFFSET($H$3,0,0,'Données projet'!$E$13+1,1))</f>
        <v>411.60020200960821</v>
      </c>
      <c r="CZ59" s="62">
        <f t="shared" si="42"/>
        <v>261.95434270986397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4.9844035251579081E-4</v>
      </c>
      <c r="DI59" s="24">
        <f t="shared" si="15"/>
        <v>4.9844035251579081E-4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</v>
      </c>
      <c r="DO59" s="13">
        <f>IF('Données projet'!$A$166&gt;35,DO58+DN59-DW58,IF(A59&lt;'Données projet'!$A$166,$DL$205^A59,IF(A59='Données projet'!$A$166,'Données projet'!$B$166,DO58+DN59-DW58)))</f>
        <v>183.00000000000009</v>
      </c>
      <c r="DP59" s="18">
        <f>DO59*VLOOKUP('Données projet'!$B$14,Paramètres!$A$1:$I$89,3,0)*VLOOKUP('Données projet'!$B$14,Paramètres!$A$1:$I$89,5,0)</f>
        <v>119.90160000000004</v>
      </c>
      <c r="DQ59" s="14">
        <f t="shared" si="43"/>
        <v>31.652048014425535</v>
      </c>
      <c r="DR59" s="22">
        <f t="shared" si="16"/>
        <v>263.95593695845793</v>
      </c>
      <c r="DS59" s="62">
        <f t="shared" si="17"/>
        <v>557.28927029179124</v>
      </c>
      <c r="DT59" s="62">
        <f ca="1">AVERAGE(OFFSET($DS$3,0,0,'Données projet'!$E$14+1,1))-AVERAGE(OFFSET($H$3,0,0,'Données projet'!$E$14+1,1))</f>
        <v>240.134073924311</v>
      </c>
      <c r="DU59" s="62">
        <f t="shared" si="44"/>
        <v>237.10378497981156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0.78203331723417235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2.041134096444117E-3</v>
      </c>
      <c r="ED59" s="24">
        <f t="shared" si="18"/>
        <v>0.78407445133061648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9.375</v>
      </c>
      <c r="N60" s="14">
        <f>IF('Données projet'!$A$36&gt;35,N59+M60-V59,IF(A60&lt;'Données projet'!$A$36,$K$205^A60,IF(A60='Données projet'!$A$36,'Données projet'!$B$36,N59+M60-V59)))</f>
        <v>268.87499999999989</v>
      </c>
      <c r="O60" s="14">
        <f>N60*VLOOKUP('Données projet'!$B$9,Paramètres!$A$1:$I$89,3,0)*VLOOKUP('Données projet'!$B$9,Paramètres!$A$1:$I$89,5,0)</f>
        <v>209.72249999999991</v>
      </c>
      <c r="P60" s="14">
        <f t="shared" si="33"/>
        <v>51.874940300502246</v>
      </c>
      <c r="Q60" s="22">
        <f t="shared" si="53"/>
        <v>455.61554185670792</v>
      </c>
      <c r="R60" s="62">
        <f t="shared" si="0"/>
        <v>748.94887519004124</v>
      </c>
      <c r="S60" s="62">
        <f ca="1">AVERAGE(OFFSET($R$3,0,0,'Données projet'!$E$9+1,1))-AVERAGE(OFFSET($H$3,0,0,'Données projet'!$E$9+1,1))</f>
        <v>288.82868507674738</v>
      </c>
      <c r="T60" s="62">
        <f t="shared" si="34"/>
        <v>283.48738729114024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0.82124393619953695</v>
      </c>
      <c r="AB60" s="23">
        <f>EXP(-LN(2)/2)*AB59+(1-EXP(-LN(2)/2))/(LN(2)/2)*V60*Y60*VLOOKUP('Données projet'!$B$9,Paramètres!$A$1:$I$89,3,0)*0.475*44/12</f>
        <v>2.9324358330850019E-4</v>
      </c>
      <c r="AC60" s="24">
        <f t="shared" si="3"/>
        <v>0.82153717978284546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672.01119434243128</v>
      </c>
      <c r="AN60" s="62">
        <f ca="1">AVERAGE(OFFSET($AM$3,0,0,'Données projet'!$E$10+1,1))-AVERAGE(OFFSET($H$3,0,0,'Données projet'!$E$10+1,1))</f>
        <v>371.95849973474657</v>
      </c>
      <c r="AO60" s="62">
        <f t="shared" si="36"/>
        <v>233.32640143610547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1.6516782474608048E-3</v>
      </c>
      <c r="AX60" s="23">
        <f t="shared" si="6"/>
        <v>1.6516782474608048E-3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200.46936000000011</v>
      </c>
      <c r="BF60" s="14">
        <f t="shared" si="37"/>
        <v>49.847304770789826</v>
      </c>
      <c r="BG60" s="22">
        <f t="shared" si="7"/>
        <v>435.96819114245915</v>
      </c>
      <c r="BH60" s="62">
        <f t="shared" si="8"/>
        <v>729.30152447579246</v>
      </c>
      <c r="BI60" s="62">
        <f ca="1">AVERAGE(OFFSET($BH$3,0,0,'Données projet'!$E$11+1,1))-AVERAGE(OFFSET($H$3,0,0,'Données projet'!$E$11+1,1))</f>
        <v>423.40903481736001</v>
      </c>
      <c r="BJ60" s="62">
        <f t="shared" si="38"/>
        <v>263.03039552465799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1.9079731479288652E-3</v>
      </c>
      <c r="BS60" s="24">
        <f t="shared" si="9"/>
        <v>1.9079731479288652E-3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3.9390243902439024</v>
      </c>
      <c r="BY60" s="13">
        <f>IF('Données projet'!$A$114&gt;35,BY59+BX60-CG59,IF(A60&lt;'Données projet'!$A$114,$BV$205^A60,IF(A60='Données projet'!$A$114,'Données projet'!$B$114,BY59+BX60-CG59)))</f>
        <v>224.52439024390239</v>
      </c>
      <c r="BZ60" s="14">
        <f>BY60*VLOOKUP('Données projet'!$B$12,Paramètres!$A$1:$I$89,3,0)*VLOOKUP('Données projet'!$B$12,Paramètres!$A$1:$I$89,5,0)</f>
        <v>105.07741463414632</v>
      </c>
      <c r="CA60" s="14">
        <f t="shared" si="39"/>
        <v>28.168112843682337</v>
      </c>
      <c r="CB60" s="22">
        <f t="shared" si="10"/>
        <v>232.06929369055158</v>
      </c>
      <c r="CC60" s="62">
        <f t="shared" si="11"/>
        <v>525.40262702388486</v>
      </c>
      <c r="CD60" s="62">
        <f ca="1">AVERAGE(OFFSET($CC$3,0,0,'Données projet'!$E$12+1,1))-AVERAGE(OFFSET($H$3,0,0,'Données projet'!$E$12+1,1))</f>
        <v>264.88170274686757</v>
      </c>
      <c r="CE60" s="62">
        <f t="shared" si="40"/>
        <v>160.81140876142001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206.21952000000002</v>
      </c>
      <c r="CV60" s="14">
        <f t="shared" si="41"/>
        <v>51.108584284640322</v>
      </c>
      <c r="CW60" s="22">
        <f t="shared" si="13"/>
        <v>448.1797816290819</v>
      </c>
      <c r="CX60" s="62">
        <f t="shared" si="14"/>
        <v>741.51311496241522</v>
      </c>
      <c r="CY60" s="62">
        <f ca="1">AVERAGE(OFFSET($CX$3,0,0,'Données projet'!$E$13+1,1))-AVERAGE(OFFSET($H$3,0,0,'Données projet'!$E$13+1,1))</f>
        <v>411.60020200960821</v>
      </c>
      <c r="CZ60" s="62">
        <f t="shared" si="42"/>
        <v>261.95434270986397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3.5245055328092891E-4</v>
      </c>
      <c r="DI60" s="24">
        <f t="shared" si="15"/>
        <v>3.5245055328092891E-4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</v>
      </c>
      <c r="DO60" s="13">
        <f>IF('Données projet'!$A$166&gt;35,DO59+DN60-DW59,IF(A60&lt;'Données projet'!$A$166,$DL$205^A60,IF(A60='Données projet'!$A$166,'Données projet'!$B$166,DO59+DN60-DW59)))</f>
        <v>189.00000000000009</v>
      </c>
      <c r="DP60" s="18">
        <f>DO60*VLOOKUP('Données projet'!$B$14,Paramètres!$A$1:$I$89,3,0)*VLOOKUP('Données projet'!$B$14,Paramètres!$A$1:$I$89,5,0)</f>
        <v>123.83280000000006</v>
      </c>
      <c r="DQ60" s="14">
        <f t="shared" si="43"/>
        <v>32.567294628684579</v>
      </c>
      <c r="DR60" s="22">
        <f t="shared" si="16"/>
        <v>272.39683147829243</v>
      </c>
      <c r="DS60" s="62">
        <f t="shared" si="17"/>
        <v>565.73016481162574</v>
      </c>
      <c r="DT60" s="62">
        <f ca="1">AVERAGE(OFFSET($DS$3,0,0,'Données projet'!$E$14+1,1))-AVERAGE(OFFSET($H$3,0,0,'Données projet'!$E$14+1,1))</f>
        <v>240.134073924311</v>
      </c>
      <c r="DU60" s="62">
        <f t="shared" si="44"/>
        <v>237.10378497981156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0.76669812087643463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1.4432997609067117E-3</v>
      </c>
      <c r="ED60" s="24">
        <f t="shared" si="18"/>
        <v>0.76814142063734137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9.375</v>
      </c>
      <c r="N61" s="14">
        <f>IF('Données projet'!$A$36&gt;35,N60+M61-V60,IF(A61&lt;'Données projet'!$A$36,$K$205^A61,IF(A61='Données projet'!$A$36,'Données projet'!$B$36,N60+M61-V60)))</f>
        <v>278.24999999999989</v>
      </c>
      <c r="O61" s="14">
        <f>N61*VLOOKUP('Données projet'!$B$9,Paramètres!$A$1:$I$89,3,0)*VLOOKUP('Données projet'!$B$9,Paramètres!$A$1:$I$89,5,0)</f>
        <v>217.03499999999991</v>
      </c>
      <c r="P61" s="14">
        <f t="shared" si="33"/>
        <v>53.469949591969474</v>
      </c>
      <c r="Q61" s="22">
        <f t="shared" si="53"/>
        <v>471.12945387267996</v>
      </c>
      <c r="R61" s="62">
        <f t="shared" si="0"/>
        <v>764.46278720601322</v>
      </c>
      <c r="S61" s="62">
        <f ca="1">AVERAGE(OFFSET($R$3,0,0,'Données projet'!$E$9+1,1))-AVERAGE(OFFSET($H$3,0,0,'Données projet'!$E$9+1,1))</f>
        <v>288.82868507674738</v>
      </c>
      <c r="T61" s="62">
        <f t="shared" si="34"/>
        <v>283.48738729114024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0.79878697757681894</v>
      </c>
      <c r="AB61" s="23">
        <f>EXP(-LN(2)/2)*AB60+(1-EXP(-LN(2)/2))/(LN(2)/2)*V61*Y61*VLOOKUP('Données projet'!$B$9,Paramètres!$A$1:$I$89,3,0)*0.475*44/12</f>
        <v>2.0735452629688276E-4</v>
      </c>
      <c r="AC61" s="24">
        <f t="shared" si="3"/>
        <v>0.79899433210311577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686.27228859802744</v>
      </c>
      <c r="AN61" s="62">
        <f ca="1">AVERAGE(OFFSET($AM$3,0,0,'Données projet'!$E$10+1,1))-AVERAGE(OFFSET($H$3,0,0,'Données projet'!$E$10+1,1))</f>
        <v>371.95849973474657</v>
      </c>
      <c r="AO61" s="62">
        <f t="shared" si="36"/>
        <v>233.32640143610547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1.1679128891178476E-3</v>
      </c>
      <c r="AX61" s="23">
        <f t="shared" si="6"/>
        <v>1.1679128891178476E-3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208.2038400000001</v>
      </c>
      <c r="BF61" s="14">
        <f t="shared" si="37"/>
        <v>51.542883536065226</v>
      </c>
      <c r="BG61" s="22">
        <f t="shared" si="7"/>
        <v>452.39221015864706</v>
      </c>
      <c r="BH61" s="62">
        <f t="shared" si="8"/>
        <v>745.72554349198037</v>
      </c>
      <c r="BI61" s="62">
        <f ca="1">AVERAGE(OFFSET($BH$3,0,0,'Données projet'!$E$11+1,1))-AVERAGE(OFFSET($H$3,0,0,'Données projet'!$E$11+1,1))</f>
        <v>423.40903481736001</v>
      </c>
      <c r="BJ61" s="62">
        <f t="shared" si="38"/>
        <v>263.03039552465799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1.3491407512223445E-3</v>
      </c>
      <c r="BS61" s="24">
        <f t="shared" si="9"/>
        <v>1.3491407512223445E-3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3.9390243902439024</v>
      </c>
      <c r="BY61" s="13">
        <f>IF('Données projet'!$A$114&gt;35,BY60+BX61-CG60,IF(A61&lt;'Données projet'!$A$114,$BV$205^A61,IF(A61='Données projet'!$A$114,'Données projet'!$B$114,BY60+BX61-CG60)))</f>
        <v>228.46341463414629</v>
      </c>
      <c r="BZ61" s="14">
        <f>BY61*VLOOKUP('Données projet'!$B$12,Paramètres!$A$1:$I$89,3,0)*VLOOKUP('Données projet'!$B$12,Paramètres!$A$1:$I$89,5,0)</f>
        <v>106.92087804878045</v>
      </c>
      <c r="CA61" s="14">
        <f t="shared" si="39"/>
        <v>28.604325046653926</v>
      </c>
      <c r="CB61" s="22">
        <f t="shared" si="10"/>
        <v>236.03972872454821</v>
      </c>
      <c r="CC61" s="62">
        <f t="shared" si="11"/>
        <v>529.3730620578815</v>
      </c>
      <c r="CD61" s="62">
        <f ca="1">AVERAGE(OFFSET($CC$3,0,0,'Données projet'!$E$12+1,1))-AVERAGE(OFFSET($H$3,0,0,'Données projet'!$E$12+1,1))</f>
        <v>264.88170274686757</v>
      </c>
      <c r="CE61" s="62">
        <f t="shared" si="40"/>
        <v>160.81140876142001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214.13808</v>
      </c>
      <c r="CV61" s="14">
        <f t="shared" si="41"/>
        <v>52.838830759579693</v>
      </c>
      <c r="CW61" s="22">
        <f t="shared" si="13"/>
        <v>464.98478623960131</v>
      </c>
      <c r="CX61" s="62">
        <f t="shared" si="14"/>
        <v>758.31811957293462</v>
      </c>
      <c r="CY61" s="62">
        <f ca="1">AVERAGE(OFFSET($CX$3,0,0,'Données projet'!$E$13+1,1))-AVERAGE(OFFSET($H$3,0,0,'Données projet'!$E$13+1,1))</f>
        <v>411.60020200960821</v>
      </c>
      <c r="CZ61" s="62">
        <f t="shared" si="42"/>
        <v>261.95434270986397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2.4922017625789541E-4</v>
      </c>
      <c r="DI61" s="24">
        <f t="shared" si="15"/>
        <v>2.4922017625789541E-4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</v>
      </c>
      <c r="DO61" s="13">
        <f>IF('Données projet'!$A$166&gt;35,DO60+DN61-DW60,IF(A61&lt;'Données projet'!$A$166,$DL$205^A61,IF(A61='Données projet'!$A$166,'Données projet'!$B$166,DO60+DN61-DW60)))</f>
        <v>195.00000000000009</v>
      </c>
      <c r="DP61" s="18">
        <f>DO61*VLOOKUP('Données projet'!$B$14,Paramètres!$A$1:$I$89,3,0)*VLOOKUP('Données projet'!$B$14,Paramètres!$A$1:$I$89,5,0)</f>
        <v>127.76400000000005</v>
      </c>
      <c r="DQ61" s="14">
        <f t="shared" si="43"/>
        <v>33.479164830670079</v>
      </c>
      <c r="DR61" s="22">
        <f t="shared" si="16"/>
        <v>280.83184541341711</v>
      </c>
      <c r="DS61" s="62">
        <f t="shared" si="17"/>
        <v>574.16517874675037</v>
      </c>
      <c r="DT61" s="62">
        <f ca="1">AVERAGE(OFFSET($DS$3,0,0,'Données projet'!$E$14+1,1))-AVERAGE(OFFSET($H$3,0,0,'Données projet'!$E$14+1,1))</f>
        <v>240.134073924311</v>
      </c>
      <c r="DU61" s="62">
        <f t="shared" si="44"/>
        <v>237.10378497981156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0.75166363836572592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1.0205670482220585E-3</v>
      </c>
      <c r="ED61" s="24">
        <f t="shared" si="18"/>
        <v>0.75268420541394798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9.375</v>
      </c>
      <c r="N62" s="14">
        <f>IF('Données projet'!$A$36&gt;35,N61+M62-V61,IF(A62&lt;'Données projet'!$A$36,$K$205^A62,IF(A62='Données projet'!$A$36,'Données projet'!$B$36,N61+M62-V61)))</f>
        <v>287.62499999999989</v>
      </c>
      <c r="O62" s="14">
        <f>N62*VLOOKUP('Données projet'!$B$9,Paramètres!$A$1:$I$89,3,0)*VLOOKUP('Données projet'!$B$9,Paramètres!$A$1:$I$89,5,0)</f>
        <v>224.34749999999991</v>
      </c>
      <c r="P62" s="14">
        <f t="shared" si="33"/>
        <v>55.058714525680429</v>
      </c>
      <c r="Q62" s="22">
        <f t="shared" si="53"/>
        <v>486.63249029889329</v>
      </c>
      <c r="R62" s="62">
        <f t="shared" si="0"/>
        <v>779.9658236322266</v>
      </c>
      <c r="S62" s="62">
        <f ca="1">AVERAGE(OFFSET($R$3,0,0,'Données projet'!$E$9+1,1))-AVERAGE(OFFSET($H$3,0,0,'Données projet'!$E$9+1,1))</f>
        <v>288.82868507674738</v>
      </c>
      <c r="T62" s="62">
        <f t="shared" si="34"/>
        <v>283.48738729114024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0.77694410566859928</v>
      </c>
      <c r="AB62" s="23">
        <f>EXP(-LN(2)/2)*AB61+(1-EXP(-LN(2)/2))/(LN(2)/2)*V62*Y62*VLOOKUP('Données projet'!$B$9,Paramètres!$A$1:$I$89,3,0)*0.475*44/12</f>
        <v>1.4662179165425009E-4</v>
      </c>
      <c r="AC62" s="24">
        <f t="shared" si="3"/>
        <v>0.77709072746025354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700.52216291323407</v>
      </c>
      <c r="AN62" s="62">
        <f ca="1">AVERAGE(OFFSET($AM$3,0,0,'Données projet'!$E$10+1,1))-AVERAGE(OFFSET($H$3,0,0,'Données projet'!$E$10+1,1))</f>
        <v>371.95849973474657</v>
      </c>
      <c r="AO62" s="62">
        <f t="shared" si="36"/>
        <v>233.32640143610547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8.2583912373040242E-4</v>
      </c>
      <c r="AX62" s="23">
        <f t="shared" si="6"/>
        <v>8.2583912373040242E-4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215.93832000000009</v>
      </c>
      <c r="BF62" s="14">
        <f t="shared" si="37"/>
        <v>53.231144506492171</v>
      </c>
      <c r="BG62" s="22">
        <f t="shared" si="7"/>
        <v>468.80348401547394</v>
      </c>
      <c r="BH62" s="62">
        <f t="shared" si="8"/>
        <v>762.1368173488072</v>
      </c>
      <c r="BI62" s="62">
        <f ca="1">AVERAGE(OFFSET($BH$3,0,0,'Données projet'!$E$11+1,1))-AVERAGE(OFFSET($H$3,0,0,'Données projet'!$E$11+1,1))</f>
        <v>423.40903481736001</v>
      </c>
      <c r="BJ62" s="62">
        <f t="shared" si="38"/>
        <v>263.03039552465799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9.5398657396443282E-4</v>
      </c>
      <c r="BS62" s="24">
        <f t="shared" si="9"/>
        <v>9.5398657396443282E-4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3.9390243902439024</v>
      </c>
      <c r="BY62" s="13">
        <f>IF('Données projet'!$A$114&gt;35,BY61+BX62-CG61,IF(A62&lt;'Données projet'!$A$114,$BV$205^A62,IF(A62='Données projet'!$A$114,'Données projet'!$B$114,BY61+BX62-CG61)))</f>
        <v>232.40243902439019</v>
      </c>
      <c r="BZ62" s="14">
        <f>BY62*VLOOKUP('Données projet'!$B$12,Paramètres!$A$1:$I$89,3,0)*VLOOKUP('Données projet'!$B$12,Paramètres!$A$1:$I$89,5,0)</f>
        <v>108.76434146341461</v>
      </c>
      <c r="CA62" s="14">
        <f t="shared" si="39"/>
        <v>29.039662648913094</v>
      </c>
      <c r="CB62" s="22">
        <f t="shared" si="10"/>
        <v>240.00864049563742</v>
      </c>
      <c r="CC62" s="62">
        <f t="shared" si="11"/>
        <v>533.34197382897071</v>
      </c>
      <c r="CD62" s="62">
        <f ca="1">AVERAGE(OFFSET($CC$3,0,0,'Données projet'!$E$12+1,1))-AVERAGE(OFFSET($H$3,0,0,'Données projet'!$E$12+1,1))</f>
        <v>264.88170274686757</v>
      </c>
      <c r="CE62" s="62">
        <f t="shared" si="40"/>
        <v>160.81140876142001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222.05663999999999</v>
      </c>
      <c r="CV62" s="14">
        <f t="shared" si="41"/>
        <v>54.561643903321311</v>
      </c>
      <c r="CW62" s="22">
        <f t="shared" si="13"/>
        <v>481.77684446495124</v>
      </c>
      <c r="CX62" s="62">
        <f t="shared" si="14"/>
        <v>775.11017779828455</v>
      </c>
      <c r="CY62" s="62">
        <f ca="1">AVERAGE(OFFSET($CX$3,0,0,'Données projet'!$E$13+1,1))-AVERAGE(OFFSET($H$3,0,0,'Données projet'!$E$13+1,1))</f>
        <v>411.60020200960821</v>
      </c>
      <c r="CZ62" s="62">
        <f t="shared" si="42"/>
        <v>261.95434270986397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1.7622527664046446E-4</v>
      </c>
      <c r="DI62" s="24">
        <f t="shared" si="15"/>
        <v>1.7622527664046446E-4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</v>
      </c>
      <c r="DO62" s="13">
        <f>IF('Données projet'!$A$166&gt;35,DO61+DN62-DW61,IF(A62&lt;'Données projet'!$A$166,$DL$205^A62,IF(A62='Données projet'!$A$166,'Données projet'!$B$166,DO61+DN62-DW61)))</f>
        <v>201.00000000000009</v>
      </c>
      <c r="DP62" s="18">
        <f>DO62*VLOOKUP('Données projet'!$B$14,Paramètres!$A$1:$I$89,3,0)*VLOOKUP('Données projet'!$B$14,Paramètres!$A$1:$I$89,5,0)</f>
        <v>131.69520000000006</v>
      </c>
      <c r="DQ62" s="14">
        <f t="shared" si="43"/>
        <v>34.387774432362271</v>
      </c>
      <c r="DR62" s="22">
        <f t="shared" si="16"/>
        <v>289.26118046969771</v>
      </c>
      <c r="DS62" s="62">
        <f t="shared" si="17"/>
        <v>582.59451380303108</v>
      </c>
      <c r="DT62" s="62">
        <f ca="1">AVERAGE(OFFSET($DS$3,0,0,'Données projet'!$E$14+1,1))-AVERAGE(OFFSET($H$3,0,0,'Données projet'!$E$14+1,1))</f>
        <v>240.134073924311</v>
      </c>
      <c r="DU62" s="62">
        <f t="shared" si="44"/>
        <v>237.10378497981156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0.73692397288692335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7.2164988045335583E-4</v>
      </c>
      <c r="ED62" s="24">
        <f t="shared" si="18"/>
        <v>0.73764562276737666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297</v>
      </c>
      <c r="L63" s="13">
        <f>VLOOKUP(A63,'Données projet'!$A$35:$I$55,9,0)</f>
        <v>9.375</v>
      </c>
      <c r="M63" s="13">
        <f t="array" ref="M63">INDEX(L:L,MIN(IF(ISNUMBER(L63:L259),ROW(L63:L259),"")))</f>
        <v>9.375</v>
      </c>
      <c r="N63" s="14">
        <f>IF('Données projet'!$A$36&gt;35,N62+M63-V62,IF(A63&lt;'Données projet'!$A$36,$K$205^A63,IF(A63='Données projet'!$A$36,'Données projet'!$B$36,N62+M63-V62)))</f>
        <v>296.99999999999989</v>
      </c>
      <c r="O63" s="14">
        <f>N63*VLOOKUP('Données projet'!$B$9,Paramètres!$A$1:$I$89,3,0)*VLOOKUP('Données projet'!$B$9,Paramètres!$A$1:$I$89,5,0)</f>
        <v>231.65999999999991</v>
      </c>
      <c r="P63" s="14">
        <f t="shared" si="33"/>
        <v>56.641461975682766</v>
      </c>
      <c r="Q63" s="22">
        <f t="shared" si="53"/>
        <v>502.125046274314</v>
      </c>
      <c r="R63" s="62">
        <f t="shared" si="0"/>
        <v>795.45837960764732</v>
      </c>
      <c r="S63" s="62">
        <f ca="1">AVERAGE(OFFSET($R$3,0,0,'Données projet'!$E$9+1,1))-AVERAGE(OFFSET($H$3,0,0,'Données projet'!$E$9+1,1))</f>
        <v>288.82868507674738</v>
      </c>
      <c r="T63" s="62">
        <f t="shared" si="34"/>
        <v>283.48738729114024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47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0.75569852824137662</v>
      </c>
      <c r="AB63" s="23">
        <f>EXP(-LN(2)/2)*AB62+(1-EXP(-LN(2)/2))/(LN(2)/2)*V63*Y63*VLOOKUP('Données projet'!$B$9,Paramètres!$A$1:$I$89,3,0)*0.475*44/12</f>
        <v>1.0367726314844138E-4</v>
      </c>
      <c r="AC63" s="24">
        <f t="shared" si="3"/>
        <v>0.75580220550452504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714.76126520309447</v>
      </c>
      <c r="AN63" s="62">
        <f ca="1">AVERAGE(OFFSET($AM$3,0,0,'Données projet'!$E$10+1,1))-AVERAGE(OFFSET($H$3,0,0,'Données projet'!$E$10+1,1))</f>
        <v>371.95849973474657</v>
      </c>
      <c r="AO63" s="62">
        <f t="shared" si="36"/>
        <v>233.32640143610547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5.839564445589238E-4</v>
      </c>
      <c r="AX63" s="23">
        <f t="shared" si="6"/>
        <v>5.839564445589238E-4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223.67280000000008</v>
      </c>
      <c r="BF63" s="14">
        <f t="shared" si="37"/>
        <v>54.91237981823884</v>
      </c>
      <c r="BG63" s="22">
        <f t="shared" si="7"/>
        <v>485.20252151676618</v>
      </c>
      <c r="BH63" s="62">
        <f t="shared" si="8"/>
        <v>778.53585485009944</v>
      </c>
      <c r="BI63" s="62">
        <f ca="1">AVERAGE(OFFSET($BH$3,0,0,'Données projet'!$E$11+1,1))-AVERAGE(OFFSET($H$3,0,0,'Données projet'!$E$11+1,1))</f>
        <v>423.40903481736001</v>
      </c>
      <c r="BJ63" s="62">
        <f t="shared" si="38"/>
        <v>263.03039552465799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6.7457037561117236E-4</v>
      </c>
      <c r="BS63" s="24">
        <f t="shared" si="9"/>
        <v>6.7457037561117236E-4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3.9390243902439024</v>
      </c>
      <c r="BY63" s="13">
        <f>IF('Données projet'!$A$114&gt;35,BY62+BX63-CG62,IF(A63&lt;'Données projet'!$A$114,$BV$205^A63,IF(A63='Données projet'!$A$114,'Données projet'!$B$114,BY62+BX63-CG62)))</f>
        <v>236.34146341463409</v>
      </c>
      <c r="BZ63" s="14">
        <f>BY63*VLOOKUP('Données projet'!$B$12,Paramètres!$A$1:$I$89,3,0)*VLOOKUP('Données projet'!$B$12,Paramètres!$A$1:$I$89,5,0)</f>
        <v>110.60780487804875</v>
      </c>
      <c r="CA63" s="14">
        <f t="shared" si="39"/>
        <v>29.474142184965579</v>
      </c>
      <c r="CB63" s="22">
        <f t="shared" si="10"/>
        <v>243.9760578014166</v>
      </c>
      <c r="CC63" s="62">
        <f t="shared" si="11"/>
        <v>537.30939113474994</v>
      </c>
      <c r="CD63" s="62">
        <f ca="1">AVERAGE(OFFSET($CC$3,0,0,'Données projet'!$E$12+1,1))-AVERAGE(OFFSET($H$3,0,0,'Données projet'!$E$12+1,1))</f>
        <v>264.88170274686757</v>
      </c>
      <c r="CE63" s="62">
        <f t="shared" si="40"/>
        <v>160.81140876142001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229.9752</v>
      </c>
      <c r="CV63" s="14">
        <f t="shared" si="41"/>
        <v>56.277319157664316</v>
      </c>
      <c r="CW63" s="22">
        <f t="shared" si="13"/>
        <v>498.55647086626527</v>
      </c>
      <c r="CX63" s="62">
        <f t="shared" si="14"/>
        <v>791.88980419959853</v>
      </c>
      <c r="CY63" s="62">
        <f ca="1">AVERAGE(OFFSET($CX$3,0,0,'Données projet'!$E$13+1,1))-AVERAGE(OFFSET($H$3,0,0,'Données projet'!$E$13+1,1))</f>
        <v>411.60020200960821</v>
      </c>
      <c r="CZ63" s="62">
        <f t="shared" si="42"/>
        <v>261.95434270986397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1.246100881289477E-4</v>
      </c>
      <c r="DI63" s="24">
        <f t="shared" si="15"/>
        <v>1.246100881289477E-4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207</v>
      </c>
      <c r="DM63" s="13">
        <f>VLOOKUP(A63,'Données projet'!$A$165:$I$185,9,0)</f>
        <v>6</v>
      </c>
      <c r="DN63" s="13">
        <f t="array" ref="DN63">INDEX(DM:DM,MIN(IF(ISNUMBER(DM63:DM259),ROW(DM63:DM259),"")))</f>
        <v>6</v>
      </c>
      <c r="DO63" s="13">
        <f>IF('Données projet'!$A$166&gt;35,DO62+DN63-DW62,IF(A63&lt;'Données projet'!$A$166,$DL$205^A63,IF(A63='Données projet'!$A$166,'Données projet'!$B$166,DO62+DN63-DW62)))</f>
        <v>207.00000000000009</v>
      </c>
      <c r="DP63" s="18">
        <f>DO63*VLOOKUP('Données projet'!$B$14,Paramètres!$A$1:$I$89,3,0)*VLOOKUP('Données projet'!$B$14,Paramètres!$A$1:$I$89,5,0)</f>
        <v>135.62640000000005</v>
      </c>
      <c r="DQ63" s="14">
        <f t="shared" si="43"/>
        <v>35.293231938598481</v>
      </c>
      <c r="DR63" s="22">
        <f t="shared" si="16"/>
        <v>297.68502562639242</v>
      </c>
      <c r="DS63" s="62">
        <f t="shared" si="17"/>
        <v>591.01835895972567</v>
      </c>
      <c r="DT63" s="62">
        <f ca="1">AVERAGE(OFFSET($DS$3,0,0,'Données projet'!$E$14+1,1))-AVERAGE(OFFSET($H$3,0,0,'Données projet'!$E$14+1,1))</f>
        <v>240.134073924311</v>
      </c>
      <c r="DU63" s="62">
        <f t="shared" si="44"/>
        <v>237.10378497981156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22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0.72247334325785184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5.1028352411102925E-4</v>
      </c>
      <c r="ED63" s="24">
        <f t="shared" si="18"/>
        <v>0.72298362678196282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8.6666666666666661</v>
      </c>
      <c r="N64" s="14">
        <f>IF('Données projet'!$A$36&gt;35,N63+M64-V63,IF(A64&lt;'Données projet'!$A$36,$K$205^A64,IF(A64='Données projet'!$A$36,'Données projet'!$B$36,N63+M64-V63)))</f>
        <v>258.66666666666657</v>
      </c>
      <c r="O64" s="14">
        <f>N64*VLOOKUP('Données projet'!$B$9,Paramètres!$A$1:$I$89,3,0)*VLOOKUP('Données projet'!$B$9,Paramètres!$A$1:$I$89,5,0)</f>
        <v>201.75999999999993</v>
      </c>
      <c r="P64" s="14">
        <f t="shared" si="33"/>
        <v>50.130765000424169</v>
      </c>
      <c r="Q64" s="22">
        <f t="shared" si="53"/>
        <v>438.70974904240529</v>
      </c>
      <c r="R64" s="62">
        <f t="shared" si="0"/>
        <v>732.04308237573855</v>
      </c>
      <c r="S64" s="62">
        <f ca="1">AVERAGE(OFFSET($R$3,0,0,'Données projet'!$E$9+1,1))-AVERAGE(OFFSET($H$3,0,0,'Données projet'!$E$9+1,1))</f>
        <v>288.82868507674738</v>
      </c>
      <c r="T64" s="62">
        <f t="shared" si="34"/>
        <v>283.48738729114024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0.73503391224615777</v>
      </c>
      <c r="AB64" s="23">
        <f>EXP(-LN(2)/2)*AB63+(1-EXP(-LN(2)/2))/(LN(2)/2)*V64*Y64*VLOOKUP('Données projet'!$B$9,Paramètres!$A$1:$I$89,3,0)*0.475*44/12</f>
        <v>7.3310895827125047E-5</v>
      </c>
      <c r="AC64" s="24">
        <f t="shared" si="3"/>
        <v>0.73510722314198484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688.19859268339746</v>
      </c>
      <c r="AN64" s="62">
        <f ca="1">AVERAGE(OFFSET($AM$3,0,0,'Données projet'!$E$10+1,1))-AVERAGE(OFFSET($H$3,0,0,'Données projet'!$E$10+1,1))</f>
        <v>371.95849973474657</v>
      </c>
      <c r="AO64" s="62">
        <f t="shared" si="36"/>
        <v>233.32640143610547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4.1291956186520121E-4</v>
      </c>
      <c r="AX64" s="23">
        <f t="shared" si="6"/>
        <v>4.1291956186520121E-4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209.24904000000012</v>
      </c>
      <c r="BF64" s="14">
        <f t="shared" si="37"/>
        <v>51.771447845108803</v>
      </c>
      <c r="BG64" s="22">
        <f t="shared" si="7"/>
        <v>454.61068299689799</v>
      </c>
      <c r="BH64" s="62">
        <f t="shared" si="8"/>
        <v>747.94401633023131</v>
      </c>
      <c r="BI64" s="62">
        <f ca="1">AVERAGE(OFFSET($BH$3,0,0,'Données projet'!$E$11+1,1))-AVERAGE(OFFSET($H$3,0,0,'Données projet'!$E$11+1,1))</f>
        <v>423.40903481736001</v>
      </c>
      <c r="BJ64" s="62">
        <f t="shared" si="38"/>
        <v>263.03039552465799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4.7699328698221647E-4</v>
      </c>
      <c r="BS64" s="24">
        <f t="shared" si="9"/>
        <v>4.7699328698221647E-4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3.9390243902439024</v>
      </c>
      <c r="BY64" s="13">
        <f>IF('Données projet'!$A$114&gt;35,BY63+BX64-CG63,IF(A64&lt;'Données projet'!$A$114,$BV$205^A64,IF(A64='Données projet'!$A$114,'Données projet'!$B$114,BY63+BX64-CG63)))</f>
        <v>240.28048780487799</v>
      </c>
      <c r="BZ64" s="14">
        <f>BY64*VLOOKUP('Données projet'!$B$12,Paramètres!$A$1:$I$89,3,0)*VLOOKUP('Données projet'!$B$12,Paramètres!$A$1:$I$89,5,0)</f>
        <v>112.4512682926829</v>
      </c>
      <c r="CA64" s="14">
        <f t="shared" si="39"/>
        <v>29.907779606574675</v>
      </c>
      <c r="CB64" s="22">
        <f t="shared" si="10"/>
        <v>247.94200842454026</v>
      </c>
      <c r="CC64" s="62">
        <f t="shared" si="11"/>
        <v>541.27534175787355</v>
      </c>
      <c r="CD64" s="62">
        <f ca="1">AVERAGE(OFFSET($CC$3,0,0,'Données projet'!$E$12+1,1))-AVERAGE(OFFSET($H$3,0,0,'Données projet'!$E$12+1,1))</f>
        <v>264.88170274686757</v>
      </c>
      <c r="CE64" s="62">
        <f t="shared" si="40"/>
        <v>160.81140876142001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213.80112</v>
      </c>
      <c r="CV64" s="14">
        <f t="shared" si="41"/>
        <v>52.765356850602878</v>
      </c>
      <c r="CW64" s="22">
        <f t="shared" si="13"/>
        <v>464.2699471814667</v>
      </c>
      <c r="CX64" s="62">
        <f t="shared" si="14"/>
        <v>757.60328051479996</v>
      </c>
      <c r="CY64" s="62">
        <f ca="1">AVERAGE(OFFSET($CX$3,0,0,'Données projet'!$E$13+1,1))-AVERAGE(OFFSET($H$3,0,0,'Données projet'!$E$13+1,1))</f>
        <v>411.60020200960821</v>
      </c>
      <c r="CZ64" s="62">
        <f t="shared" si="42"/>
        <v>261.95434270986397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8.8112638320232228E-5</v>
      </c>
      <c r="DI64" s="24">
        <f t="shared" si="15"/>
        <v>8.8112638320232228E-5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5.6</v>
      </c>
      <c r="DO64" s="13">
        <f>IF('Données projet'!$A$166&gt;35,DO63+DN64-DW63,IF(A64&lt;'Données projet'!$A$166,$DL$205^A64,IF(A64='Données projet'!$A$166,'Données projet'!$B$166,DO63+DN64-DW63)))</f>
        <v>190.60000000000008</v>
      </c>
      <c r="DP64" s="18">
        <f>DO64*VLOOKUP('Données projet'!$B$14,Paramètres!$A$1:$I$89,3,0)*VLOOKUP('Données projet'!$B$14,Paramètres!$A$1:$I$89,5,0)</f>
        <v>124.88112000000005</v>
      </c>
      <c r="DQ64" s="14">
        <f t="shared" si="43"/>
        <v>32.81078523510817</v>
      </c>
      <c r="DR64" s="22">
        <f t="shared" si="16"/>
        <v>274.64673495114681</v>
      </c>
      <c r="DS64" s="62">
        <f t="shared" si="17"/>
        <v>567.98006828448013</v>
      </c>
      <c r="DT64" s="62">
        <f ca="1">AVERAGE(OFFSET($DS$3,0,0,'Données projet'!$E$14+1,1))-AVERAGE(OFFSET($H$3,0,0,'Données projet'!$E$14+1,1))</f>
        <v>240.134073924311</v>
      </c>
      <c r="DU64" s="62">
        <f t="shared" si="44"/>
        <v>237.10378497981156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0.70830608166179265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3.6082494022667791E-4</v>
      </c>
      <c r="ED64" s="24">
        <f t="shared" si="18"/>
        <v>0.70866690660201936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8.6666666666666661</v>
      </c>
      <c r="N65" s="14">
        <f>IF('Données projet'!$A$36&gt;35,N64+M65-V64,IF(A65&lt;'Données projet'!$A$36,$K$205^A65,IF(A65='Données projet'!$A$36,'Données projet'!$B$36,N64+M65-V64)))</f>
        <v>267.33333333333326</v>
      </c>
      <c r="O65" s="14">
        <f>N65*VLOOKUP('Données projet'!$B$9,Paramètres!$A$1:$I$89,3,0)*VLOOKUP('Données projet'!$B$9,Paramètres!$A$1:$I$89,5,0)</f>
        <v>208.51999999999995</v>
      </c>
      <c r="P65" s="14">
        <f t="shared" si="33"/>
        <v>51.612035456318459</v>
      </c>
      <c r="Q65" s="22">
        <f t="shared" si="53"/>
        <v>453.06329508642119</v>
      </c>
      <c r="R65" s="62">
        <f t="shared" si="0"/>
        <v>746.39662841975451</v>
      </c>
      <c r="S65" s="62">
        <f ca="1">AVERAGE(OFFSET($R$3,0,0,'Données projet'!$E$9+1,1))-AVERAGE(OFFSET($H$3,0,0,'Données projet'!$E$9+1,1))</f>
        <v>288.82868507674738</v>
      </c>
      <c r="T65" s="62">
        <f t="shared" si="34"/>
        <v>283.48738729114024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0.71493437126203307</v>
      </c>
      <c r="AB65" s="23">
        <f>EXP(-LN(2)/2)*AB64+(1-EXP(-LN(2)/2))/(LN(2)/2)*V65*Y65*VLOOKUP('Données projet'!$B$9,Paramètres!$A$1:$I$89,3,0)*0.475*44/12</f>
        <v>5.1838631574220691E-5</v>
      </c>
      <c r="AC65" s="24">
        <f t="shared" si="3"/>
        <v>0.71498620989360728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702.06203699024286</v>
      </c>
      <c r="AN65" s="62">
        <f ca="1">AVERAGE(OFFSET($AM$3,0,0,'Données projet'!$E$10+1,1))-AVERAGE(OFFSET($H$3,0,0,'Données projet'!$E$10+1,1))</f>
        <v>371.95849973474657</v>
      </c>
      <c r="AO65" s="62">
        <f t="shared" si="36"/>
        <v>233.32640143610547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2.919782222794619E-4</v>
      </c>
      <c r="AX65" s="23">
        <f t="shared" si="6"/>
        <v>2.919782222794619E-4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216.7744800000001</v>
      </c>
      <c r="BF65" s="14">
        <f t="shared" si="37"/>
        <v>53.41323339156687</v>
      </c>
      <c r="BG65" s="22">
        <f t="shared" si="7"/>
        <v>470.57693415697912</v>
      </c>
      <c r="BH65" s="62">
        <f t="shared" si="8"/>
        <v>763.91026749031244</v>
      </c>
      <c r="BI65" s="62">
        <f ca="1">AVERAGE(OFFSET($BH$3,0,0,'Données projet'!$E$11+1,1))-AVERAGE(OFFSET($H$3,0,0,'Données projet'!$E$11+1,1))</f>
        <v>423.40903481736001</v>
      </c>
      <c r="BJ65" s="62">
        <f t="shared" si="38"/>
        <v>263.03039552465799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3.3728518780558623E-4</v>
      </c>
      <c r="BS65" s="24">
        <f t="shared" si="9"/>
        <v>3.3728518780558623E-4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3.9390243902439024</v>
      </c>
      <c r="BY65" s="13">
        <f>IF('Données projet'!$A$114&gt;35,BY64+BX65-CG64,IF(A65&lt;'Données projet'!$A$114,$BV$205^A65,IF(A65='Données projet'!$A$114,'Données projet'!$B$114,BY64+BX65-CG64)))</f>
        <v>244.21951219512189</v>
      </c>
      <c r="BZ65" s="14">
        <f>BY65*VLOOKUP('Données projet'!$B$12,Paramètres!$A$1:$I$89,3,0)*VLOOKUP('Données projet'!$B$12,Paramètres!$A$1:$I$89,5,0)</f>
        <v>114.29473170731704</v>
      </c>
      <c r="CA65" s="14">
        <f t="shared" si="39"/>
        <v>30.340590312509612</v>
      </c>
      <c r="CB65" s="22">
        <f t="shared" si="10"/>
        <v>251.90651918453139</v>
      </c>
      <c r="CC65" s="62">
        <f t="shared" si="11"/>
        <v>545.23985251786473</v>
      </c>
      <c r="CD65" s="62">
        <f ca="1">AVERAGE(OFFSET($CC$3,0,0,'Données projet'!$E$12+1,1))-AVERAGE(OFFSET($H$3,0,0,'Données projet'!$E$12+1,1))</f>
        <v>264.88170274686757</v>
      </c>
      <c r="CE65" s="62">
        <f t="shared" si="40"/>
        <v>160.81140876142001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221.21424000000002</v>
      </c>
      <c r="CV65" s="14">
        <f t="shared" si="41"/>
        <v>54.378710185570377</v>
      </c>
      <c r="CW65" s="22">
        <f t="shared" si="13"/>
        <v>479.99105490653511</v>
      </c>
      <c r="CX65" s="62">
        <f t="shared" si="14"/>
        <v>773.32438823986843</v>
      </c>
      <c r="CY65" s="62">
        <f ca="1">AVERAGE(OFFSET($CX$3,0,0,'Données projet'!$E$13+1,1))-AVERAGE(OFFSET($H$3,0,0,'Données projet'!$E$13+1,1))</f>
        <v>411.60020200960821</v>
      </c>
      <c r="CZ65" s="62">
        <f t="shared" si="42"/>
        <v>261.95434270986397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6.2305044064473852E-5</v>
      </c>
      <c r="DI65" s="24">
        <f t="shared" si="15"/>
        <v>6.2305044064473852E-5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5.6</v>
      </c>
      <c r="DO65" s="13">
        <f>IF('Données projet'!$A$166&gt;35,DO64+DN65-DW64,IF(A65&lt;'Données projet'!$A$166,$DL$205^A65,IF(A65='Données projet'!$A$166,'Données projet'!$B$166,DO64+DN65-DW64)))</f>
        <v>196.20000000000007</v>
      </c>
      <c r="DP65" s="18">
        <f>DO65*VLOOKUP('Données projet'!$B$14,Paramètres!$A$1:$I$89,3,0)*VLOOKUP('Données projet'!$B$14,Paramètres!$A$1:$I$89,5,0)</f>
        <v>128.55024000000003</v>
      </c>
      <c r="DQ65" s="14">
        <f t="shared" si="43"/>
        <v>33.661144026076663</v>
      </c>
      <c r="DR65" s="22">
        <f t="shared" si="16"/>
        <v>282.51816051208363</v>
      </c>
      <c r="DS65" s="62">
        <f t="shared" si="17"/>
        <v>575.85149384541694</v>
      </c>
      <c r="DT65" s="62">
        <f ca="1">AVERAGE(OFFSET($DS$3,0,0,'Données projet'!$E$14+1,1))-AVERAGE(OFFSET($H$3,0,0,'Données projet'!$E$14+1,1))</f>
        <v>240.134073924311</v>
      </c>
      <c r="DU65" s="62">
        <f t="shared" si="44"/>
        <v>237.10378497981156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0.69441663142445587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2.5514176205551463E-4</v>
      </c>
      <c r="ED65" s="24">
        <f t="shared" si="18"/>
        <v>0.69467177318651141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8.6666666666666661</v>
      </c>
      <c r="N66" s="14">
        <f>IF('Données projet'!$A$36&gt;35,N65+M66-V65,IF(A66&lt;'Données projet'!$A$36,$K$205^A66,IF(A66='Données projet'!$A$36,'Données projet'!$B$36,N65+M66-V65)))</f>
        <v>275.99999999999994</v>
      </c>
      <c r="O66" s="14">
        <f>N66*VLOOKUP('Données projet'!$B$9,Paramètres!$A$1:$I$89,3,0)*VLOOKUP('Données projet'!$B$9,Paramètres!$A$1:$I$89,5,0)</f>
        <v>215.27999999999997</v>
      </c>
      <c r="P66" s="14">
        <f t="shared" si="33"/>
        <v>53.087725740853138</v>
      </c>
      <c r="Q66" s="22">
        <f t="shared" si="53"/>
        <v>467.40712233198587</v>
      </c>
      <c r="R66" s="62">
        <f t="shared" si="0"/>
        <v>760.74045566531913</v>
      </c>
      <c r="S66" s="62">
        <f ca="1">AVERAGE(OFFSET($R$3,0,0,'Données projet'!$E$9+1,1))-AVERAGE(OFFSET($H$3,0,0,'Données projet'!$E$9+1,1))</f>
        <v>288.82868507674738</v>
      </c>
      <c r="T66" s="62">
        <f t="shared" si="34"/>
        <v>283.48738729114024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0.69538445328310816</v>
      </c>
      <c r="AB66" s="23">
        <f>EXP(-LN(2)/2)*AB65+(1-EXP(-LN(2)/2))/(LN(2)/2)*V66*Y66*VLOOKUP('Données projet'!$B$9,Paramètres!$A$1:$I$89,3,0)*0.475*44/12</f>
        <v>3.6655447913562523E-5</v>
      </c>
      <c r="AC66" s="24">
        <f t="shared" si="3"/>
        <v>0.6954211087310217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715.9153277342615</v>
      </c>
      <c r="AN66" s="62">
        <f ca="1">AVERAGE(OFFSET($AM$3,0,0,'Données projet'!$E$10+1,1))-AVERAGE(OFFSET($H$3,0,0,'Données projet'!$E$10+1,1))</f>
        <v>371.95849973474657</v>
      </c>
      <c r="AO66" s="62">
        <f t="shared" si="36"/>
        <v>233.32640143610547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2.0645978093260061E-4</v>
      </c>
      <c r="AX66" s="23">
        <f t="shared" si="6"/>
        <v>2.0645978093260061E-4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224.29992000000007</v>
      </c>
      <c r="BF66" s="14">
        <f t="shared" si="37"/>
        <v>55.048396648853299</v>
      </c>
      <c r="BG66" s="22">
        <f t="shared" si="7"/>
        <v>486.531651496753</v>
      </c>
      <c r="BH66" s="62">
        <f t="shared" si="8"/>
        <v>779.86498483008631</v>
      </c>
      <c r="BI66" s="62">
        <f ca="1">AVERAGE(OFFSET($BH$3,0,0,'Données projet'!$E$11+1,1))-AVERAGE(OFFSET($H$3,0,0,'Données projet'!$E$11+1,1))</f>
        <v>423.40903481736001</v>
      </c>
      <c r="BJ66" s="62">
        <f t="shared" si="38"/>
        <v>263.03039552465799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2.3849664349110826E-4</v>
      </c>
      <c r="BS66" s="24">
        <f t="shared" si="9"/>
        <v>2.3849664349110826E-4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3.9390243902439024</v>
      </c>
      <c r="BY66" s="13">
        <f>IF('Données projet'!$A$114&gt;35,BY65+BX66-CG65,IF(A66&lt;'Données projet'!$A$114,$BV$205^A66,IF(A66='Données projet'!$A$114,'Données projet'!$B$114,BY65+BX66-CG65)))</f>
        <v>248.15853658536579</v>
      </c>
      <c r="BZ66" s="14">
        <f>BY66*VLOOKUP('Données projet'!$B$12,Paramètres!$A$1:$I$89,3,0)*VLOOKUP('Données projet'!$B$12,Paramètres!$A$1:$I$89,5,0)</f>
        <v>116.1381951219512</v>
      </c>
      <c r="CA66" s="14">
        <f t="shared" si="39"/>
        <v>30.772589176320299</v>
      </c>
      <c r="CB66" s="22">
        <f t="shared" si="10"/>
        <v>255.86961598615619</v>
      </c>
      <c r="CC66" s="62">
        <f t="shared" si="11"/>
        <v>549.20294931948956</v>
      </c>
      <c r="CD66" s="62">
        <f ca="1">AVERAGE(OFFSET($CC$3,0,0,'Données projet'!$E$12+1,1))-AVERAGE(OFFSET($H$3,0,0,'Données projet'!$E$12+1,1))</f>
        <v>264.88170274686757</v>
      </c>
      <c r="CE66" s="62">
        <f t="shared" si="40"/>
        <v>160.81140876142001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228.62735999999998</v>
      </c>
      <c r="CV66" s="14">
        <f t="shared" si="41"/>
        <v>55.985781352428695</v>
      </c>
      <c r="CW66" s="22">
        <f t="shared" si="13"/>
        <v>495.70122118881324</v>
      </c>
      <c r="CX66" s="62">
        <f t="shared" si="14"/>
        <v>789.03455452214655</v>
      </c>
      <c r="CY66" s="62">
        <f ca="1">AVERAGE(OFFSET($CX$3,0,0,'Données projet'!$E$13+1,1))-AVERAGE(OFFSET($H$3,0,0,'Données projet'!$E$13+1,1))</f>
        <v>411.60020200960821</v>
      </c>
      <c r="CZ66" s="62">
        <f t="shared" si="42"/>
        <v>261.95434270986397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4.4056319160116114E-5</v>
      </c>
      <c r="DI66" s="24">
        <f t="shared" si="15"/>
        <v>4.4056319160116114E-5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5.6</v>
      </c>
      <c r="DO66" s="13">
        <f>IF('Données projet'!$A$166&gt;35,DO65+DN66-DW65,IF(A66&lt;'Données projet'!$A$166,$DL$205^A66,IF(A66='Données projet'!$A$166,'Données projet'!$B$166,DO65+DN66-DW65)))</f>
        <v>201.80000000000007</v>
      </c>
      <c r="DP66" s="18">
        <f>DO66*VLOOKUP('Données projet'!$B$14,Paramètres!$A$1:$I$89,3,0)*VLOOKUP('Données projet'!$B$14,Paramètres!$A$1:$I$89,5,0)</f>
        <v>132.21936000000005</v>
      </c>
      <c r="DQ66" s="14">
        <f t="shared" si="43"/>
        <v>34.508681932648301</v>
      </c>
      <c r="DR66" s="22">
        <f t="shared" si="16"/>
        <v>290.3846730326959</v>
      </c>
      <c r="DS66" s="62">
        <f t="shared" si="17"/>
        <v>583.71800636602916</v>
      </c>
      <c r="DT66" s="62">
        <f ca="1">AVERAGE(OFFSET($DS$3,0,0,'Données projet'!$E$14+1,1))-AVERAGE(OFFSET($H$3,0,0,'Données projet'!$E$14+1,1))</f>
        <v>240.134073924311</v>
      </c>
      <c r="DU66" s="62">
        <f t="shared" si="44"/>
        <v>237.10378497981156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0.68079954483454519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1.8041247011333896E-4</v>
      </c>
      <c r="ED66" s="24">
        <f t="shared" si="18"/>
        <v>0.68097995730465855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8.6666666666666661</v>
      </c>
      <c r="N67" s="14">
        <f>IF('Données projet'!$A$36&gt;35,N66+M67-V66,IF(A67&lt;'Données projet'!$A$36,$K$205^A67,IF(A67='Données projet'!$A$36,'Données projet'!$B$36,N66+M67-V66)))</f>
        <v>284.66666666666663</v>
      </c>
      <c r="O67" s="14">
        <f>N67*VLOOKUP('Données projet'!$B$9,Paramètres!$A$1:$I$89,3,0)*VLOOKUP('Données projet'!$B$9,Paramètres!$A$1:$I$89,5,0)</f>
        <v>222.04</v>
      </c>
      <c r="P67" s="14">
        <f t="shared" si="33"/>
        <v>54.558031180803546</v>
      </c>
      <c r="Q67" s="22">
        <f t="shared" ref="Q67:Q98" si="54">(O67+P67)*0.475*44/12</f>
        <v>481.74157097323285</v>
      </c>
      <c r="R67" s="62">
        <f t="shared" ref="R67:R130" si="55">Q67+(I67+J67)*44/12</f>
        <v>775.07490430656617</v>
      </c>
      <c r="S67" s="62">
        <f ca="1">AVERAGE(OFFSET($R$3,0,0,'Données projet'!$E$9+1,1))-AVERAGE(OFFSET($H$3,0,0,'Données projet'!$E$9+1,1))</f>
        <v>288.82868507674738</v>
      </c>
      <c r="T67" s="62">
        <f t="shared" si="34"/>
        <v>283.48738729114024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0.67636912883940248</v>
      </c>
      <c r="AB67" s="23">
        <f>EXP(-LN(2)/2)*AB66+(1-EXP(-LN(2)/2))/(LN(2)/2)*V67*Y67*VLOOKUP('Données projet'!$B$9,Paramètres!$A$1:$I$89,3,0)*0.475*44/12</f>
        <v>2.5919315787110345E-5</v>
      </c>
      <c r="AC67" s="24">
        <f t="shared" si="3"/>
        <v>0.67639504815518958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371.95849973474657</v>
      </c>
      <c r="AO67" s="62">
        <f t="shared" si="36"/>
        <v>233.32640143610547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1.4598911113973095E-4</v>
      </c>
      <c r="AX67" s="23">
        <f t="shared" si="6"/>
        <v>1.4598911113973095E-4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231.82536000000005</v>
      </c>
      <c r="BF67" s="14">
        <f t="shared" si="37"/>
        <v>56.677185272788428</v>
      </c>
      <c r="BG67" s="22">
        <f t="shared" si="7"/>
        <v>502.47526635010666</v>
      </c>
      <c r="BH67" s="62">
        <f t="shared" si="8"/>
        <v>795.80859968343998</v>
      </c>
      <c r="BI67" s="62">
        <f ca="1">AVERAGE(OFFSET($BH$3,0,0,'Données projet'!$E$11+1,1))-AVERAGE(OFFSET($H$3,0,0,'Données projet'!$E$11+1,1))</f>
        <v>423.40903481736001</v>
      </c>
      <c r="BJ67" s="62">
        <f t="shared" si="38"/>
        <v>263.03039552465799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1.6864259390279314E-4</v>
      </c>
      <c r="BS67" s="24">
        <f t="shared" si="9"/>
        <v>1.6864259390279314E-4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3.9390243902439024</v>
      </c>
      <c r="BY67" s="13">
        <f>IF('Données projet'!$A$114&gt;35,BY66+BX67-CG66,IF(A67&lt;'Données projet'!$A$114,$BV$205^A67,IF(A67='Données projet'!$A$114,'Données projet'!$B$114,BY66+BX67-CG66)))</f>
        <v>252.0975609756097</v>
      </c>
      <c r="BZ67" s="14">
        <f>BY67*VLOOKUP('Données projet'!$B$12,Paramètres!$A$1:$I$89,3,0)*VLOOKUP('Données projet'!$B$12,Paramètres!$A$1:$I$89,5,0)</f>
        <v>117.98165853658534</v>
      </c>
      <c r="CA67" s="14">
        <f t="shared" si="39"/>
        <v>31.203790572298402</v>
      </c>
      <c r="CB67" s="22">
        <f t="shared" si="10"/>
        <v>259.83132386463916</v>
      </c>
      <c r="CC67" s="62">
        <f t="shared" si="11"/>
        <v>553.16465719797247</v>
      </c>
      <c r="CD67" s="62">
        <f ca="1">AVERAGE(OFFSET($CC$3,0,0,'Données projet'!$E$12+1,1))-AVERAGE(OFFSET($H$3,0,0,'Données projet'!$E$12+1,1))</f>
        <v>264.88170274686757</v>
      </c>
      <c r="CE67" s="62">
        <f t="shared" si="40"/>
        <v>160.81140876142001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236.04048</v>
      </c>
      <c r="CV67" s="14">
        <f t="shared" si="41"/>
        <v>57.586797409506879</v>
      </c>
      <c r="CW67" s="22">
        <f t="shared" si="13"/>
        <v>511.40084148822439</v>
      </c>
      <c r="CX67" s="62">
        <f t="shared" si="14"/>
        <v>804.73417482155764</v>
      </c>
      <c r="CY67" s="62">
        <f ca="1">AVERAGE(OFFSET($CX$3,0,0,'Données projet'!$E$13+1,1))-AVERAGE(OFFSET($H$3,0,0,'Données projet'!$E$13+1,1))</f>
        <v>411.60020200960821</v>
      </c>
      <c r="CZ67" s="62">
        <f t="shared" si="42"/>
        <v>261.95434270986397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3.1152522032236926E-5</v>
      </c>
      <c r="DI67" s="24">
        <f t="shared" si="15"/>
        <v>3.1152522032236926E-5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5.6</v>
      </c>
      <c r="DO67" s="13">
        <f>IF('Données projet'!$A$166&gt;35,DO66+DN67-DW66,IF(A67&lt;'Données projet'!$A$166,$DL$205^A67,IF(A67='Données projet'!$A$166,'Données projet'!$B$166,DO66+DN67-DW66)))</f>
        <v>207.40000000000006</v>
      </c>
      <c r="DP67" s="18">
        <f>DO67*VLOOKUP('Données projet'!$B$14,Paramètres!$A$1:$I$89,3,0)*VLOOKUP('Données projet'!$B$14,Paramètres!$A$1:$I$89,5,0)</f>
        <v>135.88848000000004</v>
      </c>
      <c r="DQ67" s="14">
        <f t="shared" si="43"/>
        <v>35.353486228582177</v>
      </c>
      <c r="DR67" s="22">
        <f t="shared" si="16"/>
        <v>298.2464245147807</v>
      </c>
      <c r="DS67" s="62">
        <f t="shared" si="17"/>
        <v>591.57975784811401</v>
      </c>
      <c r="DT67" s="62">
        <f ca="1">AVERAGE(OFFSET($DS$3,0,0,'Données projet'!$E$14+1,1))-AVERAGE(OFFSET($H$3,0,0,'Données projet'!$E$14+1,1))</f>
        <v>240.134073924311</v>
      </c>
      <c r="DU67" s="62">
        <f t="shared" si="44"/>
        <v>237.10378497981156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0.66744948100705992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1.2757088102775731E-4</v>
      </c>
      <c r="ED67" s="24">
        <f t="shared" si="18"/>
        <v>0.66757705188808769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8.6666666666666661</v>
      </c>
      <c r="N68" s="14">
        <f>IF('Données projet'!$A$36&gt;35,N67+M68-V67,IF(A68&lt;'Données projet'!$A$36,$K$205^A68,IF(A68='Données projet'!$A$36,'Données projet'!$B$36,N67+M68-V67)))</f>
        <v>293.33333333333331</v>
      </c>
      <c r="O68" s="14">
        <f>N68*VLOOKUP('Données projet'!$B$9,Paramètres!$A$1:$I$89,3,0)*VLOOKUP('Données projet'!$B$9,Paramètres!$A$1:$I$89,5,0)</f>
        <v>228.79999999999998</v>
      </c>
      <c r="P68" s="14">
        <f t="shared" si="33"/>
        <v>56.023134533701196</v>
      </c>
      <c r="Q68" s="22">
        <f t="shared" si="54"/>
        <v>496.06695931286293</v>
      </c>
      <c r="R68" s="62">
        <f t="shared" si="55"/>
        <v>789.40029264619625</v>
      </c>
      <c r="S68" s="62">
        <f ca="1">AVERAGE(OFFSET($R$3,0,0,'Données projet'!$E$9+1,1))-AVERAGE(OFFSET($H$3,0,0,'Données projet'!$E$9+1,1))</f>
        <v>288.82868507674738</v>
      </c>
      <c r="T68" s="62">
        <f t="shared" si="34"/>
        <v>283.48738729114024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0.65787377944258241</v>
      </c>
      <c r="AB68" s="23">
        <f>EXP(-LN(2)/2)*AB67+(1-EXP(-LN(2)/2))/(LN(2)/2)*V68*Y68*VLOOKUP('Données projet'!$B$9,Paramètres!$A$1:$I$89,3,0)*0.475*44/12</f>
        <v>1.8327723956781262E-5</v>
      </c>
      <c r="AC68" s="24">
        <f t="shared" ref="AC68:AC131" si="57">SUM(Z68:AB68)</f>
        <v>0.65789210716653923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743.59294134580068</v>
      </c>
      <c r="AN68" s="62">
        <f ca="1">AVERAGE(OFFSET($AM$3,0,0,'Données projet'!$E$10+1,1))-AVERAGE(OFFSET($H$3,0,0,'Données projet'!$E$10+1,1))</f>
        <v>371.95849973474657</v>
      </c>
      <c r="AO68" s="62">
        <f t="shared" si="36"/>
        <v>233.32640143610547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1.032298904663003E-4</v>
      </c>
      <c r="AX68" s="23">
        <f t="shared" ref="AX68:AX131" si="60">SUM(AU68:AW68)</f>
        <v>1.032298904663003E-4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239.35080000000005</v>
      </c>
      <c r="BF68" s="14">
        <f t="shared" si="37"/>
        <v>58.299829927807131</v>
      </c>
      <c r="BG68" s="22">
        <f t="shared" ref="BG68:BG131" si="61">(BE68+BF68)*0.475*44/12</f>
        <v>518.4081804575975</v>
      </c>
      <c r="BH68" s="62">
        <f t="shared" ref="BH68:BH131" si="62">BG68+(AY68+AZ68)*44/12</f>
        <v>811.74151379093087</v>
      </c>
      <c r="BI68" s="62">
        <f ca="1">AVERAGE(OFFSET($BH$3,0,0,'Données projet'!$E$11+1,1))-AVERAGE(OFFSET($H$3,0,0,'Données projet'!$E$11+1,1))</f>
        <v>423.40903481736001</v>
      </c>
      <c r="BJ68" s="62">
        <f t="shared" si="38"/>
        <v>263.03039552465799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1.1924832174555416E-4</v>
      </c>
      <c r="BS68" s="24">
        <f t="shared" ref="BS68:BS131" si="63">SUM(BP68:BR68)</f>
        <v>1.1924832174555416E-4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3.9390243902439024</v>
      </c>
      <c r="BY68" s="13">
        <f>IF('Données projet'!$A$114&gt;35,BY67+BX68-CG67,IF(A68&lt;'Données projet'!$A$114,$BV$205^A68,IF(A68='Données projet'!$A$114,'Données projet'!$B$114,BY67+BX68-CG67)))</f>
        <v>256.03658536585363</v>
      </c>
      <c r="BZ68" s="14">
        <f>BY68*VLOOKUP('Données projet'!$B$12,Paramètres!$A$1:$I$89,3,0)*VLOOKUP('Données projet'!$B$12,Paramètres!$A$1:$I$89,5,0)</f>
        <v>119.8251219512195</v>
      </c>
      <c r="CA68" s="14">
        <f t="shared" si="39"/>
        <v>31.634208399770067</v>
      </c>
      <c r="CB68" s="22">
        <f t="shared" ref="CB68:CB131" si="64">(BZ68+CA68)*0.475*44/12</f>
        <v>263.79166702797352</v>
      </c>
      <c r="CC68" s="62">
        <f t="shared" ref="CC68:CC131" si="65">CB68+(BT68+BU68)*44/12</f>
        <v>557.12500036130677</v>
      </c>
      <c r="CD68" s="62">
        <f ca="1">AVERAGE(OFFSET($CC$3,0,0,'Données projet'!$E$12+1,1))-AVERAGE(OFFSET($H$3,0,0,'Données projet'!$E$12+1,1))</f>
        <v>264.88170274686757</v>
      </c>
      <c r="CE68" s="62">
        <f t="shared" si="40"/>
        <v>160.81140876142001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243.45360000000002</v>
      </c>
      <c r="CV68" s="14">
        <f t="shared" si="41"/>
        <v>59.181970343065316</v>
      </c>
      <c r="CW68" s="22">
        <f t="shared" ref="CW68:CW131" si="67">(CU68+CV68)*0.475*44/12</f>
        <v>527.09028501417208</v>
      </c>
      <c r="CX68" s="62">
        <f t="shared" ref="CX68:CX131" si="68">CW68+(CO68+CP68)*44/12</f>
        <v>820.42361834750545</v>
      </c>
      <c r="CY68" s="62">
        <f ca="1">AVERAGE(OFFSET($CX$3,0,0,'Données projet'!$E$13+1,1))-AVERAGE(OFFSET($H$3,0,0,'Données projet'!$E$13+1,1))</f>
        <v>411.60020200960821</v>
      </c>
      <c r="CZ68" s="62">
        <f t="shared" si="42"/>
        <v>261.95434270986397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2.2028159580058057E-5</v>
      </c>
      <c r="DI68" s="24">
        <f t="shared" ref="DI68:DI131" si="69">SUM(DF68:DH68)</f>
        <v>2.2028159580058057E-5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213</v>
      </c>
      <c r="DM68" s="13">
        <f>VLOOKUP(A68,'Données projet'!$A$165:$I$185,9,0)</f>
        <v>5.6</v>
      </c>
      <c r="DN68" s="13">
        <f t="array" ref="DN68">INDEX(DM:DM,MIN(IF(ISNUMBER(DM68:DM264),ROW(DM68:DM264),"")))</f>
        <v>5.6</v>
      </c>
      <c r="DO68" s="13">
        <f>IF('Données projet'!$A$166&gt;35,DO67+DN68-DW67,IF(A68&lt;'Données projet'!$A$166,$DL$205^A68,IF(A68='Données projet'!$A$166,'Données projet'!$B$166,DO67+DN68-DW67)))</f>
        <v>213.00000000000006</v>
      </c>
      <c r="DP68" s="18">
        <f>DO68*VLOOKUP('Données projet'!$B$14,Paramètres!$A$1:$I$89,3,0)*VLOOKUP('Données projet'!$B$14,Paramètres!$A$1:$I$89,5,0)</f>
        <v>139.55760000000004</v>
      </c>
      <c r="DQ68" s="14">
        <f t="shared" si="43"/>
        <v>36.195639206392919</v>
      </c>
      <c r="DR68" s="22">
        <f t="shared" ref="DR68:DR131" si="70">(DP68+DQ68)*0.475*44/12</f>
        <v>306.10355828446768</v>
      </c>
      <c r="DS68" s="62">
        <f t="shared" ref="DS68:DS131" si="71">DR68+(DJ68+DK68)*44/12</f>
        <v>599.43689161780094</v>
      </c>
      <c r="DT68" s="62">
        <f ca="1">AVERAGE(OFFSET($DS$3,0,0,'Données projet'!$E$14+1,1))-AVERAGE(OFFSET($H$3,0,0,'Données projet'!$E$14+1,1))</f>
        <v>240.134073924311</v>
      </c>
      <c r="DU68" s="62">
        <f t="shared" si="44"/>
        <v>237.10378497981156</v>
      </c>
      <c r="DV68" s="16">
        <f>IF(ISNA(VLOOKUP(A68,'Données projet'!$A$165:$I$185,3,0)),0,VLOOKUP(A68,'Données projet'!$A$165:$I$185,3,0))</f>
        <v>12</v>
      </c>
      <c r="DW68" s="16">
        <f>IF(ISNA(VLOOKUP(A68,'Données projet'!$A$165:$I$185,4,0)),0,VLOOKUP(A68,'Données projet'!$A$165:$I$185,4,0))</f>
        <v>20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0.65436120378849671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9.0206235056669478E-5</v>
      </c>
      <c r="ED68" s="24">
        <f t="shared" ref="ED68:ED131" si="72">SUM(EA68:EC68)</f>
        <v>0.65445141002355334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8.6666666666666661</v>
      </c>
      <c r="N69" s="14">
        <f>IF('Données projet'!$A$36&gt;35,N68+M69-V68,IF(A69&lt;'Données projet'!$A$36,$K$205^A69,IF(A69='Données projet'!$A$36,'Données projet'!$B$36,N68+M69-V68)))</f>
        <v>302</v>
      </c>
      <c r="O69" s="14">
        <f>N69*VLOOKUP('Données projet'!$B$9,Paramètres!$A$1:$I$89,3,0)*VLOOKUP('Données projet'!$B$9,Paramètres!$A$1:$I$89,5,0)</f>
        <v>235.56</v>
      </c>
      <c r="P69" s="14">
        <f t="shared" ref="P69:P132" si="87">EXP(-1.0587+0.8836*LN(O69)+0.284)</f>
        <v>57.483207143847721</v>
      </c>
      <c r="Q69" s="22">
        <f t="shared" si="54"/>
        <v>510.38358577553481</v>
      </c>
      <c r="R69" s="62">
        <f t="shared" si="55"/>
        <v>803.71691910886807</v>
      </c>
      <c r="S69" s="62">
        <f ca="1">AVERAGE(OFFSET($R$3,0,0,'Données projet'!$E$9+1,1))-AVERAGE(OFFSET($H$3,0,0,'Données projet'!$E$9+1,1))</f>
        <v>288.82868507674738</v>
      </c>
      <c r="T69" s="62">
        <f t="shared" ref="T69:T132" si="88">$T$3</f>
        <v>283.48738729114024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0.63988418634764654</v>
      </c>
      <c r="AB69" s="23">
        <f>EXP(-LN(2)/2)*AB68+(1-EXP(-LN(2)/2))/(LN(2)/2)*V69*Y69*VLOOKUP('Données projet'!$B$9,Paramètres!$A$1:$I$89,3,0)*0.475*44/12</f>
        <v>1.2959657893555173E-5</v>
      </c>
      <c r="AC69" s="24">
        <f t="shared" si="57"/>
        <v>0.63989714600554015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716.30000015441942</v>
      </c>
      <c r="AN69" s="62">
        <f ca="1">AVERAGE(OFFSET($AM$3,0,0,'Données projet'!$E$10+1,1))-AVERAGE(OFFSET($H$3,0,0,'Données projet'!$E$10+1,1))</f>
        <v>371.95849973474657</v>
      </c>
      <c r="AO69" s="62">
        <f t="shared" ref="AO69:AO132" si="90">$AO$3</f>
        <v>233.32640143610547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7.2994555569865475E-5</v>
      </c>
      <c r="AX69" s="23">
        <f t="shared" si="60"/>
        <v>7.2994555569865475E-5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224.50896000000006</v>
      </c>
      <c r="BF69" s="14">
        <f t="shared" ref="BF69:BF132" si="91">EXP(-1.0587+0.8836*LN(BE69)+0.284)</f>
        <v>55.093725750341399</v>
      </c>
      <c r="BG69" s="22">
        <f t="shared" si="61"/>
        <v>486.97467768184464</v>
      </c>
      <c r="BH69" s="62">
        <f t="shared" si="62"/>
        <v>780.30801101517795</v>
      </c>
      <c r="BI69" s="62">
        <f ca="1">AVERAGE(OFFSET($BH$3,0,0,'Données projet'!$E$11+1,1))-AVERAGE(OFFSET($H$3,0,0,'Données projet'!$E$11+1,1))</f>
        <v>423.40903481736001</v>
      </c>
      <c r="BJ69" s="62">
        <f t="shared" ref="BJ69:BJ132" si="92">$BJ$3</f>
        <v>263.03039552465799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8.4321296951396586E-5</v>
      </c>
      <c r="BS69" s="24">
        <f t="shared" si="63"/>
        <v>8.4321296951396586E-5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3.9390243902439024</v>
      </c>
      <c r="BY69" s="13">
        <f>IF('Données projet'!$A$114&gt;35,BY68+BX69-CG68,IF(A69&lt;'Données projet'!$A$114,$BV$205^A69,IF(A69='Données projet'!$A$114,'Données projet'!$B$114,BY68+BX69-CG68)))</f>
        <v>259.97560975609753</v>
      </c>
      <c r="BZ69" s="14">
        <f>BY69*VLOOKUP('Données projet'!$B$12,Paramètres!$A$1:$I$89,3,0)*VLOOKUP('Données projet'!$B$12,Paramètres!$A$1:$I$89,5,0)</f>
        <v>121.66858536585364</v>
      </c>
      <c r="CA69" s="14">
        <f t="shared" ref="CA69:CA132" si="93">EXP(-1.0587+0.8836*LN(BZ69)+0.284)</f>
        <v>32.063856105851123</v>
      </c>
      <c r="CB69" s="22">
        <f t="shared" si="64"/>
        <v>267.75066889655244</v>
      </c>
      <c r="CC69" s="62">
        <f t="shared" si="65"/>
        <v>561.08400222988575</v>
      </c>
      <c r="CD69" s="62">
        <f ca="1">AVERAGE(OFFSET($CC$3,0,0,'Données projet'!$E$12+1,1))-AVERAGE(OFFSET($H$3,0,0,'Données projet'!$E$12+1,1))</f>
        <v>264.88170274686757</v>
      </c>
      <c r="CE69" s="62">
        <f t="shared" ref="CE69:CE132" si="94">$CE$3</f>
        <v>160.81140876142001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226.77408</v>
      </c>
      <c r="CV69" s="14">
        <f t="shared" ref="CV69:CV132" si="95">EXP(-1.0587+0.8836*LN(CU69)+0.284)</f>
        <v>55.584589827360034</v>
      </c>
      <c r="CW69" s="22">
        <f t="shared" si="67"/>
        <v>491.77468328265195</v>
      </c>
      <c r="CX69" s="62">
        <f t="shared" si="68"/>
        <v>785.10801661598521</v>
      </c>
      <c r="CY69" s="62">
        <f ca="1">AVERAGE(OFFSET($CX$3,0,0,'Données projet'!$E$13+1,1))-AVERAGE(OFFSET($H$3,0,0,'Données projet'!$E$13+1,1))</f>
        <v>411.60020200960821</v>
      </c>
      <c r="CZ69" s="62">
        <f t="shared" ref="CZ69:CZ132" si="96">$CZ$3</f>
        <v>261.95434270986397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1.5576261016118463E-5</v>
      </c>
      <c r="DI69" s="24">
        <f t="shared" si="69"/>
        <v>1.5576261016118463E-5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</v>
      </c>
      <c r="DO69" s="13">
        <f>IF('Données projet'!$A$166&gt;35,DO68+DN69-DW68,IF(A69&lt;'Données projet'!$A$166,$DL$205^A69,IF(A69='Données projet'!$A$166,'Données projet'!$B$166,DO68+DN69-DW68)))</f>
        <v>198.00000000000006</v>
      </c>
      <c r="DP69" s="18">
        <f>DO69*VLOOKUP('Données projet'!$B$14,Paramètres!$A$1:$I$89,3,0)*VLOOKUP('Données projet'!$B$14,Paramètres!$A$1:$I$89,5,0)</f>
        <v>129.72960000000003</v>
      </c>
      <c r="DQ69" s="14">
        <f t="shared" ref="DQ69:DQ132" si="97">EXP(-1.0587+0.8836*LN(DP69)+0.284)</f>
        <v>33.933870261867511</v>
      </c>
      <c r="DR69" s="22">
        <f t="shared" si="70"/>
        <v>285.04721070608593</v>
      </c>
      <c r="DS69" s="62">
        <f t="shared" si="71"/>
        <v>578.38054403941919</v>
      </c>
      <c r="DT69" s="62">
        <f ca="1">AVERAGE(OFFSET($DS$3,0,0,'Données projet'!$E$14+1,1))-AVERAGE(OFFSET($H$3,0,0,'Données projet'!$E$14+1,1))</f>
        <v>240.134073924311</v>
      </c>
      <c r="DU69" s="62">
        <f t="shared" ref="DU69:DU132" si="98">$DU$3</f>
        <v>237.10378497981156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0.64152957970312874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6.3785440513878657E-5</v>
      </c>
      <c r="ED69" s="24">
        <f t="shared" si="72"/>
        <v>0.64159336514364262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8.6666666666666661</v>
      </c>
      <c r="N70" s="14">
        <f>IF('Données projet'!$A$36&gt;35,N69+M70-V69,IF(A70&lt;'Données projet'!$A$36,$K$205^A70,IF(A70='Données projet'!$A$36,'Données projet'!$B$36,N69+M70-V69)))</f>
        <v>310.66666666666669</v>
      </c>
      <c r="O70" s="14">
        <f>N70*VLOOKUP('Données projet'!$B$9,Paramètres!$A$1:$I$89,3,0)*VLOOKUP('Données projet'!$B$9,Paramètres!$A$1:$I$89,5,0)</f>
        <v>242.32000000000002</v>
      </c>
      <c r="P70" s="14">
        <f t="shared" si="87"/>
        <v>58.938409961900859</v>
      </c>
      <c r="Q70" s="22">
        <f t="shared" si="54"/>
        <v>524.69173068364398</v>
      </c>
      <c r="R70" s="62">
        <f t="shared" si="55"/>
        <v>818.02506401697724</v>
      </c>
      <c r="S70" s="62">
        <f ca="1">AVERAGE(OFFSET($R$3,0,0,'Données projet'!$E$9+1,1))-AVERAGE(OFFSET($H$3,0,0,'Données projet'!$E$9+1,1))</f>
        <v>288.82868507674738</v>
      </c>
      <c r="T70" s="62">
        <f t="shared" si="88"/>
        <v>283.48738729114024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0.62238651962192326</v>
      </c>
      <c r="AB70" s="23">
        <f>EXP(-LN(2)/2)*AB69+(1-EXP(-LN(2)/2))/(LN(2)/2)*V70*Y70*VLOOKUP('Données projet'!$B$9,Paramètres!$A$1:$I$89,3,0)*0.475*44/12</f>
        <v>9.1638619783906308E-6</v>
      </c>
      <c r="AC70" s="24">
        <f t="shared" si="57"/>
        <v>0.62239568348390162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729.374431277192</v>
      </c>
      <c r="AN70" s="62">
        <f ca="1">AVERAGE(OFFSET($AM$3,0,0,'Données projet'!$E$10+1,1))-AVERAGE(OFFSET($H$3,0,0,'Données projet'!$E$10+1,1))</f>
        <v>371.95849973474657</v>
      </c>
      <c r="AO70" s="62">
        <f t="shared" si="90"/>
        <v>233.32640143610547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5.1614945233150151E-5</v>
      </c>
      <c r="AX70" s="23">
        <f t="shared" si="60"/>
        <v>5.1614945233150151E-5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231.61632000000006</v>
      </c>
      <c r="BF70" s="14">
        <f t="shared" si="91"/>
        <v>56.632025137557321</v>
      </c>
      <c r="BG70" s="22">
        <f t="shared" si="61"/>
        <v>502.0325344479125</v>
      </c>
      <c r="BH70" s="62">
        <f t="shared" si="62"/>
        <v>795.36586778124581</v>
      </c>
      <c r="BI70" s="62">
        <f ca="1">AVERAGE(OFFSET($BH$3,0,0,'Données projet'!$E$11+1,1))-AVERAGE(OFFSET($H$3,0,0,'Données projet'!$E$11+1,1))</f>
        <v>423.40903481736001</v>
      </c>
      <c r="BJ70" s="62">
        <f t="shared" si="92"/>
        <v>263.03039552465799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5.9624160872777085E-5</v>
      </c>
      <c r="BS70" s="24">
        <f t="shared" si="63"/>
        <v>5.9624160872777085E-5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3.9390243902439024</v>
      </c>
      <c r="BY70" s="13">
        <f>IF('Données projet'!$A$114&gt;35,BY69+BX70-CG69,IF(A70&lt;'Données projet'!$A$114,$BV$205^A70,IF(A70='Données projet'!$A$114,'Données projet'!$B$114,BY69+BX70-CG69)))</f>
        <v>263.91463414634143</v>
      </c>
      <c r="BZ70" s="14">
        <f>BY70*VLOOKUP('Données projet'!$B$12,Paramètres!$A$1:$I$89,3,0)*VLOOKUP('Données projet'!$B$12,Paramètres!$A$1:$I$89,5,0)</f>
        <v>123.51204878048777</v>
      </c>
      <c r="CA70" s="14">
        <f t="shared" si="93"/>
        <v>32.492746706784004</v>
      </c>
      <c r="CB70" s="22">
        <f t="shared" si="64"/>
        <v>271.70835214033167</v>
      </c>
      <c r="CC70" s="62">
        <f t="shared" si="65"/>
        <v>565.04168547366498</v>
      </c>
      <c r="CD70" s="62">
        <f ca="1">AVERAGE(OFFSET($CC$3,0,0,'Données projet'!$E$12+1,1))-AVERAGE(OFFSET($H$3,0,0,'Données projet'!$E$12+1,1))</f>
        <v>264.88170274686757</v>
      </c>
      <c r="CE70" s="62">
        <f t="shared" si="94"/>
        <v>160.81140876142001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233.68176</v>
      </c>
      <c r="CV70" s="14">
        <f t="shared" si="95"/>
        <v>57.078026837098335</v>
      </c>
      <c r="CW70" s="22">
        <f t="shared" si="67"/>
        <v>506.40662874127952</v>
      </c>
      <c r="CX70" s="62">
        <f t="shared" si="68"/>
        <v>799.73996207461278</v>
      </c>
      <c r="CY70" s="62">
        <f ca="1">AVERAGE(OFFSET($CX$3,0,0,'Données projet'!$E$13+1,1))-AVERAGE(OFFSET($H$3,0,0,'Données projet'!$E$13+1,1))</f>
        <v>411.60020200960821</v>
      </c>
      <c r="CZ70" s="62">
        <f t="shared" si="96"/>
        <v>261.95434270986397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1.1014079790029029E-5</v>
      </c>
      <c r="DI70" s="24">
        <f t="shared" si="69"/>
        <v>1.1014079790029029E-5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</v>
      </c>
      <c r="DO70" s="13">
        <f>IF('Données projet'!$A$166&gt;35,DO69+DN70-DW69,IF(A70&lt;'Données projet'!$A$166,$DL$205^A70,IF(A70='Données projet'!$A$166,'Données projet'!$B$166,DO69+DN70-DW69)))</f>
        <v>203.00000000000006</v>
      </c>
      <c r="DP70" s="18">
        <f>DO70*VLOOKUP('Données projet'!$B$14,Paramètres!$A$1:$I$89,3,0)*VLOOKUP('Données projet'!$B$14,Paramètres!$A$1:$I$89,5,0)</f>
        <v>133.00560000000004</v>
      </c>
      <c r="DQ70" s="14">
        <f t="shared" si="97"/>
        <v>34.689938673073549</v>
      </c>
      <c r="DR70" s="22">
        <f t="shared" si="70"/>
        <v>292.06972985560316</v>
      </c>
      <c r="DS70" s="62">
        <f t="shared" si="71"/>
        <v>585.40306318893647</v>
      </c>
      <c r="DT70" s="62">
        <f ca="1">AVERAGE(OFFSET($DS$3,0,0,'Données projet'!$E$14+1,1))-AVERAGE(OFFSET($H$3,0,0,'Données projet'!$E$14+1,1))</f>
        <v>240.134073924311</v>
      </c>
      <c r="DU70" s="62">
        <f t="shared" si="98"/>
        <v>237.10378497981156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0.62894957593955692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4.5103117528334739E-5</v>
      </c>
      <c r="ED70" s="24">
        <f t="shared" si="72"/>
        <v>0.62899467905708528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8.6666666666666661</v>
      </c>
      <c r="N71" s="14">
        <f>IF('Données projet'!$A$36&gt;35,N70+M71-V70,IF(A71&lt;'Données projet'!$A$36,$K$205^A71,IF(A71='Données projet'!$A$36,'Données projet'!$B$36,N70+M71-V70)))</f>
        <v>319.33333333333337</v>
      </c>
      <c r="O71" s="14">
        <f>N71*VLOOKUP('Données projet'!$B$9,Paramètres!$A$1:$I$89,3,0)*VLOOKUP('Données projet'!$B$9,Paramètres!$A$1:$I$89,5,0)</f>
        <v>249.08000000000004</v>
      </c>
      <c r="P71" s="14">
        <f t="shared" si="87"/>
        <v>60.388894447487807</v>
      </c>
      <c r="Q71" s="22">
        <f t="shared" si="54"/>
        <v>538.99165782937473</v>
      </c>
      <c r="R71" s="62">
        <f t="shared" si="55"/>
        <v>832.3249911627081</v>
      </c>
      <c r="S71" s="62">
        <f ca="1">AVERAGE(OFFSET($R$3,0,0,'Données projet'!$E$9+1,1))-AVERAGE(OFFSET($H$3,0,0,'Données projet'!$E$9+1,1))</f>
        <v>288.82868507674738</v>
      </c>
      <c r="T71" s="62">
        <f t="shared" si="88"/>
        <v>283.48738729114024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0.60536732751297717</v>
      </c>
      <c r="AB71" s="23">
        <f>EXP(-LN(2)/2)*AB70+(1-EXP(-LN(2)/2))/(LN(2)/2)*V71*Y71*VLOOKUP('Données projet'!$B$9,Paramètres!$A$1:$I$89,3,0)*0.475*44/12</f>
        <v>6.4798289467775864E-6</v>
      </c>
      <c r="AC71" s="24">
        <f t="shared" si="57"/>
        <v>0.60537380734192392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742.4404515486342</v>
      </c>
      <c r="AN71" s="62">
        <f ca="1">AVERAGE(OFFSET($AM$3,0,0,'Données projet'!$E$10+1,1))-AVERAGE(OFFSET($H$3,0,0,'Données projet'!$E$10+1,1))</f>
        <v>371.95849973474657</v>
      </c>
      <c r="AO71" s="62">
        <f t="shared" si="90"/>
        <v>233.32640143610547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3.6497277784932738E-5</v>
      </c>
      <c r="AX71" s="23">
        <f t="shared" si="60"/>
        <v>3.6497277784932738E-5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238.72368000000009</v>
      </c>
      <c r="BF71" s="14">
        <f t="shared" si="91"/>
        <v>58.164838855295393</v>
      </c>
      <c r="BG71" s="22">
        <f t="shared" si="61"/>
        <v>517.0808370063063</v>
      </c>
      <c r="BH71" s="62">
        <f t="shared" si="62"/>
        <v>810.41417033963967</v>
      </c>
      <c r="BI71" s="62">
        <f ca="1">AVERAGE(OFFSET($BH$3,0,0,'Données projet'!$E$11+1,1))-AVERAGE(OFFSET($H$3,0,0,'Données projet'!$E$11+1,1))</f>
        <v>423.40903481736001</v>
      </c>
      <c r="BJ71" s="62">
        <f t="shared" si="92"/>
        <v>263.03039552465799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4.21606484756983E-5</v>
      </c>
      <c r="BS71" s="24">
        <f t="shared" si="63"/>
        <v>4.21606484756983E-5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3.9390243902439024</v>
      </c>
      <c r="BY71" s="13">
        <f>IF('Données projet'!$A$114&gt;35,BY70+BX71-CG70,IF(A71&lt;'Données projet'!$A$114,$BV$205^A71,IF(A71='Données projet'!$A$114,'Données projet'!$B$114,BY70+BX71-CG70)))</f>
        <v>267.85365853658533</v>
      </c>
      <c r="BZ71" s="14">
        <f>BY71*VLOOKUP('Données projet'!$B$12,Paramètres!$A$1:$I$89,3,0)*VLOOKUP('Données projet'!$B$12,Paramètres!$A$1:$I$89,5,0)</f>
        <v>125.35551219512193</v>
      </c>
      <c r="CA71" s="14">
        <f t="shared" si="93"/>
        <v>32.920892807964627</v>
      </c>
      <c r="CB71" s="22">
        <f t="shared" si="64"/>
        <v>275.66473871370903</v>
      </c>
      <c r="CC71" s="62">
        <f t="shared" si="65"/>
        <v>568.99807204704234</v>
      </c>
      <c r="CD71" s="62">
        <f ca="1">AVERAGE(OFFSET($CC$3,0,0,'Données projet'!$E$12+1,1))-AVERAGE(OFFSET($H$3,0,0,'Données projet'!$E$12+1,1))</f>
        <v>264.88170274686757</v>
      </c>
      <c r="CE71" s="62">
        <f t="shared" si="94"/>
        <v>160.81140876142001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240.58944</v>
      </c>
      <c r="CV71" s="14">
        <f t="shared" si="95"/>
        <v>58.56633325847811</v>
      </c>
      <c r="CW71" s="22">
        <f t="shared" si="67"/>
        <v>521.02963842518272</v>
      </c>
      <c r="CX71" s="62">
        <f t="shared" si="68"/>
        <v>814.3629717585161</v>
      </c>
      <c r="CY71" s="62">
        <f ca="1">AVERAGE(OFFSET($CX$3,0,0,'Données projet'!$E$13+1,1))-AVERAGE(OFFSET($H$3,0,0,'Données projet'!$E$13+1,1))</f>
        <v>411.60020200960821</v>
      </c>
      <c r="CZ71" s="62">
        <f t="shared" si="96"/>
        <v>261.95434270986397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7.7881305080592315E-6</v>
      </c>
      <c r="DI71" s="24">
        <f t="shared" si="69"/>
        <v>7.7881305080592315E-6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</v>
      </c>
      <c r="DO71" s="13">
        <f>IF('Données projet'!$A$166&gt;35,DO70+DN71-DW70,IF(A71&lt;'Données projet'!$A$166,$DL$205^A71,IF(A71='Données projet'!$A$166,'Données projet'!$B$166,DO70+DN71-DW70)))</f>
        <v>208.00000000000006</v>
      </c>
      <c r="DP71" s="18">
        <f>DO71*VLOOKUP('Données projet'!$B$14,Paramètres!$A$1:$I$89,3,0)*VLOOKUP('Données projet'!$B$14,Paramètres!$A$1:$I$89,5,0)</f>
        <v>136.28160000000003</v>
      </c>
      <c r="DQ71" s="14">
        <f t="shared" si="97"/>
        <v>35.443842312892279</v>
      </c>
      <c r="DR71" s="22">
        <f t="shared" si="70"/>
        <v>299.08847869495412</v>
      </c>
      <c r="DS71" s="62">
        <f t="shared" si="71"/>
        <v>592.42181202828738</v>
      </c>
      <c r="DT71" s="62">
        <f ca="1">AVERAGE(OFFSET($DS$3,0,0,'Données projet'!$E$14+1,1))-AVERAGE(OFFSET($H$3,0,0,'Données projet'!$E$14+1,1))</f>
        <v>240.134073924311</v>
      </c>
      <c r="DU71" s="62">
        <f t="shared" si="98"/>
        <v>237.10378497981156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0.61661625837674405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3.1892720256939328E-5</v>
      </c>
      <c r="ED71" s="24">
        <f t="shared" si="72"/>
        <v>0.616648151097001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328</v>
      </c>
      <c r="L72" s="13">
        <f>VLOOKUP(A72,'Données projet'!$A$35:$I$55,9,0)</f>
        <v>8.6666666666666661</v>
      </c>
      <c r="M72" s="13">
        <f t="array" ref="M72">INDEX(L:L,MIN(IF(ISNUMBER(L72:L268),ROW(L72:L268),"")))</f>
        <v>8.6666666666666661</v>
      </c>
      <c r="N72" s="14">
        <f>IF('Données projet'!$A$36&gt;35,N71+M72-V71,IF(A72&lt;'Données projet'!$A$36,$K$205^A72,IF(A72='Données projet'!$A$36,'Données projet'!$B$36,N71+M72-V71)))</f>
        <v>328.00000000000006</v>
      </c>
      <c r="O72" s="14">
        <f>N72*VLOOKUP('Données projet'!$B$9,Paramètres!$A$1:$I$89,3,0)*VLOOKUP('Données projet'!$B$9,Paramètres!$A$1:$I$89,5,0)</f>
        <v>255.84000000000006</v>
      </c>
      <c r="P72" s="14">
        <f t="shared" si="87"/>
        <v>61.834803371075836</v>
      </c>
      <c r="Q72" s="22">
        <f t="shared" si="54"/>
        <v>553.28361587129041</v>
      </c>
      <c r="R72" s="62">
        <f t="shared" si="55"/>
        <v>846.61694920462378</v>
      </c>
      <c r="S72" s="62">
        <f ca="1">AVERAGE(OFFSET($R$3,0,0,'Données projet'!$E$9+1,1))-AVERAGE(OFFSET($H$3,0,0,'Données projet'!$E$9+1,1))</f>
        <v>288.82868507674738</v>
      </c>
      <c r="T72" s="62">
        <f t="shared" si="88"/>
        <v>283.48738729114024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328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0.58881352610725068</v>
      </c>
      <c r="AB72" s="23">
        <f>EXP(-LN(2)/2)*AB71+(1-EXP(-LN(2)/2))/(LN(2)/2)*V72*Y72*VLOOKUP('Données projet'!$B$9,Paramètres!$A$1:$I$89,3,0)*0.475*44/12</f>
        <v>4.5819309891953154E-6</v>
      </c>
      <c r="AC72" s="24">
        <f t="shared" si="57"/>
        <v>0.58881810803823986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755.49834012695464</v>
      </c>
      <c r="AN72" s="62">
        <f ca="1">AVERAGE(OFFSET($AM$3,0,0,'Données projet'!$E$10+1,1))-AVERAGE(OFFSET($H$3,0,0,'Données projet'!$E$10+1,1))</f>
        <v>371.95849973474657</v>
      </c>
      <c r="AO72" s="62">
        <f t="shared" si="90"/>
        <v>233.32640143610547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2.5807472616575076E-5</v>
      </c>
      <c r="AX72" s="23">
        <f t="shared" si="60"/>
        <v>2.5807472616575076E-5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245.83104000000012</v>
      </c>
      <c r="BF72" s="14">
        <f t="shared" si="91"/>
        <v>59.692348974264561</v>
      </c>
      <c r="BG72" s="22">
        <f t="shared" si="61"/>
        <v>532.11990246351093</v>
      </c>
      <c r="BH72" s="62">
        <f t="shared" si="62"/>
        <v>825.45323579684418</v>
      </c>
      <c r="BI72" s="62">
        <f ca="1">AVERAGE(OFFSET($BH$3,0,0,'Données projet'!$E$11+1,1))-AVERAGE(OFFSET($H$3,0,0,'Données projet'!$E$11+1,1))</f>
        <v>423.40903481736001</v>
      </c>
      <c r="BJ72" s="62">
        <f t="shared" si="92"/>
        <v>263.03039552465799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2.9812080436388549E-5</v>
      </c>
      <c r="BS72" s="24">
        <f t="shared" si="63"/>
        <v>2.9812080436388549E-5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3.9390243902439024</v>
      </c>
      <c r="BY72" s="13">
        <f>IF('Données projet'!$A$114&gt;35,BY71+BX72-CG71,IF(A72&lt;'Données projet'!$A$114,$BV$205^A72,IF(A72='Données projet'!$A$114,'Données projet'!$B$114,BY71+BX72-CG71)))</f>
        <v>271.79268292682923</v>
      </c>
      <c r="BZ72" s="14">
        <f>BY72*VLOOKUP('Données projet'!$B$12,Paramètres!$A$1:$I$89,3,0)*VLOOKUP('Données projet'!$B$12,Paramètres!$A$1:$I$89,5,0)</f>
        <v>127.19897560975608</v>
      </c>
      <c r="CA72" s="14">
        <f t="shared" si="93"/>
        <v>33.348306622758109</v>
      </c>
      <c r="CB72" s="22">
        <f t="shared" si="64"/>
        <v>279.61984988829551</v>
      </c>
      <c r="CC72" s="62">
        <f t="shared" si="65"/>
        <v>572.95318322162882</v>
      </c>
      <c r="CD72" s="62">
        <f ca="1">AVERAGE(OFFSET($CC$3,0,0,'Données projet'!$E$12+1,1))-AVERAGE(OFFSET($H$3,0,0,'Données projet'!$E$12+1,1))</f>
        <v>264.88170274686757</v>
      </c>
      <c r="CE72" s="62">
        <f t="shared" si="94"/>
        <v>160.81140876142001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247.49712</v>
      </c>
      <c r="CV72" s="14">
        <f t="shared" si="95"/>
        <v>60.049673316050104</v>
      </c>
      <c r="CW72" s="22">
        <f t="shared" si="67"/>
        <v>535.64399835878714</v>
      </c>
      <c r="CX72" s="62">
        <f t="shared" si="68"/>
        <v>828.97733169212052</v>
      </c>
      <c r="CY72" s="62">
        <f ca="1">AVERAGE(OFFSET($CX$3,0,0,'Données projet'!$E$13+1,1))-AVERAGE(OFFSET($H$3,0,0,'Données projet'!$E$13+1,1))</f>
        <v>411.60020200960821</v>
      </c>
      <c r="CZ72" s="62">
        <f t="shared" si="96"/>
        <v>261.95434270986397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5.5070398950145143E-6</v>
      </c>
      <c r="DI72" s="24">
        <f t="shared" si="69"/>
        <v>5.5070398950145143E-6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</v>
      </c>
      <c r="DO72" s="13">
        <f>IF('Données projet'!$A$166&gt;35,DO71+DN72-DW71,IF(A72&lt;'Données projet'!$A$166,$DL$205^A72,IF(A72='Données projet'!$A$166,'Données projet'!$B$166,DO71+DN72-DW71)))</f>
        <v>213.00000000000006</v>
      </c>
      <c r="DP72" s="18">
        <f>DO72*VLOOKUP('Données projet'!$B$14,Paramètres!$A$1:$I$89,3,0)*VLOOKUP('Données projet'!$B$14,Paramètres!$A$1:$I$89,5,0)</f>
        <v>139.55760000000004</v>
      </c>
      <c r="DQ72" s="14">
        <f t="shared" si="97"/>
        <v>36.195639206392919</v>
      </c>
      <c r="DR72" s="22">
        <f t="shared" si="70"/>
        <v>306.10355828446768</v>
      </c>
      <c r="DS72" s="62">
        <f t="shared" si="71"/>
        <v>599.43689161780094</v>
      </c>
      <c r="DT72" s="62">
        <f ca="1">AVERAGE(OFFSET($DS$3,0,0,'Données projet'!$E$14+1,1))-AVERAGE(OFFSET($H$3,0,0,'Données projet'!$E$14+1,1))</f>
        <v>240.134073924311</v>
      </c>
      <c r="DU72" s="62">
        <f t="shared" si="98"/>
        <v>237.10378497981156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0.604524789648757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2.255155876416737E-5</v>
      </c>
      <c r="ED72" s="24">
        <f t="shared" si="72"/>
        <v>0.60454734120752118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4.4337866711430253E-14</v>
      </c>
      <c r="P73" s="14">
        <f t="shared" si="87"/>
        <v>7.3222115536967035E-13</v>
      </c>
      <c r="Q73" s="22">
        <f t="shared" si="54"/>
        <v>1.3525069634579169E-12</v>
      </c>
      <c r="R73" s="62">
        <f t="shared" si="55"/>
        <v>293.33333333333468</v>
      </c>
      <c r="S73" s="62">
        <f ca="1">AVERAGE(OFFSET($R$3,0,0,'Données projet'!$E$9+1,1))-AVERAGE(OFFSET($H$3,0,0,'Données projet'!$E$9+1,1))</f>
        <v>288.82868507674738</v>
      </c>
      <c r="T73" s="62">
        <f t="shared" si="88"/>
        <v>283.48738729114024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0.57271238927149037</v>
      </c>
      <c r="AB73" s="23">
        <f>EXP(-LN(2)/2)*AB72+(1-EXP(-LN(2)/2))/(LN(2)/2)*V73*Y73*VLOOKUP('Données projet'!$B$9,Paramètres!$A$1:$I$89,3,0)*0.475*44/12</f>
        <v>3.2399144733887932E-6</v>
      </c>
      <c r="AC73" s="24">
        <f t="shared" si="57"/>
        <v>0.57271562918596375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768.54835911062378</v>
      </c>
      <c r="AN73" s="62">
        <f ca="1">AVERAGE(OFFSET($AM$3,0,0,'Données projet'!$E$10+1,1))-AVERAGE(OFFSET($H$3,0,0,'Données projet'!$E$10+1,1))</f>
        <v>371.95849973474657</v>
      </c>
      <c r="AO73" s="62">
        <f t="shared" si="90"/>
        <v>233.32640143610547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1.8248638892466369E-5</v>
      </c>
      <c r="AX73" s="23">
        <f t="shared" si="60"/>
        <v>1.8248638892466369E-5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252.93840000000012</v>
      </c>
      <c r="BF73" s="14">
        <f t="shared" si="91"/>
        <v>61.214726438585039</v>
      </c>
      <c r="BG73" s="22">
        <f t="shared" si="61"/>
        <v>547.1500285472024</v>
      </c>
      <c r="BH73" s="62">
        <f t="shared" si="62"/>
        <v>840.48336188053577</v>
      </c>
      <c r="BI73" s="62">
        <f ca="1">AVERAGE(OFFSET($BH$3,0,0,'Données projet'!$E$11+1,1))-AVERAGE(OFFSET($H$3,0,0,'Données projet'!$E$11+1,1))</f>
        <v>423.40903481736001</v>
      </c>
      <c r="BJ73" s="62">
        <f t="shared" si="92"/>
        <v>263.03039552465799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2.1080324237849153E-5</v>
      </c>
      <c r="BS73" s="24">
        <f t="shared" si="63"/>
        <v>2.1080324237849153E-5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3.9390243902439024</v>
      </c>
      <c r="BY73" s="13">
        <f>IF('Données projet'!$A$114&gt;35,BY72+BX73-CG72,IF(A73&lt;'Données projet'!$A$114,$BV$205^A73,IF(A73='Données projet'!$A$114,'Données projet'!$B$114,BY72+BX73-CG72)))</f>
        <v>275.73170731707313</v>
      </c>
      <c r="BZ73" s="14">
        <f>BY73*VLOOKUP('Données projet'!$B$12,Paramètres!$A$1:$I$89,3,0)*VLOOKUP('Données projet'!$B$12,Paramètres!$A$1:$I$89,5,0)</f>
        <v>129.04243902439023</v>
      </c>
      <c r="CA73" s="14">
        <f t="shared" si="93"/>
        <v>33.774999990192164</v>
      </c>
      <c r="CB73" s="22">
        <f t="shared" si="64"/>
        <v>283.57370628373098</v>
      </c>
      <c r="CC73" s="62">
        <f t="shared" si="65"/>
        <v>576.90703961706436</v>
      </c>
      <c r="CD73" s="62">
        <f ca="1">AVERAGE(OFFSET($CC$3,0,0,'Données projet'!$E$12+1,1))-AVERAGE(OFFSET($H$3,0,0,'Données projet'!$E$12+1,1))</f>
        <v>264.88170274686757</v>
      </c>
      <c r="CE73" s="62">
        <f t="shared" si="94"/>
        <v>160.81140876142001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254.40479999999999</v>
      </c>
      <c r="CV73" s="14">
        <f t="shared" si="95"/>
        <v>61.52820154571765</v>
      </c>
      <c r="CW73" s="22">
        <f t="shared" si="67"/>
        <v>550.24997769212484</v>
      </c>
      <c r="CX73" s="62">
        <f t="shared" si="68"/>
        <v>843.58331102545822</v>
      </c>
      <c r="CY73" s="62">
        <f ca="1">AVERAGE(OFFSET($CX$3,0,0,'Données projet'!$E$13+1,1))-AVERAGE(OFFSET($H$3,0,0,'Données projet'!$E$13+1,1))</f>
        <v>411.60020200960821</v>
      </c>
      <c r="CZ73" s="62">
        <f t="shared" si="96"/>
        <v>261.95434270986397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3.8940652540296157E-6</v>
      </c>
      <c r="DI73" s="24">
        <f t="shared" si="69"/>
        <v>3.8940652540296157E-6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218</v>
      </c>
      <c r="DM73" s="13">
        <f>VLOOKUP(A73,'Données projet'!$A$165:$I$185,9,0)</f>
        <v>5</v>
      </c>
      <c r="DN73" s="13">
        <f t="array" ref="DN73">INDEX(DM:DM,MIN(IF(ISNUMBER(DM73:DM269),ROW(DM73:DM269),"")))</f>
        <v>5</v>
      </c>
      <c r="DO73" s="13">
        <f>IF('Données projet'!$A$166&gt;35,DO72+DN73-DW72,IF(A73&lt;'Données projet'!$A$166,$DL$205^A73,IF(A73='Données projet'!$A$166,'Données projet'!$B$166,DO72+DN73-DW72)))</f>
        <v>218.00000000000006</v>
      </c>
      <c r="DP73" s="18">
        <f>DO73*VLOOKUP('Données projet'!$B$14,Paramètres!$A$1:$I$89,3,0)*VLOOKUP('Données projet'!$B$14,Paramètres!$A$1:$I$89,5,0)</f>
        <v>142.83360000000002</v>
      </c>
      <c r="DQ73" s="14">
        <f t="shared" si="97"/>
        <v>36.945384499054541</v>
      </c>
      <c r="DR73" s="22">
        <f t="shared" si="70"/>
        <v>313.11506466918667</v>
      </c>
      <c r="DS73" s="62">
        <f t="shared" si="71"/>
        <v>606.44839800251998</v>
      </c>
      <c r="DT73" s="62">
        <f ca="1">AVERAGE(OFFSET($DS$3,0,0,'Données projet'!$E$14+1,1))-AVERAGE(OFFSET($H$3,0,0,'Données projet'!$E$14+1,1))</f>
        <v>240.134073924311</v>
      </c>
      <c r="DU73" s="62">
        <f t="shared" si="98"/>
        <v>237.10378497981156</v>
      </c>
      <c r="DV73" s="16">
        <f>IF(ISNA(VLOOKUP(A73,'Données projet'!$A$165:$I$185,3,0)),0,VLOOKUP(A73,'Données projet'!$A$165:$I$185,3,0))</f>
        <v>13</v>
      </c>
      <c r="DW73" s="16">
        <f>IF(ISNA(VLOOKUP(A73,'Données projet'!$A$165:$I$185,4,0)),0,VLOOKUP(A73,'Données projet'!$A$165:$I$185,4,0))</f>
        <v>19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0.59267042724745811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1.5946360128469664E-5</v>
      </c>
      <c r="ED73" s="24">
        <f t="shared" si="72"/>
        <v>0.59268637360758658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4.4337866711430253E-14</v>
      </c>
      <c r="P74" s="14">
        <f t="shared" si="87"/>
        <v>7.3222115536967035E-13</v>
      </c>
      <c r="Q74" s="22">
        <f t="shared" si="54"/>
        <v>1.3525069634579169E-12</v>
      </c>
      <c r="R74" s="62">
        <f t="shared" si="55"/>
        <v>293.33333333333468</v>
      </c>
      <c r="S74" s="62">
        <f ca="1">AVERAGE(OFFSET($R$3,0,0,'Données projet'!$E$9+1,1))-AVERAGE(OFFSET($H$3,0,0,'Données projet'!$E$9+1,1))</f>
        <v>288.82868507674738</v>
      </c>
      <c r="T74" s="62">
        <f t="shared" si="88"/>
        <v>283.48738729114024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0.55705153886922587</v>
      </c>
      <c r="AB74" s="23">
        <f>EXP(-LN(2)/2)*AB73+(1-EXP(-LN(2)/2))/(LN(2)/2)*V74*Y74*VLOOKUP('Données projet'!$B$9,Paramètres!$A$1:$I$89,3,0)*0.475*44/12</f>
        <v>2.2909654945976577E-6</v>
      </c>
      <c r="AC74" s="24">
        <f t="shared" si="57"/>
        <v>0.55705382983472052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740.5194944657726</v>
      </c>
      <c r="AN74" s="62">
        <f ca="1">AVERAGE(OFFSET($AM$3,0,0,'Données projet'!$E$10+1,1))-AVERAGE(OFFSET($H$3,0,0,'Données projet'!$E$10+1,1))</f>
        <v>371.95849973474657</v>
      </c>
      <c r="AO74" s="62">
        <f t="shared" si="90"/>
        <v>233.32640143610547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1.2903736308287538E-5</v>
      </c>
      <c r="AX74" s="23">
        <f t="shared" si="60"/>
        <v>1.2903736308287538E-5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237.67848000000009</v>
      </c>
      <c r="BF74" s="14">
        <f t="shared" si="91"/>
        <v>57.939761932641979</v>
      </c>
      <c r="BG74" s="22">
        <f t="shared" si="61"/>
        <v>514.86843803268494</v>
      </c>
      <c r="BH74" s="62">
        <f t="shared" si="62"/>
        <v>808.20177136601819</v>
      </c>
      <c r="BI74" s="62">
        <f ca="1">AVERAGE(OFFSET($BH$3,0,0,'Données projet'!$E$11+1,1))-AVERAGE(OFFSET($H$3,0,0,'Données projet'!$E$11+1,1))</f>
        <v>423.40903481736001</v>
      </c>
      <c r="BJ74" s="62">
        <f t="shared" si="92"/>
        <v>263.03039552465799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1.4906040218194276E-5</v>
      </c>
      <c r="BS74" s="24">
        <f t="shared" si="63"/>
        <v>1.4906040218194276E-5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3.9390243902439024</v>
      </c>
      <c r="BY74" s="13">
        <f>IF('Données projet'!$A$114&gt;35,BY73+BX74-CG73,IF(A74&lt;'Données projet'!$A$114,$BV$205^A74,IF(A74='Données projet'!$A$114,'Données projet'!$B$114,BY73+BX74-CG73)))</f>
        <v>279.67073170731703</v>
      </c>
      <c r="BZ74" s="14">
        <f>BY74*VLOOKUP('Données projet'!$B$12,Paramètres!$A$1:$I$89,3,0)*VLOOKUP('Données projet'!$B$12,Paramètres!$A$1:$I$89,5,0)</f>
        <v>130.88590243902436</v>
      </c>
      <c r="CA74" s="14">
        <f t="shared" si="93"/>
        <v>34.200984391611101</v>
      </c>
      <c r="CB74" s="22">
        <f t="shared" si="64"/>
        <v>287.52632789669013</v>
      </c>
      <c r="CC74" s="62">
        <f t="shared" si="65"/>
        <v>580.85966123002345</v>
      </c>
      <c r="CD74" s="62">
        <f ca="1">AVERAGE(OFFSET($CC$3,0,0,'Données projet'!$E$12+1,1))-AVERAGE(OFFSET($H$3,0,0,'Données projet'!$E$12+1,1))</f>
        <v>264.88170274686757</v>
      </c>
      <c r="CE74" s="62">
        <f t="shared" si="94"/>
        <v>160.81140876142001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237.21984</v>
      </c>
      <c r="CV74" s="14">
        <f t="shared" si="95"/>
        <v>57.840960489671517</v>
      </c>
      <c r="CW74" s="22">
        <f t="shared" si="67"/>
        <v>513.89756085284455</v>
      </c>
      <c r="CX74" s="62">
        <f t="shared" si="68"/>
        <v>807.23089418617792</v>
      </c>
      <c r="CY74" s="62">
        <f ca="1">AVERAGE(OFFSET($CX$3,0,0,'Données projet'!$E$13+1,1))-AVERAGE(OFFSET($H$3,0,0,'Données projet'!$E$13+1,1))</f>
        <v>411.60020200960821</v>
      </c>
      <c r="CZ74" s="62">
        <f t="shared" si="96"/>
        <v>261.95434270986397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2.7535199475072571E-6</v>
      </c>
      <c r="DI74" s="24">
        <f t="shared" si="69"/>
        <v>2.7535199475072571E-6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4.8</v>
      </c>
      <c r="DO74" s="13">
        <f>IF('Données projet'!$A$166&gt;35,DO73+DN74-DW73,IF(A74&lt;'Données projet'!$A$166,$DL$205^A74,IF(A74='Données projet'!$A$166,'Données projet'!$B$166,DO73+DN74-DW73)))</f>
        <v>203.80000000000007</v>
      </c>
      <c r="DP74" s="18">
        <f>DO74*VLOOKUP('Données projet'!$B$14,Paramètres!$A$1:$I$89,3,0)*VLOOKUP('Données projet'!$B$14,Paramètres!$A$1:$I$89,5,0)</f>
        <v>133.52976000000007</v>
      </c>
      <c r="DQ74" s="14">
        <f t="shared" si="97"/>
        <v>34.810707184454238</v>
      </c>
      <c r="DR74" s="22">
        <f t="shared" si="70"/>
        <v>293.19298034625791</v>
      </c>
      <c r="DS74" s="62">
        <f t="shared" si="71"/>
        <v>586.52631367959123</v>
      </c>
      <c r="DT74" s="62">
        <f ca="1">AVERAGE(OFFSET($DS$3,0,0,'Données projet'!$E$14+1,1))-AVERAGE(OFFSET($H$3,0,0,'Données projet'!$E$14+1,1))</f>
        <v>240.134073924311</v>
      </c>
      <c r="DU74" s="62">
        <f t="shared" si="98"/>
        <v>237.10378497981156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0.58104852166240162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1.1275779382083685E-5</v>
      </c>
      <c r="ED74" s="24">
        <f t="shared" si="72"/>
        <v>0.58105979744178371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4.4337866711430253E-14</v>
      </c>
      <c r="P75" s="14">
        <f t="shared" si="87"/>
        <v>7.3222115536967035E-13</v>
      </c>
      <c r="Q75" s="22">
        <f t="shared" si="54"/>
        <v>1.3525069634579169E-12</v>
      </c>
      <c r="R75" s="62">
        <f t="shared" si="55"/>
        <v>293.33333333333468</v>
      </c>
      <c r="S75" s="62">
        <f ca="1">AVERAGE(OFFSET($R$3,0,0,'Données projet'!$E$9+1,1))-AVERAGE(OFFSET($H$3,0,0,'Données projet'!$E$9+1,1))</f>
        <v>288.82868507674738</v>
      </c>
      <c r="T75" s="62">
        <f t="shared" si="88"/>
        <v>283.48738729114024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0.54181893524477964</v>
      </c>
      <c r="AB75" s="23">
        <f>EXP(-LN(2)/2)*AB74+(1-EXP(-LN(2)/2))/(LN(2)/2)*V75*Y75*VLOOKUP('Données projet'!$B$9,Paramètres!$A$1:$I$89,3,0)*0.475*44/12</f>
        <v>1.6199572366943966E-6</v>
      </c>
      <c r="AC75" s="24">
        <f t="shared" si="57"/>
        <v>0.54182055520201633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752.81060299470619</v>
      </c>
      <c r="AN75" s="62">
        <f ca="1">AVERAGE(OFFSET($AM$3,0,0,'Données projet'!$E$10+1,1))-AVERAGE(OFFSET($H$3,0,0,'Données projet'!$E$10+1,1))</f>
        <v>371.95849973474657</v>
      </c>
      <c r="AO75" s="62">
        <f t="shared" si="90"/>
        <v>233.32640143610547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9.1243194462331844E-6</v>
      </c>
      <c r="AX75" s="23">
        <f t="shared" si="60"/>
        <v>9.1243194462331844E-6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244.36776000000012</v>
      </c>
      <c r="BF75" s="14">
        <f t="shared" si="91"/>
        <v>59.378286639505248</v>
      </c>
      <c r="BG75" s="22">
        <f t="shared" si="61"/>
        <v>529.02436456380519</v>
      </c>
      <c r="BH75" s="62">
        <f t="shared" si="62"/>
        <v>822.35769789713845</v>
      </c>
      <c r="BI75" s="62">
        <f ca="1">AVERAGE(OFFSET($BH$3,0,0,'Données projet'!$E$11+1,1))-AVERAGE(OFFSET($H$3,0,0,'Données projet'!$E$11+1,1))</f>
        <v>423.40903481736001</v>
      </c>
      <c r="BJ75" s="62">
        <f t="shared" si="92"/>
        <v>263.03039552465799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1.0540162118924578E-5</v>
      </c>
      <c r="BS75" s="24">
        <f t="shared" si="63"/>
        <v>1.0540162118924578E-5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3.9390243902439024</v>
      </c>
      <c r="BY75" s="13">
        <f>IF('Données projet'!$A$114&gt;35,BY74+BX75-CG74,IF(A75&lt;'Données projet'!$A$114,$BV$205^A75,IF(A75='Données projet'!$A$114,'Données projet'!$B$114,BY74+BX75-CG74)))</f>
        <v>283.60975609756093</v>
      </c>
      <c r="BZ75" s="14">
        <f>BY75*VLOOKUP('Données projet'!$B$12,Paramètres!$A$1:$I$89,3,0)*VLOOKUP('Données projet'!$B$12,Paramètres!$A$1:$I$89,5,0)</f>
        <v>132.72936585365852</v>
      </c>
      <c r="CA75" s="14">
        <f t="shared" si="93"/>
        <v>34.626270966364899</v>
      </c>
      <c r="CB75" s="22">
        <f t="shared" si="64"/>
        <v>291.47773412820743</v>
      </c>
      <c r="CC75" s="62">
        <f t="shared" si="65"/>
        <v>584.81106746154069</v>
      </c>
      <c r="CD75" s="62">
        <f ca="1">AVERAGE(OFFSET($CC$3,0,0,'Données projet'!$E$12+1,1))-AVERAGE(OFFSET($H$3,0,0,'Données projet'!$E$12+1,1))</f>
        <v>264.88170274686757</v>
      </c>
      <c r="CE75" s="62">
        <f t="shared" si="94"/>
        <v>160.81140876142001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243.62208000000001</v>
      </c>
      <c r="CV75" s="14">
        <f t="shared" si="95"/>
        <v>59.218157943988587</v>
      </c>
      <c r="CW75" s="22">
        <f t="shared" si="67"/>
        <v>527.44674775244675</v>
      </c>
      <c r="CX75" s="62">
        <f t="shared" si="68"/>
        <v>820.78008108578001</v>
      </c>
      <c r="CY75" s="62">
        <f ca="1">AVERAGE(OFFSET($CX$3,0,0,'Données projet'!$E$13+1,1))-AVERAGE(OFFSET($H$3,0,0,'Données projet'!$E$13+1,1))</f>
        <v>411.60020200960821</v>
      </c>
      <c r="CZ75" s="62">
        <f t="shared" si="96"/>
        <v>261.95434270986397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1.9470326270148079E-6</v>
      </c>
      <c r="DI75" s="24">
        <f t="shared" si="69"/>
        <v>1.9470326270148079E-6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4.8</v>
      </c>
      <c r="DO75" s="13">
        <f>IF('Données projet'!$A$166&gt;35,DO74+DN75-DW74,IF(A75&lt;'Données projet'!$A$166,$DL$205^A75,IF(A75='Données projet'!$A$166,'Données projet'!$B$166,DO74+DN75-DW74)))</f>
        <v>208.60000000000008</v>
      </c>
      <c r="DP75" s="18">
        <f>DO75*VLOOKUP('Données projet'!$B$14,Paramètres!$A$1:$I$89,3,0)*VLOOKUP('Données projet'!$B$14,Paramètres!$A$1:$I$89,5,0)</f>
        <v>136.67472000000004</v>
      </c>
      <c r="DQ75" s="14">
        <f t="shared" si="97"/>
        <v>35.53416806345782</v>
      </c>
      <c r="DR75" s="22">
        <f t="shared" si="70"/>
        <v>299.93048004385577</v>
      </c>
      <c r="DS75" s="62">
        <f t="shared" si="71"/>
        <v>593.26381337718908</v>
      </c>
      <c r="DT75" s="62">
        <f ca="1">AVERAGE(OFFSET($DS$3,0,0,'Données projet'!$E$14+1,1))-AVERAGE(OFFSET($H$3,0,0,'Données projet'!$E$14+1,1))</f>
        <v>240.134073924311</v>
      </c>
      <c r="DU75" s="62">
        <f t="shared" si="98"/>
        <v>237.10378497981156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0.56965451455720562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7.9731800642348321E-6</v>
      </c>
      <c r="ED75" s="24">
        <f t="shared" si="72"/>
        <v>0.5696624877372698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4.4337866711430253E-14</v>
      </c>
      <c r="P76" s="14">
        <f t="shared" si="87"/>
        <v>7.3222115536967035E-13</v>
      </c>
      <c r="Q76" s="22">
        <f t="shared" si="54"/>
        <v>1.3525069634579169E-12</v>
      </c>
      <c r="R76" s="62">
        <f t="shared" si="55"/>
        <v>293.33333333333468</v>
      </c>
      <c r="S76" s="62">
        <f ca="1">AVERAGE(OFFSET($R$3,0,0,'Données projet'!$E$9+1,1))-AVERAGE(OFFSET($H$3,0,0,'Données projet'!$E$9+1,1))</f>
        <v>288.82868507674738</v>
      </c>
      <c r="T76" s="62">
        <f t="shared" si="88"/>
        <v>283.48738729114024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0.52700286796749163</v>
      </c>
      <c r="AB76" s="23">
        <f>EXP(-LN(2)/2)*AB75+(1-EXP(-LN(2)/2))/(LN(2)/2)*V76*Y76*VLOOKUP('Données projet'!$B$9,Paramètres!$A$1:$I$89,3,0)*0.475*44/12</f>
        <v>1.1454827472988289E-6</v>
      </c>
      <c r="AC76" s="24">
        <f t="shared" si="57"/>
        <v>0.52700401345023895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765.09469403538446</v>
      </c>
      <c r="AN76" s="62">
        <f ca="1">AVERAGE(OFFSET($AM$3,0,0,'Données projet'!$E$10+1,1))-AVERAGE(OFFSET($H$3,0,0,'Données projet'!$E$10+1,1))</f>
        <v>371.95849973474657</v>
      </c>
      <c r="AO76" s="62">
        <f t="shared" si="90"/>
        <v>233.32640143610547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6.4518681541437689E-6</v>
      </c>
      <c r="AX76" s="23">
        <f t="shared" si="60"/>
        <v>6.4518681541437689E-6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251.05704000000014</v>
      </c>
      <c r="BF76" s="14">
        <f t="shared" si="91"/>
        <v>60.812234446882229</v>
      </c>
      <c r="BG76" s="22">
        <f t="shared" si="61"/>
        <v>543.17231966165343</v>
      </c>
      <c r="BH76" s="62">
        <f t="shared" si="62"/>
        <v>836.5056529949868</v>
      </c>
      <c r="BI76" s="62">
        <f ca="1">AVERAGE(OFFSET($BH$3,0,0,'Données projet'!$E$11+1,1))-AVERAGE(OFFSET($H$3,0,0,'Données projet'!$E$11+1,1))</f>
        <v>423.40903481736001</v>
      </c>
      <c r="BJ76" s="62">
        <f t="shared" si="92"/>
        <v>263.03039552465799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7.4530201090971391E-6</v>
      </c>
      <c r="BS76" s="24">
        <f t="shared" si="63"/>
        <v>7.4530201090971391E-6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3.9390243902439024</v>
      </c>
      <c r="BY76" s="13">
        <f>IF('Données projet'!$A$114&gt;35,BY75+BX76-CG75,IF(A76&lt;'Données projet'!$A$114,$BV$205^A76,IF(A76='Données projet'!$A$114,'Données projet'!$B$114,BY75+BX76-CG75)))</f>
        <v>287.54878048780483</v>
      </c>
      <c r="BZ76" s="14">
        <f>BY76*VLOOKUP('Données projet'!$B$12,Paramètres!$A$1:$I$89,3,0)*VLOOKUP('Données projet'!$B$12,Paramètres!$A$1:$I$89,5,0)</f>
        <v>134.57282926829268</v>
      </c>
      <c r="CA76" s="14">
        <f t="shared" si="93"/>
        <v>35.050870526601635</v>
      </c>
      <c r="CB76" s="22">
        <f t="shared" si="64"/>
        <v>295.42794380944093</v>
      </c>
      <c r="CC76" s="62">
        <f t="shared" si="65"/>
        <v>588.76127714277425</v>
      </c>
      <c r="CD76" s="62">
        <f ca="1">AVERAGE(OFFSET($CC$3,0,0,'Données projet'!$E$12+1,1))-AVERAGE(OFFSET($H$3,0,0,'Données projet'!$E$12+1,1))</f>
        <v>264.88170274686757</v>
      </c>
      <c r="CE76" s="62">
        <f t="shared" si="94"/>
        <v>160.81140876142001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250.02432000000005</v>
      </c>
      <c r="CV76" s="14">
        <f t="shared" si="95"/>
        <v>60.591148584829206</v>
      </c>
      <c r="CW76" s="22">
        <f t="shared" si="67"/>
        <v>540.9886077852442</v>
      </c>
      <c r="CX76" s="62">
        <f t="shared" si="68"/>
        <v>834.32194111857757</v>
      </c>
      <c r="CY76" s="62">
        <f ca="1">AVERAGE(OFFSET($CX$3,0,0,'Données projet'!$E$13+1,1))-AVERAGE(OFFSET($H$3,0,0,'Données projet'!$E$13+1,1))</f>
        <v>411.60020200960821</v>
      </c>
      <c r="CZ76" s="62">
        <f t="shared" si="96"/>
        <v>261.95434270986397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1.3767599737536286E-6</v>
      </c>
      <c r="DI76" s="24">
        <f t="shared" si="69"/>
        <v>1.3767599737536286E-6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4.8</v>
      </c>
      <c r="DO76" s="13">
        <f>IF('Données projet'!$A$166&gt;35,DO75+DN76-DW75,IF(A76&lt;'Données projet'!$A$166,$DL$205^A76,IF(A76='Données projet'!$A$166,'Données projet'!$B$166,DO75+DN76-DW75)))</f>
        <v>213.40000000000009</v>
      </c>
      <c r="DP76" s="18">
        <f>DO76*VLOOKUP('Données projet'!$B$14,Paramètres!$A$1:$I$89,3,0)*VLOOKUP('Données projet'!$B$14,Paramètres!$A$1:$I$89,5,0)</f>
        <v>139.81968000000006</v>
      </c>
      <c r="DQ76" s="14">
        <f t="shared" si="97"/>
        <v>36.255693617087225</v>
      </c>
      <c r="DR76" s="22">
        <f t="shared" si="70"/>
        <v>306.66460904976032</v>
      </c>
      <c r="DS76" s="62">
        <f t="shared" si="71"/>
        <v>599.99794238309369</v>
      </c>
      <c r="DT76" s="62">
        <f ca="1">AVERAGE(OFFSET($DS$3,0,0,'Données projet'!$E$14+1,1))-AVERAGE(OFFSET($H$3,0,0,'Données projet'!$E$14+1,1))</f>
        <v>240.134073924311</v>
      </c>
      <c r="DU76" s="62">
        <f t="shared" si="98"/>
        <v>237.10378497981156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0.55848393698168441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5.6378896910418424E-6</v>
      </c>
      <c r="ED76" s="24">
        <f t="shared" si="72"/>
        <v>0.5584895748713754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4.4337866711430253E-14</v>
      </c>
      <c r="P77" s="14">
        <f t="shared" si="87"/>
        <v>7.3222115536967035E-13</v>
      </c>
      <c r="Q77" s="22">
        <f t="shared" si="54"/>
        <v>1.3525069634579169E-12</v>
      </c>
      <c r="R77" s="62">
        <f t="shared" si="55"/>
        <v>293.33333333333468</v>
      </c>
      <c r="S77" s="62">
        <f ca="1">AVERAGE(OFFSET($R$3,0,0,'Données projet'!$E$9+1,1))-AVERAGE(OFFSET($H$3,0,0,'Données projet'!$E$9+1,1))</f>
        <v>288.82868507674738</v>
      </c>
      <c r="T77" s="62">
        <f t="shared" si="88"/>
        <v>283.48738729114024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0.51259194682904419</v>
      </c>
      <c r="AB77" s="23">
        <f>EXP(-LN(2)/2)*AB76+(1-EXP(-LN(2)/2))/(LN(2)/2)*V77*Y77*VLOOKUP('Données projet'!$B$9,Paramètres!$A$1:$I$89,3,0)*0.475*44/12</f>
        <v>8.099786183471983E-7</v>
      </c>
      <c r="AC77" s="24">
        <f t="shared" si="57"/>
        <v>0.51259275680766259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777.37197605573681</v>
      </c>
      <c r="AN77" s="62">
        <f ca="1">AVERAGE(OFFSET($AM$3,0,0,'Données projet'!$E$10+1,1))-AVERAGE(OFFSET($H$3,0,0,'Données projet'!$E$10+1,1))</f>
        <v>371.95849973474657</v>
      </c>
      <c r="AO77" s="62">
        <f t="shared" si="90"/>
        <v>233.32640143610547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4.5621597231165922E-6</v>
      </c>
      <c r="AX77" s="23">
        <f t="shared" si="60"/>
        <v>4.5621597231165922E-6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257.74632000000014</v>
      </c>
      <c r="BF77" s="14">
        <f t="shared" si="91"/>
        <v>62.24174132033847</v>
      </c>
      <c r="BG77" s="22">
        <f t="shared" si="61"/>
        <v>557.312540132923</v>
      </c>
      <c r="BH77" s="62">
        <f t="shared" si="62"/>
        <v>850.64587346625626</v>
      </c>
      <c r="BI77" s="62">
        <f ca="1">AVERAGE(OFFSET($BH$3,0,0,'Données projet'!$E$11+1,1))-AVERAGE(OFFSET($H$3,0,0,'Données projet'!$E$11+1,1))</f>
        <v>423.40903481736001</v>
      </c>
      <c r="BJ77" s="62">
        <f t="shared" si="92"/>
        <v>263.03039552465799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5.27008105946229E-6</v>
      </c>
      <c r="BS77" s="24">
        <f t="shared" si="63"/>
        <v>5.27008105946229E-6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3.9390243902439024</v>
      </c>
      <c r="BY77" s="13">
        <f>IF('Données projet'!$A$114&gt;35,BY76+BX77-CG76,IF(A77&lt;'Données projet'!$A$114,$BV$205^A77,IF(A77='Données projet'!$A$114,'Données projet'!$B$114,BY76+BX77-CG76)))</f>
        <v>291.48780487804873</v>
      </c>
      <c r="BZ77" s="14">
        <f>BY77*VLOOKUP('Données projet'!$B$12,Paramètres!$A$1:$I$89,3,0)*VLOOKUP('Données projet'!$B$12,Paramètres!$A$1:$I$89,5,0)</f>
        <v>136.41629268292681</v>
      </c>
      <c r="CA77" s="14">
        <f t="shared" si="93"/>
        <v>35.474793571226506</v>
      </c>
      <c r="CB77" s="22">
        <f t="shared" si="64"/>
        <v>299.3769752259837</v>
      </c>
      <c r="CC77" s="62">
        <f t="shared" si="65"/>
        <v>592.71030855931701</v>
      </c>
      <c r="CD77" s="62">
        <f ca="1">AVERAGE(OFFSET($CC$3,0,0,'Données projet'!$E$12+1,1))-AVERAGE(OFFSET($H$3,0,0,'Données projet'!$E$12+1,1))</f>
        <v>264.88170274686757</v>
      </c>
      <c r="CE77" s="62">
        <f t="shared" si="94"/>
        <v>160.81140876142001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256.42656000000005</v>
      </c>
      <c r="CV77" s="14">
        <f t="shared" si="95"/>
        <v>61.960052520146306</v>
      </c>
      <c r="CW77" s="22">
        <f t="shared" si="67"/>
        <v>554.52335013925483</v>
      </c>
      <c r="CX77" s="62">
        <f t="shared" si="68"/>
        <v>847.8566834725882</v>
      </c>
      <c r="CY77" s="62">
        <f ca="1">AVERAGE(OFFSET($CX$3,0,0,'Données projet'!$E$13+1,1))-AVERAGE(OFFSET($H$3,0,0,'Données projet'!$E$13+1,1))</f>
        <v>411.60020200960821</v>
      </c>
      <c r="CZ77" s="62">
        <f t="shared" si="96"/>
        <v>261.95434270986397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9.7351631350740393E-7</v>
      </c>
      <c r="DI77" s="24">
        <f t="shared" si="69"/>
        <v>9.7351631350740393E-7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4.8</v>
      </c>
      <c r="DO77" s="13">
        <f>IF('Données projet'!$A$166&gt;35,DO76+DN77-DW76,IF(A77&lt;'Données projet'!$A$166,$DL$205^A77,IF(A77='Données projet'!$A$166,'Données projet'!$B$166,DO76+DN77-DW76)))</f>
        <v>218.2000000000001</v>
      </c>
      <c r="DP77" s="18">
        <f>DO77*VLOOKUP('Données projet'!$B$14,Paramètres!$A$1:$I$89,3,0)*VLOOKUP('Données projet'!$B$14,Paramètres!$A$1:$I$89,5,0)</f>
        <v>142.96464000000006</v>
      </c>
      <c r="DQ77" s="14">
        <f t="shared" si="97"/>
        <v>36.975332388300409</v>
      </c>
      <c r="DR77" s="22">
        <f t="shared" si="70"/>
        <v>313.39545190962332</v>
      </c>
      <c r="DS77" s="62">
        <f t="shared" si="71"/>
        <v>606.72878524295663</v>
      </c>
      <c r="DT77" s="62">
        <f ca="1">AVERAGE(OFFSET($DS$3,0,0,'Données projet'!$E$14+1,1))-AVERAGE(OFFSET($H$3,0,0,'Données projet'!$E$14+1,1))</f>
        <v>240.134073924311</v>
      </c>
      <c r="DU77" s="62">
        <f t="shared" si="98"/>
        <v>237.10378497981156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0.54753240761903954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3.9865900321174161E-6</v>
      </c>
      <c r="ED77" s="24">
        <f t="shared" si="72"/>
        <v>0.54753639420907163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4.4337866711430253E-14</v>
      </c>
      <c r="P78" s="14">
        <f t="shared" si="87"/>
        <v>7.3222115536967035E-13</v>
      </c>
      <c r="Q78" s="22">
        <f t="shared" si="54"/>
        <v>1.3525069634579169E-12</v>
      </c>
      <c r="R78" s="62">
        <f t="shared" si="55"/>
        <v>293.33333333333468</v>
      </c>
      <c r="S78" s="62">
        <f ca="1">AVERAGE(OFFSET($R$3,0,0,'Données projet'!$E$9+1,1))-AVERAGE(OFFSET($H$3,0,0,'Données projet'!$E$9+1,1))</f>
        <v>288.82868507674738</v>
      </c>
      <c r="T78" s="62">
        <f t="shared" si="88"/>
        <v>283.48738729114024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0.49857509308696502</v>
      </c>
      <c r="AB78" s="23">
        <f>EXP(-LN(2)/2)*AB77+(1-EXP(-LN(2)/2))/(LN(2)/2)*V78*Y78*VLOOKUP('Données projet'!$B$9,Paramètres!$A$1:$I$89,3,0)*0.475*44/12</f>
        <v>5.7274137364941443E-7</v>
      </c>
      <c r="AC78" s="24">
        <f t="shared" si="57"/>
        <v>0.49857566582833868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789.64264608661051</v>
      </c>
      <c r="AN78" s="62">
        <f ca="1">AVERAGE(OFFSET($AM$3,0,0,'Données projet'!$E$10+1,1))-AVERAGE(OFFSET($H$3,0,0,'Données projet'!$E$10+1,1))</f>
        <v>371.95849973474657</v>
      </c>
      <c r="AO78" s="62">
        <f t="shared" si="90"/>
        <v>233.32640143610547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3.2259340770718845E-6</v>
      </c>
      <c r="AX78" s="23">
        <f t="shared" si="60"/>
        <v>3.2259340770718845E-6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264.43560000000014</v>
      </c>
      <c r="BF78" s="14">
        <f t="shared" si="91"/>
        <v>63.666935766021915</v>
      </c>
      <c r="BG78" s="22">
        <f t="shared" si="61"/>
        <v>571.44524979248843</v>
      </c>
      <c r="BH78" s="62">
        <f t="shared" si="62"/>
        <v>864.7785831258218</v>
      </c>
      <c r="BI78" s="62">
        <f ca="1">AVERAGE(OFFSET($BH$3,0,0,'Données projet'!$E$11+1,1))-AVERAGE(OFFSET($H$3,0,0,'Données projet'!$E$11+1,1))</f>
        <v>423.40903481736001</v>
      </c>
      <c r="BJ78" s="62">
        <f t="shared" si="92"/>
        <v>263.03039552465799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3.7265100545485704E-6</v>
      </c>
      <c r="BS78" s="24">
        <f t="shared" si="63"/>
        <v>3.7265100545485704E-6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3.9390243902439024</v>
      </c>
      <c r="BY78" s="13">
        <f>IF('Données projet'!$A$114&gt;35,BY77+BX78-CG77,IF(A78&lt;'Données projet'!$A$114,$BV$205^A78,IF(A78='Données projet'!$A$114,'Données projet'!$B$114,BY77+BX78-CG77)))</f>
        <v>295.42682926829264</v>
      </c>
      <c r="BZ78" s="14">
        <f>BY78*VLOOKUP('Données projet'!$B$12,Paramètres!$A$1:$I$89,3,0)*VLOOKUP('Données projet'!$B$12,Paramètres!$A$1:$I$89,5,0)</f>
        <v>138.25975609756094</v>
      </c>
      <c r="CA78" s="14">
        <f t="shared" si="93"/>
        <v>35.898050299084971</v>
      </c>
      <c r="CB78" s="22">
        <f t="shared" si="64"/>
        <v>303.32484614082495</v>
      </c>
      <c r="CC78" s="62">
        <f t="shared" si="65"/>
        <v>596.65817947415826</v>
      </c>
      <c r="CD78" s="62">
        <f ca="1">AVERAGE(OFFSET($CC$3,0,0,'Données projet'!$E$12+1,1))-AVERAGE(OFFSET($H$3,0,0,'Données projet'!$E$12+1,1))</f>
        <v>264.88170274686757</v>
      </c>
      <c r="CE78" s="62">
        <f t="shared" si="94"/>
        <v>160.81140876142001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262.82880000000006</v>
      </c>
      <c r="CV78" s="14">
        <f t="shared" si="95"/>
        <v>63.324983518559485</v>
      </c>
      <c r="CW78" s="22">
        <f t="shared" si="67"/>
        <v>568.05117296149115</v>
      </c>
      <c r="CX78" s="62">
        <f t="shared" si="68"/>
        <v>861.3845062948244</v>
      </c>
      <c r="CY78" s="62">
        <f ca="1">AVERAGE(OFFSET($CX$3,0,0,'Données projet'!$E$13+1,1))-AVERAGE(OFFSET($H$3,0,0,'Données projet'!$E$13+1,1))</f>
        <v>411.60020200960821</v>
      </c>
      <c r="CZ78" s="62">
        <f t="shared" si="96"/>
        <v>261.95434270986397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6.8837998687681428E-7</v>
      </c>
      <c r="DI78" s="24">
        <f t="shared" si="69"/>
        <v>6.8837998687681428E-7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223</v>
      </c>
      <c r="DM78" s="13">
        <f>VLOOKUP(A78,'Données projet'!$A$165:$I$185,9,0)</f>
        <v>4.8</v>
      </c>
      <c r="DN78" s="13">
        <f t="array" ref="DN78">INDEX(DM:DM,MIN(IF(ISNUMBER(DM78:DM274),ROW(DM78:DM274),"")))</f>
        <v>4.8</v>
      </c>
      <c r="DO78" s="13">
        <f>IF('Données projet'!$A$166&gt;35,DO77+DN78-DW77,IF(A78&lt;'Données projet'!$A$166,$DL$205^A78,IF(A78='Données projet'!$A$166,'Données projet'!$B$166,DO77+DN78-DW77)))</f>
        <v>223.00000000000011</v>
      </c>
      <c r="DP78" s="18">
        <f>DO78*VLOOKUP('Données projet'!$B$14,Paramètres!$A$1:$I$89,3,0)*VLOOKUP('Données projet'!$B$14,Paramètres!$A$1:$I$89,5,0)</f>
        <v>146.10960000000006</v>
      </c>
      <c r="DQ78" s="14">
        <f t="shared" si="97"/>
        <v>37.693130662388469</v>
      </c>
      <c r="DR78" s="22">
        <f t="shared" si="70"/>
        <v>320.12308923699328</v>
      </c>
      <c r="DS78" s="62">
        <f t="shared" si="71"/>
        <v>613.45642257032659</v>
      </c>
      <c r="DT78" s="62">
        <f ca="1">AVERAGE(OFFSET($DS$3,0,0,'Données projet'!$E$14+1,1))-AVERAGE(OFFSET($H$3,0,0,'Données projet'!$E$14+1,1))</f>
        <v>240.134073924311</v>
      </c>
      <c r="DU78" s="62">
        <f t="shared" si="98"/>
        <v>237.10378497981156</v>
      </c>
      <c r="DV78" s="16">
        <f>IF(ISNA(VLOOKUP(A78,'Données projet'!$A$165:$I$185,3,0)),0,VLOOKUP(A78,'Données projet'!$A$165:$I$185,3,0))</f>
        <v>14</v>
      </c>
      <c r="DW78" s="16">
        <f>IF(ISNA(VLOOKUP(A78,'Données projet'!$A$165:$I$185,4,0)),0,VLOOKUP(A78,'Données projet'!$A$165:$I$185,4,0))</f>
        <v>18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0.53679563106742278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2.8189448455209212E-6</v>
      </c>
      <c r="ED78" s="24">
        <f t="shared" si="72"/>
        <v>0.53679845001226834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4.4337866711430253E-14</v>
      </c>
      <c r="P79" s="14">
        <f t="shared" si="87"/>
        <v>7.3222115536967035E-13</v>
      </c>
      <c r="Q79" s="22">
        <f t="shared" si="54"/>
        <v>1.3525069634579169E-12</v>
      </c>
      <c r="R79" s="62">
        <f t="shared" si="55"/>
        <v>293.33333333333468</v>
      </c>
      <c r="S79" s="62">
        <f ca="1">AVERAGE(OFFSET($R$3,0,0,'Données projet'!$E$9+1,1))-AVERAGE(OFFSET($H$3,0,0,'Données projet'!$E$9+1,1))</f>
        <v>288.82868507674738</v>
      </c>
      <c r="T79" s="62">
        <f t="shared" si="88"/>
        <v>283.48738729114024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0.4849415309475773</v>
      </c>
      <c r="AB79" s="23">
        <f>EXP(-LN(2)/2)*AB78+(1-EXP(-LN(2)/2))/(LN(2)/2)*V79*Y79*VLOOKUP('Données projet'!$B$9,Paramètres!$A$1:$I$89,3,0)*0.475*44/12</f>
        <v>4.0498930917359915E-7</v>
      </c>
      <c r="AC79" s="24">
        <f t="shared" si="57"/>
        <v>0.4849419359368865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760.87281603332531</v>
      </c>
      <c r="AN79" s="62">
        <f ca="1">AVERAGE(OFFSET($AM$3,0,0,'Données projet'!$E$10+1,1))-AVERAGE(OFFSET($H$3,0,0,'Données projet'!$E$10+1,1))</f>
        <v>371.95849973474657</v>
      </c>
      <c r="AO79" s="62">
        <f t="shared" si="90"/>
        <v>233.32640143610547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2.2810798615582961E-6</v>
      </c>
      <c r="AX79" s="23">
        <f t="shared" si="60"/>
        <v>2.2810798615582961E-6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248.75760000000017</v>
      </c>
      <c r="BF79" s="14">
        <f t="shared" si="91"/>
        <v>60.319822501290581</v>
      </c>
      <c r="BG79" s="22">
        <f t="shared" si="61"/>
        <v>538.30984418974811</v>
      </c>
      <c r="BH79" s="62">
        <f t="shared" si="62"/>
        <v>831.64317752308148</v>
      </c>
      <c r="BI79" s="62">
        <f ca="1">AVERAGE(OFFSET($BH$3,0,0,'Données projet'!$E$11+1,1))-AVERAGE(OFFSET($H$3,0,0,'Données projet'!$E$11+1,1))</f>
        <v>423.40903481736001</v>
      </c>
      <c r="BJ79" s="62">
        <f t="shared" si="92"/>
        <v>263.03039552465799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2.6350405297311454E-6</v>
      </c>
      <c r="BS79" s="24">
        <f t="shared" si="63"/>
        <v>2.6350405297311454E-6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3.9390243902439024</v>
      </c>
      <c r="BY79" s="13">
        <f>IF('Données projet'!$A$114&gt;35,BY78+BX79-CG78,IF(A79&lt;'Données projet'!$A$114,$BV$205^A79,IF(A79='Données projet'!$A$114,'Données projet'!$B$114,BY78+BX79-CG78)))</f>
        <v>299.36585365853654</v>
      </c>
      <c r="BZ79" s="14">
        <f>BY79*VLOOKUP('Données projet'!$B$12,Paramètres!$A$1:$I$89,3,0)*VLOOKUP('Données projet'!$B$12,Paramètres!$A$1:$I$89,5,0)</f>
        <v>140.1032195121951</v>
      </c>
      <c r="CA79" s="14">
        <f t="shared" si="93"/>
        <v>36.320650621422359</v>
      </c>
      <c r="CB79" s="22">
        <f t="shared" si="64"/>
        <v>307.27157381605042</v>
      </c>
      <c r="CC79" s="62">
        <f t="shared" si="65"/>
        <v>600.60490714938373</v>
      </c>
      <c r="CD79" s="62">
        <f ca="1">AVERAGE(OFFSET($CC$3,0,0,'Données projet'!$E$12+1,1))-AVERAGE(OFFSET($H$3,0,0,'Données projet'!$E$12+1,1))</f>
        <v>264.88170274686757</v>
      </c>
      <c r="CE79" s="62">
        <f t="shared" si="94"/>
        <v>160.81140876142001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245.30688000000009</v>
      </c>
      <c r="CV79" s="14">
        <f t="shared" si="95"/>
        <v>59.579874112906374</v>
      </c>
      <c r="CW79" s="22">
        <f t="shared" si="67"/>
        <v>531.01109674664542</v>
      </c>
      <c r="CX79" s="62">
        <f t="shared" si="68"/>
        <v>824.34443007997879</v>
      </c>
      <c r="CY79" s="62">
        <f ca="1">AVERAGE(OFFSET($CX$3,0,0,'Données projet'!$E$13+1,1))-AVERAGE(OFFSET($H$3,0,0,'Données projet'!$E$13+1,1))</f>
        <v>411.60020200960821</v>
      </c>
      <c r="CZ79" s="62">
        <f t="shared" si="96"/>
        <v>261.95434270986397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4.8675815675370197E-7</v>
      </c>
      <c r="DI79" s="24">
        <f t="shared" si="69"/>
        <v>4.8675815675370197E-7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4.5999999999999996</v>
      </c>
      <c r="DO79" s="13">
        <f>IF('Données projet'!$A$166&gt;35,DO78+DN79-DW78,IF(A79&lt;'Données projet'!$A$166,$DL$205^A79,IF(A79='Données projet'!$A$166,'Données projet'!$B$166,DO78+DN79-DW78)))</f>
        <v>209.60000000000011</v>
      </c>
      <c r="DP79" s="18">
        <f>DO79*VLOOKUP('Données projet'!$B$14,Paramètres!$A$1:$I$89,3,0)*VLOOKUP('Données projet'!$B$14,Paramètres!$A$1:$I$89,5,0)</f>
        <v>137.32992000000007</v>
      </c>
      <c r="DQ79" s="14">
        <f t="shared" si="97"/>
        <v>35.684643836992187</v>
      </c>
      <c r="DR79" s="22">
        <f t="shared" si="70"/>
        <v>301.33369868276151</v>
      </c>
      <c r="DS79" s="62">
        <f t="shared" si="71"/>
        <v>594.66703201609482</v>
      </c>
      <c r="DT79" s="62">
        <f ca="1">AVERAGE(OFFSET($DS$3,0,0,'Données projet'!$E$14+1,1))-AVERAGE(OFFSET($H$3,0,0,'Données projet'!$E$14+1,1))</f>
        <v>240.134073924311</v>
      </c>
      <c r="DU79" s="62">
        <f t="shared" si="98"/>
        <v>237.10378497981156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0.52626939615519619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1.993295016058708E-6</v>
      </c>
      <c r="ED79" s="24">
        <f t="shared" si="72"/>
        <v>0.52627138945021223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4.4337866711430253E-14</v>
      </c>
      <c r="P80" s="14">
        <f t="shared" si="87"/>
        <v>7.3222115536967035E-13</v>
      </c>
      <c r="Q80" s="22">
        <f t="shared" si="54"/>
        <v>1.3525069634579169E-12</v>
      </c>
      <c r="R80" s="62">
        <f t="shared" si="55"/>
        <v>293.33333333333468</v>
      </c>
      <c r="S80" s="62">
        <f ca="1">AVERAGE(OFFSET($R$3,0,0,'Données projet'!$E$9+1,1))-AVERAGE(OFFSET($H$3,0,0,'Données projet'!$E$9+1,1))</f>
        <v>288.82868507674738</v>
      </c>
      <c r="T80" s="62">
        <f t="shared" si="88"/>
        <v>283.48738729114024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0.47168077928184904</v>
      </c>
      <c r="AB80" s="23">
        <f>EXP(-LN(2)/2)*AB79+(1-EXP(-LN(2)/2))/(LN(2)/2)*V80*Y80*VLOOKUP('Données projet'!$B$9,Paramètres!$A$1:$I$89,3,0)*0.475*44/12</f>
        <v>2.8637068682470721E-7</v>
      </c>
      <c r="AC80" s="24">
        <f t="shared" si="57"/>
        <v>0.47168106565253587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772.38513856932241</v>
      </c>
      <c r="AN80" s="62">
        <f ca="1">AVERAGE(OFFSET($AM$3,0,0,'Données projet'!$E$10+1,1))-AVERAGE(OFFSET($H$3,0,0,'Données projet'!$E$10+1,1))</f>
        <v>371.95849973474657</v>
      </c>
      <c r="AO80" s="62">
        <f t="shared" si="90"/>
        <v>233.32640143610547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1.6129670385359422E-6</v>
      </c>
      <c r="AX80" s="23">
        <f t="shared" si="60"/>
        <v>1.6129670385359422E-6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255.02880000000013</v>
      </c>
      <c r="BF80" s="14">
        <f t="shared" si="91"/>
        <v>61.661531359449434</v>
      </c>
      <c r="BG80" s="22">
        <f t="shared" si="61"/>
        <v>551.56899378437458</v>
      </c>
      <c r="BH80" s="62">
        <f t="shared" si="62"/>
        <v>844.90232711770796</v>
      </c>
      <c r="BI80" s="62">
        <f ca="1">AVERAGE(OFFSET($BH$3,0,0,'Données projet'!$E$11+1,1))-AVERAGE(OFFSET($H$3,0,0,'Données projet'!$E$11+1,1))</f>
        <v>423.40903481736001</v>
      </c>
      <c r="BJ80" s="62">
        <f t="shared" si="92"/>
        <v>263.03039552465799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1.8632550272742854E-6</v>
      </c>
      <c r="BS80" s="24">
        <f t="shared" si="63"/>
        <v>1.8632550272742854E-6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3.9390243902439024</v>
      </c>
      <c r="BY80" s="13">
        <f>IF('Données projet'!$A$114&gt;35,BY79+BX80-CG79,IF(A80&lt;'Données projet'!$A$114,$BV$205^A80,IF(A80='Données projet'!$A$114,'Données projet'!$B$114,BY79+BX80-CG79)))</f>
        <v>303.30487804878044</v>
      </c>
      <c r="BZ80" s="14">
        <f>BY80*VLOOKUP('Données projet'!$B$12,Paramètres!$A$1:$I$89,3,0)*VLOOKUP('Données projet'!$B$12,Paramètres!$A$1:$I$89,5,0)</f>
        <v>141.94668292682925</v>
      </c>
      <c r="CA80" s="14">
        <f t="shared" si="93"/>
        <v>36.742604173669498</v>
      </c>
      <c r="CB80" s="22">
        <f t="shared" si="64"/>
        <v>311.21717503336862</v>
      </c>
      <c r="CC80" s="62">
        <f t="shared" si="65"/>
        <v>604.55050836670193</v>
      </c>
      <c r="CD80" s="62">
        <f ca="1">AVERAGE(OFFSET($CC$3,0,0,'Données projet'!$E$12+1,1))-AVERAGE(OFFSET($H$3,0,0,'Données projet'!$E$12+1,1))</f>
        <v>264.88170274686757</v>
      </c>
      <c r="CE80" s="62">
        <f t="shared" si="94"/>
        <v>160.81140876142001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251.37216000000004</v>
      </c>
      <c r="CV80" s="14">
        <f t="shared" si="95"/>
        <v>60.879674595707343</v>
      </c>
      <c r="CW80" s="22">
        <f t="shared" si="67"/>
        <v>543.83861192085692</v>
      </c>
      <c r="CX80" s="62">
        <f t="shared" si="68"/>
        <v>837.17194525419018</v>
      </c>
      <c r="CY80" s="62">
        <f ca="1">AVERAGE(OFFSET($CX$3,0,0,'Données projet'!$E$13+1,1))-AVERAGE(OFFSET($H$3,0,0,'Données projet'!$E$13+1,1))</f>
        <v>411.60020200960821</v>
      </c>
      <c r="CZ80" s="62">
        <f t="shared" si="96"/>
        <v>261.95434270986397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3.4418999343840714E-7</v>
      </c>
      <c r="DI80" s="24">
        <f t="shared" si="69"/>
        <v>3.4418999343840714E-7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4.5999999999999996</v>
      </c>
      <c r="DO80" s="13">
        <f>IF('Données projet'!$A$166&gt;35,DO79+DN80-DW79,IF(A80&lt;'Données projet'!$A$166,$DL$205^A80,IF(A80='Données projet'!$A$166,'Données projet'!$B$166,DO79+DN80-DW79)))</f>
        <v>214.2000000000001</v>
      </c>
      <c r="DP80" s="18">
        <f>DO80*VLOOKUP('Données projet'!$B$14,Paramètres!$A$1:$I$89,3,0)*VLOOKUP('Données projet'!$B$14,Paramètres!$A$1:$I$89,5,0)</f>
        <v>140.34384000000006</v>
      </c>
      <c r="DQ80" s="14">
        <f t="shared" si="97"/>
        <v>36.375763161759316</v>
      </c>
      <c r="DR80" s="22">
        <f t="shared" si="70"/>
        <v>307.78664217339758</v>
      </c>
      <c r="DS80" s="62">
        <f t="shared" si="71"/>
        <v>601.11997550673095</v>
      </c>
      <c r="DT80" s="62">
        <f ca="1">AVERAGE(OFFSET($DS$3,0,0,'Données projet'!$E$14+1,1))-AVERAGE(OFFSET($H$3,0,0,'Données projet'!$E$14+1,1))</f>
        <v>240.134073924311</v>
      </c>
      <c r="DU80" s="62">
        <f t="shared" si="98"/>
        <v>237.10378497981156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0.51594957428922905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1.4094724227604606E-6</v>
      </c>
      <c r="ED80" s="24">
        <f t="shared" si="72"/>
        <v>0.51595098376165183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4.4337866711430253E-14</v>
      </c>
      <c r="P81" s="14">
        <f t="shared" si="87"/>
        <v>7.3222115536967035E-13</v>
      </c>
      <c r="Q81" s="22">
        <f t="shared" si="54"/>
        <v>1.3525069634579169E-12</v>
      </c>
      <c r="R81" s="62">
        <f t="shared" si="55"/>
        <v>293.33333333333468</v>
      </c>
      <c r="S81" s="62">
        <f ca="1">AVERAGE(OFFSET($R$3,0,0,'Données projet'!$E$9+1,1))-AVERAGE(OFFSET($H$3,0,0,'Données projet'!$E$9+1,1))</f>
        <v>288.82868507674738</v>
      </c>
      <c r="T81" s="62">
        <f t="shared" si="88"/>
        <v>283.48738729114024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0.45878264356777271</v>
      </c>
      <c r="AB81" s="23">
        <f>EXP(-LN(2)/2)*AB80+(1-EXP(-LN(2)/2))/(LN(2)/2)*V81*Y81*VLOOKUP('Données projet'!$B$9,Paramètres!$A$1:$I$89,3,0)*0.475*44/12</f>
        <v>2.0249465458679957E-7</v>
      </c>
      <c r="AC81" s="24">
        <f t="shared" si="57"/>
        <v>0.45878284606242731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783.89158069165774</v>
      </c>
      <c r="AN81" s="62">
        <f ca="1">AVERAGE(OFFSET($AM$3,0,0,'Données projet'!$E$10+1,1))-AVERAGE(OFFSET($H$3,0,0,'Données projet'!$E$10+1,1))</f>
        <v>371.95849973474657</v>
      </c>
      <c r="AO81" s="62">
        <f t="shared" si="90"/>
        <v>233.32640143610547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1.1405399307791481E-6</v>
      </c>
      <c r="AX81" s="23">
        <f t="shared" si="60"/>
        <v>1.1405399307791481E-6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261.30000000000013</v>
      </c>
      <c r="BF81" s="14">
        <f t="shared" si="91"/>
        <v>62.999404933345687</v>
      </c>
      <c r="BG81" s="22">
        <f t="shared" si="61"/>
        <v>564.82146359224396</v>
      </c>
      <c r="BH81" s="62">
        <f t="shared" si="62"/>
        <v>858.15479692557733</v>
      </c>
      <c r="BI81" s="62">
        <f ca="1">AVERAGE(OFFSET($BH$3,0,0,'Données projet'!$E$11+1,1))-AVERAGE(OFFSET($H$3,0,0,'Données projet'!$E$11+1,1))</f>
        <v>423.40903481736001</v>
      </c>
      <c r="BJ81" s="62">
        <f t="shared" si="92"/>
        <v>263.03039552465799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1.3175202648655729E-6</v>
      </c>
      <c r="BS81" s="24">
        <f t="shared" si="63"/>
        <v>1.3175202648655729E-6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3.9390243902439024</v>
      </c>
      <c r="BY81" s="13">
        <f>IF('Données projet'!$A$114&gt;35,BY80+BX81-CG80,IF(A81&lt;'Données projet'!$A$114,$BV$205^A81,IF(A81='Données projet'!$A$114,'Données projet'!$B$114,BY80+BX81-CG80)))</f>
        <v>307.24390243902434</v>
      </c>
      <c r="BZ81" s="14">
        <f>BY81*VLOOKUP('Données projet'!$B$12,Paramètres!$A$1:$I$89,3,0)*VLOOKUP('Données projet'!$B$12,Paramètres!$A$1:$I$89,5,0)</f>
        <v>143.79014634146338</v>
      </c>
      <c r="CA81" s="14">
        <f t="shared" si="93"/>
        <v>37.163920326598472</v>
      </c>
      <c r="CB81" s="22">
        <f t="shared" si="64"/>
        <v>315.16166611354106</v>
      </c>
      <c r="CC81" s="62">
        <f t="shared" si="65"/>
        <v>608.49499944687432</v>
      </c>
      <c r="CD81" s="62">
        <f ca="1">AVERAGE(OFFSET($CC$3,0,0,'Données projet'!$E$12+1,1))-AVERAGE(OFFSET($H$3,0,0,'Données projet'!$E$12+1,1))</f>
        <v>264.88170274686757</v>
      </c>
      <c r="CE81" s="62">
        <f t="shared" si="94"/>
        <v>160.81140876142001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257.43744000000004</v>
      </c>
      <c r="CV81" s="14">
        <f t="shared" si="95"/>
        <v>62.175829233865038</v>
      </c>
      <c r="CW81" s="22">
        <f t="shared" si="67"/>
        <v>556.65977724898164</v>
      </c>
      <c r="CX81" s="62">
        <f t="shared" si="68"/>
        <v>849.99311058231501</v>
      </c>
      <c r="CY81" s="62">
        <f ca="1">AVERAGE(OFFSET($CX$3,0,0,'Données projet'!$E$13+1,1))-AVERAGE(OFFSET($H$3,0,0,'Données projet'!$E$13+1,1))</f>
        <v>411.60020200960821</v>
      </c>
      <c r="CZ81" s="62">
        <f t="shared" si="96"/>
        <v>261.95434270986397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2.4337907837685098E-7</v>
      </c>
      <c r="DI81" s="24">
        <f t="shared" si="69"/>
        <v>2.4337907837685098E-7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4.5999999999999996</v>
      </c>
      <c r="DO81" s="13">
        <f>IF('Données projet'!$A$166&gt;35,DO80+DN81-DW80,IF(A81&lt;'Données projet'!$A$166,$DL$205^A81,IF(A81='Données projet'!$A$166,'Données projet'!$B$166,DO80+DN81-DW80)))</f>
        <v>218.8000000000001</v>
      </c>
      <c r="DP81" s="18">
        <f>DO81*VLOOKUP('Données projet'!$B$14,Paramètres!$A$1:$I$89,3,0)*VLOOKUP('Données projet'!$B$14,Paramètres!$A$1:$I$89,5,0)</f>
        <v>143.35776000000007</v>
      </c>
      <c r="DQ81" s="14">
        <f t="shared" si="97"/>
        <v>37.06515689907522</v>
      </c>
      <c r="DR81" s="22">
        <f t="shared" si="70"/>
        <v>314.23658026588947</v>
      </c>
      <c r="DS81" s="62">
        <f t="shared" si="71"/>
        <v>607.56991359922279</v>
      </c>
      <c r="DT81" s="62">
        <f ca="1">AVERAGE(OFFSET($DS$3,0,0,'Données projet'!$E$14+1,1))-AVERAGE(OFFSET($H$3,0,0,'Données projet'!$E$14+1,1))</f>
        <v>240.134073924311</v>
      </c>
      <c r="DU81" s="62">
        <f t="shared" si="98"/>
        <v>237.10378497981156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0.50583211783558368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9.9664750802935401E-7</v>
      </c>
      <c r="ED81" s="24">
        <f t="shared" si="72"/>
        <v>0.50583311448309176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4.4337866711430253E-14</v>
      </c>
      <c r="P82" s="14">
        <f t="shared" si="87"/>
        <v>7.3222115536967035E-13</v>
      </c>
      <c r="Q82" s="22">
        <f t="shared" si="54"/>
        <v>1.3525069634579169E-12</v>
      </c>
      <c r="R82" s="62">
        <f t="shared" si="55"/>
        <v>293.33333333333468</v>
      </c>
      <c r="S82" s="62">
        <f ca="1">AVERAGE(OFFSET($R$3,0,0,'Données projet'!$E$9+1,1))-AVERAGE(OFFSET($H$3,0,0,'Données projet'!$E$9+1,1))</f>
        <v>288.82868507674738</v>
      </c>
      <c r="T82" s="62">
        <f t="shared" si="88"/>
        <v>283.48738729114024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0.44623720805308131</v>
      </c>
      <c r="AB82" s="23">
        <f>EXP(-LN(2)/2)*AB81+(1-EXP(-LN(2)/2))/(LN(2)/2)*V82*Y82*VLOOKUP('Données projet'!$B$9,Paramètres!$A$1:$I$89,3,0)*0.475*44/12</f>
        <v>1.4318534341235361E-7</v>
      </c>
      <c r="AC82" s="24">
        <f t="shared" si="57"/>
        <v>0.44623735123842473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795.392299768459</v>
      </c>
      <c r="AN82" s="62">
        <f ca="1">AVERAGE(OFFSET($AM$3,0,0,'Données projet'!$E$10+1,1))-AVERAGE(OFFSET($H$3,0,0,'Données projet'!$E$10+1,1))</f>
        <v>371.95849973474657</v>
      </c>
      <c r="AO82" s="62">
        <f t="shared" si="90"/>
        <v>233.32640143610547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8.0648351926797111E-7</v>
      </c>
      <c r="AX82" s="23">
        <f t="shared" si="60"/>
        <v>8.0648351926797111E-7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267.57120000000015</v>
      </c>
      <c r="BF82" s="14">
        <f t="shared" si="91"/>
        <v>64.333545860572571</v>
      </c>
      <c r="BG82" s="22">
        <f t="shared" si="61"/>
        <v>578.06743237383068</v>
      </c>
      <c r="BH82" s="62">
        <f t="shared" si="62"/>
        <v>871.40076570716406</v>
      </c>
      <c r="BI82" s="62">
        <f ca="1">AVERAGE(OFFSET($BH$3,0,0,'Données projet'!$E$11+1,1))-AVERAGE(OFFSET($H$3,0,0,'Données projet'!$E$11+1,1))</f>
        <v>423.40903481736001</v>
      </c>
      <c r="BJ82" s="62">
        <f t="shared" si="92"/>
        <v>263.03039552465799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9.3162751363714291E-7</v>
      </c>
      <c r="BS82" s="24">
        <f t="shared" si="63"/>
        <v>9.3162751363714291E-7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3.9390243902439024</v>
      </c>
      <c r="BY82" s="13">
        <f>IF('Données projet'!$A$114&gt;35,BY81+BX82-CG81,IF(A82&lt;'Données projet'!$A$114,$BV$205^A82,IF(A82='Données projet'!$A$114,'Données projet'!$B$114,BY81+BX82-CG81)))</f>
        <v>311.18292682926824</v>
      </c>
      <c r="BZ82" s="14">
        <f>BY82*VLOOKUP('Données projet'!$B$12,Paramètres!$A$1:$I$89,3,0)*VLOOKUP('Données projet'!$B$12,Paramètres!$A$1:$I$89,5,0)</f>
        <v>145.63360975609754</v>
      </c>
      <c r="CA82" s="14">
        <f t="shared" si="93"/>
        <v>37.584608196889846</v>
      </c>
      <c r="CB82" s="22">
        <f t="shared" si="64"/>
        <v>319.10506293478636</v>
      </c>
      <c r="CC82" s="62">
        <f t="shared" si="65"/>
        <v>612.43839626811973</v>
      </c>
      <c r="CD82" s="62">
        <f ca="1">AVERAGE(OFFSET($CC$3,0,0,'Données projet'!$E$12+1,1))-AVERAGE(OFFSET($H$3,0,0,'Données projet'!$E$12+1,1))</f>
        <v>264.88170274686757</v>
      </c>
      <c r="CE82" s="62">
        <f t="shared" si="94"/>
        <v>160.81140876142001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263.50272000000001</v>
      </c>
      <c r="CV82" s="14">
        <f t="shared" si="95"/>
        <v>63.468433809179743</v>
      </c>
      <c r="CW82" s="22">
        <f t="shared" si="67"/>
        <v>569.4747595509881</v>
      </c>
      <c r="CX82" s="62">
        <f t="shared" si="68"/>
        <v>862.80809288432147</v>
      </c>
      <c r="CY82" s="62">
        <f ca="1">AVERAGE(OFFSET($CX$3,0,0,'Données projet'!$E$13+1,1))-AVERAGE(OFFSET($H$3,0,0,'Données projet'!$E$13+1,1))</f>
        <v>411.60020200960821</v>
      </c>
      <c r="CZ82" s="62">
        <f t="shared" si="96"/>
        <v>261.95434270986397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1.7209499671920357E-7</v>
      </c>
      <c r="DI82" s="24">
        <f t="shared" si="69"/>
        <v>1.7209499671920357E-7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4.5999999999999996</v>
      </c>
      <c r="DO82" s="13">
        <f>IF('Données projet'!$A$166&gt;35,DO81+DN82-DW81,IF(A82&lt;'Données projet'!$A$166,$DL$205^A82,IF(A82='Données projet'!$A$166,'Données projet'!$B$166,DO81+DN82-DW81)))</f>
        <v>223.40000000000009</v>
      </c>
      <c r="DP82" s="18">
        <f>DO82*VLOOKUP('Données projet'!$B$14,Paramètres!$A$1:$I$89,3,0)*VLOOKUP('Données projet'!$B$14,Paramètres!$A$1:$I$89,5,0)</f>
        <v>146.37168000000005</v>
      </c>
      <c r="DQ82" s="14">
        <f t="shared" si="97"/>
        <v>37.75286550658808</v>
      </c>
      <c r="DR82" s="22">
        <f t="shared" si="70"/>
        <v>320.68358342397431</v>
      </c>
      <c r="DS82" s="62">
        <f t="shared" si="71"/>
        <v>614.01691675730763</v>
      </c>
      <c r="DT82" s="62">
        <f ca="1">AVERAGE(OFFSET($DS$3,0,0,'Données projet'!$E$14+1,1))-AVERAGE(OFFSET($H$3,0,0,'Données projet'!$E$14+1,1))</f>
        <v>240.134073924311</v>
      </c>
      <c r="DU82" s="62">
        <f t="shared" si="98"/>
        <v>237.10378497981156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0.49591305853195522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7.047362113802303E-7</v>
      </c>
      <c r="ED82" s="24">
        <f t="shared" si="72"/>
        <v>0.49591376326816661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4.4337866711430253E-14</v>
      </c>
      <c r="P83" s="14">
        <f t="shared" si="87"/>
        <v>7.3222115536967035E-13</v>
      </c>
      <c r="Q83" s="22">
        <f t="shared" si="54"/>
        <v>1.3525069634579169E-12</v>
      </c>
      <c r="R83" s="62">
        <f t="shared" si="55"/>
        <v>293.33333333333468</v>
      </c>
      <c r="S83" s="62">
        <f ca="1">AVERAGE(OFFSET($R$3,0,0,'Données projet'!$E$9+1,1))-AVERAGE(OFFSET($H$3,0,0,'Données projet'!$E$9+1,1))</f>
        <v>288.82868507674738</v>
      </c>
      <c r="T83" s="62">
        <f t="shared" si="88"/>
        <v>283.48738729114024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0.4340348281322749</v>
      </c>
      <c r="AB83" s="23">
        <f>EXP(-LN(2)/2)*AB82+(1-EXP(-LN(2)/2))/(LN(2)/2)*V83*Y83*VLOOKUP('Données projet'!$B$9,Paramètres!$A$1:$I$89,3,0)*0.475*44/12</f>
        <v>1.0124732729339979E-7</v>
      </c>
      <c r="AC83" s="24">
        <f t="shared" si="57"/>
        <v>0.4340349293796022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806.88744537039292</v>
      </c>
      <c r="AN83" s="62">
        <f ca="1">AVERAGE(OFFSET($AM$3,0,0,'Données projet'!$E$10+1,1))-AVERAGE(OFFSET($H$3,0,0,'Données projet'!$E$10+1,1))</f>
        <v>371.95849973474657</v>
      </c>
      <c r="AO83" s="62">
        <f t="shared" si="90"/>
        <v>233.32640143610547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5.7026996538957403E-7</v>
      </c>
      <c r="AX83" s="23">
        <f t="shared" si="60"/>
        <v>5.7026996538957403E-7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273.84240000000011</v>
      </c>
      <c r="BF83" s="14">
        <f t="shared" si="91"/>
        <v>65.664051693114544</v>
      </c>
      <c r="BG83" s="22">
        <f t="shared" si="61"/>
        <v>591.30707003217458</v>
      </c>
      <c r="BH83" s="62">
        <f t="shared" si="62"/>
        <v>884.64040336550784</v>
      </c>
      <c r="BI83" s="62">
        <f ca="1">AVERAGE(OFFSET($BH$3,0,0,'Données projet'!$E$11+1,1))-AVERAGE(OFFSET($H$3,0,0,'Données projet'!$E$11+1,1))</f>
        <v>423.40903481736001</v>
      </c>
      <c r="BJ83" s="62">
        <f t="shared" si="92"/>
        <v>263.03039552465799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6.5876013243278657E-7</v>
      </c>
      <c r="BS83" s="24">
        <f t="shared" si="63"/>
        <v>6.5876013243278657E-7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3.9390243902439024</v>
      </c>
      <c r="BY83" s="13">
        <f>IF('Données projet'!$A$114&gt;35,BY82+BX83-CG82,IF(A83&lt;'Données projet'!$A$114,$BV$205^A83,IF(A83='Données projet'!$A$114,'Données projet'!$B$114,BY82+BX83-CG82)))</f>
        <v>315.12195121951214</v>
      </c>
      <c r="BZ83" s="14">
        <f>BY83*VLOOKUP('Données projet'!$B$12,Paramètres!$A$1:$I$89,3,0)*VLOOKUP('Données projet'!$B$12,Paramètres!$A$1:$I$89,5,0)</f>
        <v>147.4770731707317</v>
      </c>
      <c r="CA83" s="14">
        <f t="shared" si="93"/>
        <v>38.00467665715</v>
      </c>
      <c r="CB83" s="22">
        <f t="shared" si="64"/>
        <v>323.04738095022725</v>
      </c>
      <c r="CC83" s="62">
        <f t="shared" si="65"/>
        <v>616.38071428356056</v>
      </c>
      <c r="CD83" s="62">
        <f ca="1">AVERAGE(OFFSET($CC$3,0,0,'Données projet'!$E$12+1,1))-AVERAGE(OFFSET($H$3,0,0,'Données projet'!$E$12+1,1))</f>
        <v>264.88170274686757</v>
      </c>
      <c r="CE83" s="62">
        <f t="shared" si="94"/>
        <v>160.81140876142001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269.56800000000004</v>
      </c>
      <c r="CV83" s="14">
        <f t="shared" si="95"/>
        <v>64.757579442439862</v>
      </c>
      <c r="CW83" s="22">
        <f t="shared" si="67"/>
        <v>582.28371752891621</v>
      </c>
      <c r="CX83" s="62">
        <f t="shared" si="68"/>
        <v>875.61705086224947</v>
      </c>
      <c r="CY83" s="62">
        <f ca="1">AVERAGE(OFFSET($CX$3,0,0,'Données projet'!$E$13+1,1))-AVERAGE(OFFSET($H$3,0,0,'Données projet'!$E$13+1,1))</f>
        <v>411.60020200960821</v>
      </c>
      <c r="CZ83" s="62">
        <f t="shared" si="96"/>
        <v>261.95434270986397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1.2168953918842549E-7</v>
      </c>
      <c r="DI83" s="24">
        <f t="shared" si="69"/>
        <v>1.2168953918842549E-7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228</v>
      </c>
      <c r="DM83" s="13">
        <f>VLOOKUP(A83,'Données projet'!$A$165:$I$185,9,0)</f>
        <v>4.5999999999999996</v>
      </c>
      <c r="DN83" s="13">
        <f t="array" ref="DN83">INDEX(DM:DM,MIN(IF(ISNUMBER(DM83:DM279),ROW(DM83:DM279),"")))</f>
        <v>4.5999999999999996</v>
      </c>
      <c r="DO83" s="13">
        <f>IF('Données projet'!$A$166&gt;35,DO82+DN83-DW82,IF(A83&lt;'Données projet'!$A$166,$DL$205^A83,IF(A83='Données projet'!$A$166,'Données projet'!$B$166,DO82+DN83-DW82)))</f>
        <v>228.00000000000009</v>
      </c>
      <c r="DP83" s="18">
        <f>DO83*VLOOKUP('Données projet'!$B$14,Paramètres!$A$1:$I$89,3,0)*VLOOKUP('Données projet'!$B$14,Paramètres!$A$1:$I$89,5,0)</f>
        <v>149.38560000000007</v>
      </c>
      <c r="DQ83" s="14">
        <f t="shared" si="97"/>
        <v>38.438927680599591</v>
      </c>
      <c r="DR83" s="22">
        <f t="shared" si="70"/>
        <v>327.12771904371107</v>
      </c>
      <c r="DS83" s="62">
        <f t="shared" si="71"/>
        <v>620.46105237704433</v>
      </c>
      <c r="DT83" s="62">
        <f ca="1">AVERAGE(OFFSET($DS$3,0,0,'Données projet'!$E$14+1,1))-AVERAGE(OFFSET($H$3,0,0,'Données projet'!$E$14+1,1))</f>
        <v>240.134073924311</v>
      </c>
      <c r="DU83" s="62">
        <f t="shared" si="98"/>
        <v>237.10378497981156</v>
      </c>
      <c r="DV83" s="16">
        <f>IF(ISNA(VLOOKUP(A83,'Données projet'!$A$165:$I$185,3,0)),0,VLOOKUP(A83,'Données projet'!$A$165:$I$185,3,0))</f>
        <v>15</v>
      </c>
      <c r="DW83" s="16">
        <f>IF(ISNA(VLOOKUP(A83,'Données projet'!$A$165:$I$185,4,0)),0,VLOOKUP(A83,'Données projet'!$A$165:$I$185,4,0))</f>
        <v>16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0.48618850593124213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4.9832375401467701E-7</v>
      </c>
      <c r="ED83" s="24">
        <f t="shared" si="72"/>
        <v>0.48618900425499617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4.4337866711430253E-14</v>
      </c>
      <c r="P84" s="14">
        <f t="shared" si="87"/>
        <v>7.3222115536967035E-13</v>
      </c>
      <c r="Q84" s="22">
        <f t="shared" si="54"/>
        <v>1.3525069634579169E-12</v>
      </c>
      <c r="R84" s="62">
        <f t="shared" si="55"/>
        <v>293.33333333333468</v>
      </c>
      <c r="S84" s="62">
        <f ca="1">AVERAGE(OFFSET($R$3,0,0,'Données projet'!$E$9+1,1))-AVERAGE(OFFSET($H$3,0,0,'Données projet'!$E$9+1,1))</f>
        <v>288.82868507674738</v>
      </c>
      <c r="T84" s="62">
        <f t="shared" si="88"/>
        <v>283.48738729114024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0.42216612293209821</v>
      </c>
      <c r="AB84" s="23">
        <f>EXP(-LN(2)/2)*AB83+(1-EXP(-LN(2)/2))/(LN(2)/2)*V84*Y84*VLOOKUP('Données projet'!$B$9,Paramètres!$A$1:$I$89,3,0)*0.475*44/12</f>
        <v>7.1592671706176803E-8</v>
      </c>
      <c r="AC84" s="24">
        <f t="shared" si="57"/>
        <v>0.42216619452476989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777.37197605573681</v>
      </c>
      <c r="AN84" s="62">
        <f ca="1">AVERAGE(OFFSET($AM$3,0,0,'Données projet'!$E$10+1,1))-AVERAGE(OFFSET($H$3,0,0,'Données projet'!$E$10+1,1))</f>
        <v>371.95849973474657</v>
      </c>
      <c r="AO84" s="62">
        <f t="shared" si="90"/>
        <v>233.32640143610547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4.0324175963398556E-7</v>
      </c>
      <c r="AX84" s="23">
        <f t="shared" si="60"/>
        <v>4.0324175963398556E-7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257.74632000000014</v>
      </c>
      <c r="BF84" s="14">
        <f t="shared" si="91"/>
        <v>62.24174132033847</v>
      </c>
      <c r="BG84" s="22">
        <f t="shared" si="61"/>
        <v>557.312540132923</v>
      </c>
      <c r="BH84" s="62">
        <f t="shared" si="62"/>
        <v>850.64587346625626</v>
      </c>
      <c r="BI84" s="62">
        <f ca="1">AVERAGE(OFFSET($BH$3,0,0,'Données projet'!$E$11+1,1))-AVERAGE(OFFSET($H$3,0,0,'Données projet'!$E$11+1,1))</f>
        <v>423.40903481736001</v>
      </c>
      <c r="BJ84" s="62">
        <f t="shared" si="92"/>
        <v>263.03039552465799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4.6581375681857151E-7</v>
      </c>
      <c r="BS84" s="24">
        <f t="shared" si="63"/>
        <v>4.6581375681857151E-7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3.9390243902439024</v>
      </c>
      <c r="BY84" s="13">
        <f>IF('Données projet'!$A$114&gt;35,BY83+BX84-CG83,IF(A84&lt;'Données projet'!$A$114,$BV$205^A84,IF(A84='Données projet'!$A$114,'Données projet'!$B$114,BY83+BX84-CG83)))</f>
        <v>319.06097560975604</v>
      </c>
      <c r="BZ84" s="14">
        <f>BY84*VLOOKUP('Données projet'!$B$12,Paramètres!$A$1:$I$89,3,0)*VLOOKUP('Données projet'!$B$12,Paramètres!$A$1:$I$89,5,0)</f>
        <v>149.32053658536583</v>
      </c>
      <c r="CA84" s="14">
        <f t="shared" si="93"/>
        <v>38.42413434541298</v>
      </c>
      <c r="CB84" s="22">
        <f t="shared" si="64"/>
        <v>326.98863520443973</v>
      </c>
      <c r="CC84" s="62">
        <f t="shared" si="65"/>
        <v>620.32196853777305</v>
      </c>
      <c r="CD84" s="62">
        <f ca="1">AVERAGE(OFFSET($CC$3,0,0,'Données projet'!$E$12+1,1))-AVERAGE(OFFSET($H$3,0,0,'Données projet'!$E$12+1,1))</f>
        <v>264.88170274686757</v>
      </c>
      <c r="CE84" s="62">
        <f t="shared" si="94"/>
        <v>160.81140876142001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251.70912000000001</v>
      </c>
      <c r="CV84" s="14">
        <f t="shared" si="95"/>
        <v>60.951777927910598</v>
      </c>
      <c r="CW84" s="22">
        <f t="shared" si="67"/>
        <v>544.55106389111097</v>
      </c>
      <c r="CX84" s="62">
        <f t="shared" si="68"/>
        <v>837.88439722444423</v>
      </c>
      <c r="CY84" s="62">
        <f ca="1">AVERAGE(OFFSET($CX$3,0,0,'Données projet'!$E$13+1,1))-AVERAGE(OFFSET($H$3,0,0,'Données projet'!$E$13+1,1))</f>
        <v>411.60020200960821</v>
      </c>
      <c r="CZ84" s="62">
        <f t="shared" si="96"/>
        <v>261.95434270986397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8.6047498359601786E-8</v>
      </c>
      <c r="DI84" s="24">
        <f t="shared" si="69"/>
        <v>8.6047498359601786E-8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</v>
      </c>
      <c r="DO84" s="13">
        <f>IF('Données projet'!$A$166&gt;35,DO83+DN84-DW83,IF(A84&lt;'Données projet'!$A$166,$DL$205^A84,IF(A84='Données projet'!$A$166,'Données projet'!$B$166,DO83+DN84-DW83)))</f>
        <v>216.00000000000009</v>
      </c>
      <c r="DP84" s="18">
        <f>DO84*VLOOKUP('Données projet'!$B$14,Paramètres!$A$1:$I$89,3,0)*VLOOKUP('Données projet'!$B$14,Paramètres!$A$1:$I$89,5,0)</f>
        <v>141.52320000000006</v>
      </c>
      <c r="DQ84" s="14">
        <f t="shared" si="97"/>
        <v>36.645729158274158</v>
      </c>
      <c r="DR84" s="22">
        <f t="shared" si="70"/>
        <v>310.31088495066086</v>
      </c>
      <c r="DS84" s="62">
        <f t="shared" si="71"/>
        <v>603.64421828399418</v>
      </c>
      <c r="DT84" s="62">
        <f ca="1">AVERAGE(OFFSET($DS$3,0,0,'Données projet'!$E$14+1,1))-AVERAGE(OFFSET($H$3,0,0,'Données projet'!$E$14+1,1))</f>
        <v>240.134073924311</v>
      </c>
      <c r="DU84" s="62">
        <f t="shared" si="98"/>
        <v>237.10378497981156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0.47665464587563766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3.5236810569011515E-7</v>
      </c>
      <c r="ED84" s="24">
        <f t="shared" si="72"/>
        <v>0.47665499824374336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4.4337866711430253E-14</v>
      </c>
      <c r="P85" s="14">
        <f t="shared" si="87"/>
        <v>7.3222115536967035E-13</v>
      </c>
      <c r="Q85" s="22">
        <f t="shared" si="54"/>
        <v>1.3525069634579169E-12</v>
      </c>
      <c r="R85" s="62">
        <f t="shared" si="55"/>
        <v>293.33333333333468</v>
      </c>
      <c r="S85" s="62">
        <f ca="1">AVERAGE(OFFSET($R$3,0,0,'Données projet'!$E$9+1,1))-AVERAGE(OFFSET($H$3,0,0,'Données projet'!$E$9+1,1))</f>
        <v>288.82868507674738</v>
      </c>
      <c r="T85" s="62">
        <f t="shared" si="88"/>
        <v>283.48738729114024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0.41062196809976848</v>
      </c>
      <c r="AB85" s="23">
        <f>EXP(-LN(2)/2)*AB84+(1-EXP(-LN(2)/2))/(LN(2)/2)*V85*Y85*VLOOKUP('Données projet'!$B$9,Paramètres!$A$1:$I$89,3,0)*0.475*44/12</f>
        <v>5.0623663646699893E-8</v>
      </c>
      <c r="AC85" s="24">
        <f t="shared" si="57"/>
        <v>0.41062201872343213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788.10916745495638</v>
      </c>
      <c r="AN85" s="62">
        <f ca="1">AVERAGE(OFFSET($AM$3,0,0,'Données projet'!$E$10+1,1))-AVERAGE(OFFSET($H$3,0,0,'Données projet'!$E$10+1,1))</f>
        <v>371.95849973474657</v>
      </c>
      <c r="AO85" s="62">
        <f t="shared" si="90"/>
        <v>233.32640143610547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2.8513498269478701E-7</v>
      </c>
      <c r="AX85" s="23">
        <f t="shared" si="60"/>
        <v>2.8513498269478701E-7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263.59944000000019</v>
      </c>
      <c r="BF85" s="14">
        <f t="shared" si="91"/>
        <v>63.489018075752625</v>
      </c>
      <c r="BG85" s="22">
        <f t="shared" si="61"/>
        <v>569.67906448193605</v>
      </c>
      <c r="BH85" s="62">
        <f t="shared" si="62"/>
        <v>863.01239781526942</v>
      </c>
      <c r="BI85" s="62">
        <f ca="1">AVERAGE(OFFSET($BH$3,0,0,'Données projet'!$E$11+1,1))-AVERAGE(OFFSET($H$3,0,0,'Données projet'!$E$11+1,1))</f>
        <v>423.40903481736001</v>
      </c>
      <c r="BJ85" s="62">
        <f t="shared" si="92"/>
        <v>263.03039552465799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3.2938006621639334E-7</v>
      </c>
      <c r="BS85" s="24">
        <f t="shared" si="63"/>
        <v>3.2938006621639334E-7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323</v>
      </c>
      <c r="BW85" s="13">
        <f>VLOOKUP(A85,'Données projet'!$A$113:$I$133,9,0)</f>
        <v>3.9390243902439024</v>
      </c>
      <c r="BX85" s="13">
        <f t="array" ref="BX85">INDEX(BW:BW,MIN(IF(ISNUMBER(BW85:BW281),ROW(BW85:BW281),"")))</f>
        <v>3.9390243902439024</v>
      </c>
      <c r="BY85" s="13">
        <f>IF('Données projet'!$A$114&gt;35,BY84+BX85-CG84,IF(A85&lt;'Données projet'!$A$114,$BV$205^A85,IF(A85='Données projet'!$A$114,'Données projet'!$B$114,BY84+BX85-CG84)))</f>
        <v>322.99999999999994</v>
      </c>
      <c r="BZ85" s="14">
        <f>BY85*VLOOKUP('Données projet'!$B$12,Paramètres!$A$1:$I$89,3,0)*VLOOKUP('Données projet'!$B$12,Paramètres!$A$1:$I$89,5,0)</f>
        <v>151.16399999999996</v>
      </c>
      <c r="CA85" s="14">
        <f t="shared" si="93"/>
        <v>38.842989674159945</v>
      </c>
      <c r="CB85" s="22">
        <f t="shared" si="64"/>
        <v>330.92884034916182</v>
      </c>
      <c r="CC85" s="62">
        <f t="shared" si="65"/>
        <v>624.26217368249513</v>
      </c>
      <c r="CD85" s="62">
        <f ca="1">AVERAGE(OFFSET($CC$3,0,0,'Données projet'!$E$12+1,1))-AVERAGE(OFFSET($H$3,0,0,'Données projet'!$E$12+1,1))</f>
        <v>264.88170274686757</v>
      </c>
      <c r="CE85" s="62">
        <f t="shared" si="94"/>
        <v>160.81140876142001</v>
      </c>
      <c r="CF85" s="16">
        <f>IF(ISNA(VLOOKUP(A85,'Données projet'!$A$113:$I$133,3,0)),0,VLOOKUP(A85,'Données projet'!$A$113:$I$133,3,0))</f>
        <v>1</v>
      </c>
      <c r="CG85" s="16">
        <f>IF(ISNA(VLOOKUP(A85,'Données projet'!$A$113:$I$133,4,0)),0,VLOOKUP(A85,'Données projet'!$A$113:$I$133,4,0))</f>
        <v>96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257.43744000000004</v>
      </c>
      <c r="CV85" s="14">
        <f t="shared" si="95"/>
        <v>62.175829233865038</v>
      </c>
      <c r="CW85" s="22">
        <f t="shared" si="67"/>
        <v>556.65977724898164</v>
      </c>
      <c r="CX85" s="62">
        <f t="shared" si="68"/>
        <v>849.99311058231501</v>
      </c>
      <c r="CY85" s="62">
        <f ca="1">AVERAGE(OFFSET($CX$3,0,0,'Données projet'!$E$13+1,1))-AVERAGE(OFFSET($H$3,0,0,'Données projet'!$E$13+1,1))</f>
        <v>411.60020200960821</v>
      </c>
      <c r="CZ85" s="62">
        <f t="shared" si="96"/>
        <v>261.95434270986397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6.0844769594212746E-8</v>
      </c>
      <c r="DI85" s="24">
        <f t="shared" si="69"/>
        <v>6.0844769594212746E-8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</v>
      </c>
      <c r="DO85" s="13">
        <f>IF('Données projet'!$A$166&gt;35,DO84+DN85-DW84,IF(A85&lt;'Données projet'!$A$166,$DL$205^A85,IF(A85='Données projet'!$A$166,'Données projet'!$B$166,DO84+DN85-DW84)))</f>
        <v>220.00000000000009</v>
      </c>
      <c r="DP85" s="18">
        <f>DO85*VLOOKUP('Données projet'!$B$14,Paramètres!$A$1:$I$89,3,0)*VLOOKUP('Données projet'!$B$14,Paramètres!$A$1:$I$89,5,0)</f>
        <v>144.14400000000006</v>
      </c>
      <c r="DQ85" s="14">
        <f t="shared" si="97"/>
        <v>37.244720006976252</v>
      </c>
      <c r="DR85" s="22">
        <f t="shared" si="70"/>
        <v>315.91868734548376</v>
      </c>
      <c r="DS85" s="62">
        <f t="shared" si="71"/>
        <v>609.25202067881708</v>
      </c>
      <c r="DT85" s="62">
        <f ca="1">AVERAGE(OFFSET($DS$3,0,0,'Données projet'!$E$14+1,1))-AVERAGE(OFFSET($H$3,0,0,'Données projet'!$E$14+1,1))</f>
        <v>240.134073924311</v>
      </c>
      <c r="DU85" s="62">
        <f t="shared" si="98"/>
        <v>237.10378497981156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0.46730773900064315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2.491618770073385E-7</v>
      </c>
      <c r="ED85" s="24">
        <f t="shared" si="72"/>
        <v>0.46730798816252017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4.4337866711430253E-14</v>
      </c>
      <c r="P86" s="14">
        <f t="shared" si="87"/>
        <v>7.3222115536967035E-13</v>
      </c>
      <c r="Q86" s="22">
        <f t="shared" si="54"/>
        <v>1.3525069634579169E-12</v>
      </c>
      <c r="R86" s="62">
        <f t="shared" si="55"/>
        <v>293.33333333333468</v>
      </c>
      <c r="S86" s="62">
        <f ca="1">AVERAGE(OFFSET($R$3,0,0,'Données projet'!$E$9+1,1))-AVERAGE(OFFSET($H$3,0,0,'Données projet'!$E$9+1,1))</f>
        <v>288.82868507674738</v>
      </c>
      <c r="T86" s="62">
        <f t="shared" si="88"/>
        <v>283.48738729114024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0.39939348878840947</v>
      </c>
      <c r="AB86" s="23">
        <f>EXP(-LN(2)/2)*AB85+(1-EXP(-LN(2)/2))/(LN(2)/2)*V86*Y86*VLOOKUP('Données projet'!$B$9,Paramètres!$A$1:$I$89,3,0)*0.475*44/12</f>
        <v>3.5796335853088402E-8</v>
      </c>
      <c r="AC86" s="24">
        <f t="shared" si="57"/>
        <v>0.39939352458474531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798.84142205257444</v>
      </c>
      <c r="AN86" s="62">
        <f ca="1">AVERAGE(OFFSET($AM$3,0,0,'Données projet'!$E$10+1,1))-AVERAGE(OFFSET($H$3,0,0,'Données projet'!$E$10+1,1))</f>
        <v>371.95849973474657</v>
      </c>
      <c r="AO86" s="62">
        <f t="shared" si="90"/>
        <v>233.32640143610547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2.0162087981699278E-7</v>
      </c>
      <c r="AX86" s="23">
        <f t="shared" si="60"/>
        <v>2.0162087981699278E-7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269.45256000000012</v>
      </c>
      <c r="BF86" s="14">
        <f t="shared" si="91"/>
        <v>64.733074983282165</v>
      </c>
      <c r="BG86" s="22">
        <f t="shared" si="61"/>
        <v>582.03998092921665</v>
      </c>
      <c r="BH86" s="62">
        <f t="shared" si="62"/>
        <v>875.37331426254991</v>
      </c>
      <c r="BI86" s="62">
        <f ca="1">AVERAGE(OFFSET($BH$3,0,0,'Données projet'!$E$11+1,1))-AVERAGE(OFFSET($H$3,0,0,'Données projet'!$E$11+1,1))</f>
        <v>423.40903481736001</v>
      </c>
      <c r="BJ86" s="62">
        <f t="shared" si="92"/>
        <v>263.03039552465799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2.3290687840928578E-7</v>
      </c>
      <c r="BS86" s="24">
        <f t="shared" si="63"/>
        <v>2.3290687840928578E-7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5.5625</v>
      </c>
      <c r="BY86" s="13">
        <f>IF('Données projet'!$A$114&gt;35,BY85+BX86-CG85,IF(A86&lt;'Données projet'!$A$114,$BV$205^A86,IF(A86='Données projet'!$A$114,'Données projet'!$B$114,BY85+BX86-CG85)))</f>
        <v>232.56249999999994</v>
      </c>
      <c r="BZ86" s="14">
        <f>BY86*VLOOKUP('Données projet'!$B$12,Paramètres!$A$1:$I$89,3,0)*VLOOKUP('Données projet'!$B$12,Paramètres!$A$1:$I$89,5,0)</f>
        <v>108.83924999999998</v>
      </c>
      <c r="CA86" s="14">
        <f t="shared" si="93"/>
        <v>29.057334199089794</v>
      </c>
      <c r="CB86" s="22">
        <f t="shared" si="64"/>
        <v>240.16988414674799</v>
      </c>
      <c r="CC86" s="62">
        <f t="shared" si="65"/>
        <v>533.50321748008128</v>
      </c>
      <c r="CD86" s="62">
        <f ca="1">AVERAGE(OFFSET($CC$3,0,0,'Données projet'!$E$12+1,1))-AVERAGE(OFFSET($H$3,0,0,'Données projet'!$E$12+1,1))</f>
        <v>264.88170274686757</v>
      </c>
      <c r="CE86" s="62">
        <f t="shared" si="94"/>
        <v>160.81140876142001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263.16576000000003</v>
      </c>
      <c r="CV86" s="14">
        <f t="shared" si="95"/>
        <v>63.396714008817959</v>
      </c>
      <c r="CW86" s="22">
        <f t="shared" si="67"/>
        <v>568.76297556535803</v>
      </c>
      <c r="CX86" s="62">
        <f t="shared" si="68"/>
        <v>862.0963088986914</v>
      </c>
      <c r="CY86" s="62">
        <f ca="1">AVERAGE(OFFSET($CX$3,0,0,'Données projet'!$E$13+1,1))-AVERAGE(OFFSET($H$3,0,0,'Données projet'!$E$13+1,1))</f>
        <v>411.60020200960821</v>
      </c>
      <c r="CZ86" s="62">
        <f t="shared" si="96"/>
        <v>261.95434270986397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4.3023749179800893E-8</v>
      </c>
      <c r="DI86" s="24">
        <f t="shared" si="69"/>
        <v>4.3023749179800893E-8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</v>
      </c>
      <c r="DO86" s="13">
        <f>IF('Données projet'!$A$166&gt;35,DO85+DN86-DW85,IF(A86&lt;'Données projet'!$A$166,$DL$205^A86,IF(A86='Données projet'!$A$166,'Données projet'!$B$166,DO85+DN86-DW85)))</f>
        <v>224.00000000000009</v>
      </c>
      <c r="DP86" s="18">
        <f>DO86*VLOOKUP('Données projet'!$B$14,Paramètres!$A$1:$I$89,3,0)*VLOOKUP('Données projet'!$B$14,Paramètres!$A$1:$I$89,5,0)</f>
        <v>146.76480000000004</v>
      </c>
      <c r="DQ86" s="14">
        <f t="shared" si="97"/>
        <v>37.842444439956665</v>
      </c>
      <c r="DR86" s="22">
        <f t="shared" si="70"/>
        <v>321.52428406625791</v>
      </c>
      <c r="DS86" s="62">
        <f t="shared" si="71"/>
        <v>614.85761739959116</v>
      </c>
      <c r="DT86" s="62">
        <f ca="1">AVERAGE(OFFSET($DS$3,0,0,'Données projet'!$E$14+1,1))-AVERAGE(OFFSET($H$3,0,0,'Données projet'!$E$14+1,1))</f>
        <v>240.134073924311</v>
      </c>
      <c r="DU86" s="62">
        <f t="shared" si="98"/>
        <v>237.10378497981156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0.45814411926841697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1.7618405284505758E-7</v>
      </c>
      <c r="ED86" s="24">
        <f t="shared" si="72"/>
        <v>0.45814429545246982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4.4337866711430253E-14</v>
      </c>
      <c r="P87" s="14">
        <f t="shared" si="87"/>
        <v>7.3222115536967035E-13</v>
      </c>
      <c r="Q87" s="22">
        <f t="shared" si="54"/>
        <v>1.3525069634579169E-12</v>
      </c>
      <c r="R87" s="62">
        <f t="shared" si="55"/>
        <v>293.33333333333468</v>
      </c>
      <c r="S87" s="62">
        <f ca="1">AVERAGE(OFFSET($R$3,0,0,'Données projet'!$E$9+1,1))-AVERAGE(OFFSET($H$3,0,0,'Données projet'!$E$9+1,1))</f>
        <v>288.82868507674738</v>
      </c>
      <c r="T87" s="62">
        <f t="shared" si="88"/>
        <v>283.48738729114024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0.38847205283429964</v>
      </c>
      <c r="AB87" s="23">
        <f>EXP(-LN(2)/2)*AB86+(1-EXP(-LN(2)/2))/(LN(2)/2)*V87*Y87*VLOOKUP('Données projet'!$B$9,Paramètres!$A$1:$I$89,3,0)*0.475*44/12</f>
        <v>2.5311831823349947E-8</v>
      </c>
      <c r="AC87" s="24">
        <f t="shared" si="57"/>
        <v>0.38847207814613144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809.56885943743691</v>
      </c>
      <c r="AN87" s="62">
        <f ca="1">AVERAGE(OFFSET($AM$3,0,0,'Données projet'!$E$10+1,1))-AVERAGE(OFFSET($H$3,0,0,'Données projet'!$E$10+1,1))</f>
        <v>371.95849973474657</v>
      </c>
      <c r="AO87" s="62">
        <f t="shared" si="90"/>
        <v>233.32640143610547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1.4256749134739351E-7</v>
      </c>
      <c r="AX87" s="23">
        <f t="shared" si="60"/>
        <v>1.4256749134739351E-7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275.30568000000022</v>
      </c>
      <c r="BF87" s="14">
        <f t="shared" si="91"/>
        <v>65.973990040368307</v>
      </c>
      <c r="BG87" s="22">
        <f t="shared" si="61"/>
        <v>594.39542532030839</v>
      </c>
      <c r="BH87" s="62">
        <f t="shared" si="62"/>
        <v>887.72875865364176</v>
      </c>
      <c r="BI87" s="62">
        <f ca="1">AVERAGE(OFFSET($BH$3,0,0,'Données projet'!$E$11+1,1))-AVERAGE(OFFSET($H$3,0,0,'Données projet'!$E$11+1,1))</f>
        <v>423.40903481736001</v>
      </c>
      <c r="BJ87" s="62">
        <f t="shared" si="92"/>
        <v>263.03039552465799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1.6469003310819669E-7</v>
      </c>
      <c r="BS87" s="24">
        <f t="shared" si="63"/>
        <v>1.6469003310819669E-7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5.5625</v>
      </c>
      <c r="BY87" s="13">
        <f>IF('Données projet'!$A$114&gt;35,BY86+BX87-CG86,IF(A87&lt;'Données projet'!$A$114,$BV$205^A87,IF(A87='Données projet'!$A$114,'Données projet'!$B$114,BY86+BX87-CG86)))</f>
        <v>238.12499999999994</v>
      </c>
      <c r="BZ87" s="14">
        <f>BY87*VLOOKUP('Données projet'!$B$12,Paramètres!$A$1:$I$89,3,0)*VLOOKUP('Données projet'!$B$12,Paramètres!$A$1:$I$89,5,0)</f>
        <v>111.44249999999998</v>
      </c>
      <c r="CA87" s="14">
        <f t="shared" si="93"/>
        <v>29.670590691724858</v>
      </c>
      <c r="CB87" s="22">
        <f t="shared" si="64"/>
        <v>245.77196628808744</v>
      </c>
      <c r="CC87" s="62">
        <f t="shared" si="65"/>
        <v>539.10529962142073</v>
      </c>
      <c r="CD87" s="62">
        <f ca="1">AVERAGE(OFFSET($CC$3,0,0,'Données projet'!$E$12+1,1))-AVERAGE(OFFSET($H$3,0,0,'Données projet'!$E$12+1,1))</f>
        <v>264.88170274686757</v>
      </c>
      <c r="CE87" s="62">
        <f t="shared" si="94"/>
        <v>160.81140876142001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268.89408000000003</v>
      </c>
      <c r="CV87" s="14">
        <f t="shared" si="95"/>
        <v>64.614509116360949</v>
      </c>
      <c r="CW87" s="22">
        <f t="shared" si="67"/>
        <v>580.86079271099538</v>
      </c>
      <c r="CX87" s="62">
        <f t="shared" si="68"/>
        <v>874.19412604432864</v>
      </c>
      <c r="CY87" s="62">
        <f ca="1">AVERAGE(OFFSET($CX$3,0,0,'Données projet'!$E$13+1,1))-AVERAGE(OFFSET($H$3,0,0,'Données projet'!$E$13+1,1))</f>
        <v>411.60020200960821</v>
      </c>
      <c r="CZ87" s="62">
        <f t="shared" si="96"/>
        <v>261.95434270986397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3.0422384797106373E-8</v>
      </c>
      <c r="DI87" s="24">
        <f t="shared" si="69"/>
        <v>3.0422384797106373E-8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</v>
      </c>
      <c r="DO87" s="13">
        <f>IF('Données projet'!$A$166&gt;35,DO86+DN87-DW86,IF(A87&lt;'Données projet'!$A$166,$DL$205^A87,IF(A87='Données projet'!$A$166,'Données projet'!$B$166,DO86+DN87-DW86)))</f>
        <v>228.00000000000009</v>
      </c>
      <c r="DP87" s="18">
        <f>DO87*VLOOKUP('Données projet'!$B$14,Paramètres!$A$1:$I$89,3,0)*VLOOKUP('Données projet'!$B$14,Paramètres!$A$1:$I$89,5,0)</f>
        <v>149.38560000000007</v>
      </c>
      <c r="DQ87" s="14">
        <f t="shared" si="97"/>
        <v>38.438927680599591</v>
      </c>
      <c r="DR87" s="22">
        <f t="shared" si="70"/>
        <v>327.12771904371107</v>
      </c>
      <c r="DS87" s="62">
        <f t="shared" si="71"/>
        <v>620.46105237704433</v>
      </c>
      <c r="DT87" s="62">
        <f ca="1">AVERAGE(OFFSET($DS$3,0,0,'Données projet'!$E$14+1,1))-AVERAGE(OFFSET($H$3,0,0,'Données projet'!$E$14+1,1))</f>
        <v>240.134073924311</v>
      </c>
      <c r="DU87" s="62">
        <f t="shared" si="98"/>
        <v>237.10378497981156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0.44916019252988365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1.2458093850366925E-7</v>
      </c>
      <c r="ED87" s="24">
        <f t="shared" si="72"/>
        <v>0.44916031711082216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4.4337866711430253E-14</v>
      </c>
      <c r="P88" s="14">
        <f t="shared" si="87"/>
        <v>7.3222115536967035E-13</v>
      </c>
      <c r="Q88" s="22">
        <f t="shared" si="54"/>
        <v>1.3525069634579169E-12</v>
      </c>
      <c r="R88" s="62">
        <f t="shared" si="55"/>
        <v>293.33333333333468</v>
      </c>
      <c r="S88" s="62">
        <f ca="1">AVERAGE(OFFSET($R$3,0,0,'Données projet'!$E$9+1,1))-AVERAGE(OFFSET($H$3,0,0,'Données projet'!$E$9+1,1))</f>
        <v>288.82868507674738</v>
      </c>
      <c r="T88" s="62">
        <f t="shared" si="88"/>
        <v>283.48738729114024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0.37784926412068831</v>
      </c>
      <c r="AB88" s="23">
        <f>EXP(-LN(2)/2)*AB87+(1-EXP(-LN(2)/2))/(LN(2)/2)*V88*Y88*VLOOKUP('Données projet'!$B$9,Paramètres!$A$1:$I$89,3,0)*0.475*44/12</f>
        <v>1.7898167926544201E-8</v>
      </c>
      <c r="AC88" s="24">
        <f t="shared" si="57"/>
        <v>0.37784928201885626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820.29159382285434</v>
      </c>
      <c r="AN88" s="62">
        <f ca="1">AVERAGE(OFFSET($AM$3,0,0,'Données projet'!$E$10+1,1))-AVERAGE(OFFSET($H$3,0,0,'Données projet'!$E$10+1,1))</f>
        <v>371.95849973474657</v>
      </c>
      <c r="AO88" s="62">
        <f t="shared" si="90"/>
        <v>233.32640143610547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1.0081043990849639E-7</v>
      </c>
      <c r="AX88" s="23">
        <f t="shared" si="60"/>
        <v>1.0081043990849639E-7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281.15880000000021</v>
      </c>
      <c r="BF88" s="14">
        <f t="shared" si="91"/>
        <v>67.211837738456325</v>
      </c>
      <c r="BG88" s="22">
        <f t="shared" si="61"/>
        <v>606.74552739447847</v>
      </c>
      <c r="BH88" s="62">
        <f t="shared" si="62"/>
        <v>900.07886072781184</v>
      </c>
      <c r="BI88" s="62">
        <f ca="1">AVERAGE(OFFSET($BH$3,0,0,'Données projet'!$E$11+1,1))-AVERAGE(OFFSET($H$3,0,0,'Données projet'!$E$11+1,1))</f>
        <v>423.40903481736001</v>
      </c>
      <c r="BJ88" s="62">
        <f t="shared" si="92"/>
        <v>263.03039552465799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1.1645343920464292E-7</v>
      </c>
      <c r="BS88" s="24">
        <f t="shared" si="63"/>
        <v>1.1645343920464292E-7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5.5625</v>
      </c>
      <c r="BY88" s="13">
        <f>IF('Données projet'!$A$114&gt;35,BY87+BX88-CG87,IF(A88&lt;'Données projet'!$A$114,$BV$205^A88,IF(A88='Données projet'!$A$114,'Données projet'!$B$114,BY87+BX88-CG87)))</f>
        <v>243.68749999999994</v>
      </c>
      <c r="BZ88" s="14">
        <f>BY88*VLOOKUP('Données projet'!$B$12,Paramètres!$A$1:$I$89,3,0)*VLOOKUP('Données projet'!$B$12,Paramètres!$A$1:$I$89,5,0)</f>
        <v>114.04574999999997</v>
      </c>
      <c r="CA88" s="14">
        <f t="shared" si="93"/>
        <v>30.282181811008613</v>
      </c>
      <c r="CB88" s="22">
        <f t="shared" si="64"/>
        <v>251.37114790417323</v>
      </c>
      <c r="CC88" s="62">
        <f t="shared" si="65"/>
        <v>544.70448123750657</v>
      </c>
      <c r="CD88" s="62">
        <f ca="1">AVERAGE(OFFSET($CC$3,0,0,'Données projet'!$E$12+1,1))-AVERAGE(OFFSET($H$3,0,0,'Données projet'!$E$12+1,1))</f>
        <v>264.88170274686757</v>
      </c>
      <c r="CE88" s="62">
        <f t="shared" si="94"/>
        <v>160.81140876142001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274.62240000000008</v>
      </c>
      <c r="CV88" s="14">
        <f t="shared" si="95"/>
        <v>65.829287958103762</v>
      </c>
      <c r="CW88" s="22">
        <f t="shared" si="67"/>
        <v>592.95335652703079</v>
      </c>
      <c r="CX88" s="62">
        <f t="shared" si="68"/>
        <v>886.28668986036405</v>
      </c>
      <c r="CY88" s="62">
        <f ca="1">AVERAGE(OFFSET($CX$3,0,0,'Données projet'!$E$13+1,1))-AVERAGE(OFFSET($H$3,0,0,'Données projet'!$E$13+1,1))</f>
        <v>411.60020200960821</v>
      </c>
      <c r="CZ88" s="62">
        <f t="shared" si="96"/>
        <v>261.95434270986397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2.1511874589900446E-8</v>
      </c>
      <c r="DI88" s="24">
        <f t="shared" si="69"/>
        <v>2.1511874589900446E-8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232</v>
      </c>
      <c r="DM88" s="13">
        <f>VLOOKUP(A88,'Données projet'!$A$165:$I$185,9,0)</f>
        <v>4</v>
      </c>
      <c r="DN88" s="13">
        <f t="array" ref="DN88">INDEX(DM:DM,MIN(IF(ISNUMBER(DM88:DM284),ROW(DM88:DM284),"")))</f>
        <v>4</v>
      </c>
      <c r="DO88" s="13">
        <f>IF('Données projet'!$A$166&gt;35,DO87+DN88-DW87,IF(A88&lt;'Données projet'!$A$166,$DL$205^A88,IF(A88='Données projet'!$A$166,'Données projet'!$B$166,DO87+DN88-DW87)))</f>
        <v>232.00000000000009</v>
      </c>
      <c r="DP88" s="18">
        <f>DO88*VLOOKUP('Données projet'!$B$14,Paramètres!$A$1:$I$89,3,0)*VLOOKUP('Données projet'!$B$14,Paramètres!$A$1:$I$89,5,0)</f>
        <v>152.00640000000004</v>
      </c>
      <c r="DQ88" s="14">
        <f t="shared" si="97"/>
        <v>39.034194016561486</v>
      </c>
      <c r="DR88" s="22">
        <f t="shared" si="70"/>
        <v>332.72903457884462</v>
      </c>
      <c r="DS88" s="62">
        <f t="shared" si="71"/>
        <v>626.06236791217793</v>
      </c>
      <c r="DT88" s="62">
        <f ca="1">AVERAGE(OFFSET($DS$3,0,0,'Données projet'!$E$14+1,1))-AVERAGE(OFFSET($H$3,0,0,'Données projet'!$E$14+1,1))</f>
        <v>240.134073924311</v>
      </c>
      <c r="DU88" s="62">
        <f t="shared" si="98"/>
        <v>237.10378497981156</v>
      </c>
      <c r="DV88" s="16">
        <f>IF(ISNA(VLOOKUP(A88,'Données projet'!$A$165:$I$185,3,0)),0,VLOOKUP(A88,'Données projet'!$A$165:$I$185,3,0))</f>
        <v>16</v>
      </c>
      <c r="DW88" s="16">
        <f>IF(ISNA(VLOOKUP(A88,'Données projet'!$A$165:$I$185,4,0)),0,VLOOKUP(A88,'Données projet'!$A$165:$I$185,4,0))</f>
        <v>15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0.44035243511503869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8.8092026422528788E-8</v>
      </c>
      <c r="ED88" s="24">
        <f t="shared" si="72"/>
        <v>0.44035252320706508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4.4337866711430253E-14</v>
      </c>
      <c r="P89" s="14">
        <f t="shared" si="87"/>
        <v>7.3222115536967035E-13</v>
      </c>
      <c r="Q89" s="22">
        <f t="shared" si="54"/>
        <v>1.3525069634579169E-12</v>
      </c>
      <c r="R89" s="62">
        <f t="shared" si="55"/>
        <v>293.33333333333468</v>
      </c>
      <c r="S89" s="62">
        <f ca="1">AVERAGE(OFFSET($R$3,0,0,'Données projet'!$E$9+1,1))-AVERAGE(OFFSET($H$3,0,0,'Données projet'!$E$9+1,1))</f>
        <v>288.82868507674738</v>
      </c>
      <c r="T89" s="62">
        <f t="shared" si="88"/>
        <v>283.48738729114024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0.36751695612307889</v>
      </c>
      <c r="AB89" s="23">
        <f>EXP(-LN(2)/2)*AB88+(1-EXP(-LN(2)/2))/(LN(2)/2)*V89*Y89*VLOOKUP('Données projet'!$B$9,Paramètres!$A$1:$I$89,3,0)*0.475*44/12</f>
        <v>1.2655915911674973E-8</v>
      </c>
      <c r="AC89" s="24">
        <f t="shared" si="57"/>
        <v>0.36751696877899481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790.40934773559309</v>
      </c>
      <c r="AN89" s="62">
        <f ca="1">AVERAGE(OFFSET($AM$3,0,0,'Données projet'!$E$10+1,1))-AVERAGE(OFFSET($H$3,0,0,'Données projet'!$E$10+1,1))</f>
        <v>371.95849973474657</v>
      </c>
      <c r="AO89" s="62">
        <f t="shared" si="90"/>
        <v>233.32640143610547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7.1283745673696753E-8</v>
      </c>
      <c r="AX89" s="23">
        <f t="shared" si="60"/>
        <v>7.1283745673696753E-8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264.85368000000017</v>
      </c>
      <c r="BF89" s="14">
        <f t="shared" si="91"/>
        <v>63.755870044337875</v>
      </c>
      <c r="BG89" s="22">
        <f t="shared" si="61"/>
        <v>572.32829966055533</v>
      </c>
      <c r="BH89" s="62">
        <f t="shared" si="62"/>
        <v>865.66163299388859</v>
      </c>
      <c r="BI89" s="62">
        <f ca="1">AVERAGE(OFFSET($BH$3,0,0,'Données projet'!$E$11+1,1))-AVERAGE(OFFSET($H$3,0,0,'Données projet'!$E$11+1,1))</f>
        <v>423.40903481736001</v>
      </c>
      <c r="BJ89" s="62">
        <f t="shared" si="92"/>
        <v>263.03039552465799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8.2345016554098361E-8</v>
      </c>
      <c r="BS89" s="24">
        <f t="shared" si="63"/>
        <v>8.2345016554098361E-8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5.5625</v>
      </c>
      <c r="BY89" s="13">
        <f>IF('Données projet'!$A$114&gt;35,BY88+BX89-CG88,IF(A89&lt;'Données projet'!$A$114,$BV$205^A89,IF(A89='Données projet'!$A$114,'Données projet'!$B$114,BY88+BX89-CG88)))</f>
        <v>249.24999999999994</v>
      </c>
      <c r="BZ89" s="14">
        <f>BY89*VLOOKUP('Données projet'!$B$12,Paramètres!$A$1:$I$89,3,0)*VLOOKUP('Données projet'!$B$12,Paramètres!$A$1:$I$89,5,0)</f>
        <v>116.64899999999997</v>
      </c>
      <c r="CA89" s="14">
        <f t="shared" si="93"/>
        <v>30.892149947349893</v>
      </c>
      <c r="CB89" s="22">
        <f t="shared" si="64"/>
        <v>256.96750282496765</v>
      </c>
      <c r="CC89" s="62">
        <f t="shared" si="65"/>
        <v>550.30083615830097</v>
      </c>
      <c r="CD89" s="62">
        <f ca="1">AVERAGE(OFFSET($CC$3,0,0,'Données projet'!$E$12+1,1))-AVERAGE(OFFSET($H$3,0,0,'Données projet'!$E$12+1,1))</f>
        <v>264.88170274686757</v>
      </c>
      <c r="CE89" s="62">
        <f t="shared" si="94"/>
        <v>160.81140876142001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256.42656000000005</v>
      </c>
      <c r="CV89" s="14">
        <f t="shared" si="95"/>
        <v>61.960052520146306</v>
      </c>
      <c r="CW89" s="22">
        <f t="shared" si="67"/>
        <v>554.52335013925483</v>
      </c>
      <c r="CX89" s="62">
        <f t="shared" si="68"/>
        <v>847.8566834725882</v>
      </c>
      <c r="CY89" s="62">
        <f ca="1">AVERAGE(OFFSET($CX$3,0,0,'Données projet'!$E$13+1,1))-AVERAGE(OFFSET($H$3,0,0,'Données projet'!$E$13+1,1))</f>
        <v>411.60020200960821</v>
      </c>
      <c r="CZ89" s="62">
        <f t="shared" si="96"/>
        <v>261.95434270986397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1.5211192398553186E-8</v>
      </c>
      <c r="DI89" s="24">
        <f t="shared" si="69"/>
        <v>1.5211192398553186E-8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</v>
      </c>
      <c r="DO89" s="13">
        <f>IF('Données projet'!$A$166&gt;35,DO88+DN89-DW88,IF(A89&lt;'Données projet'!$A$166,$DL$205^A89,IF(A89='Données projet'!$A$166,'Données projet'!$B$166,DO88+DN89-DW88)))</f>
        <v>220.8000000000001</v>
      </c>
      <c r="DP89" s="18">
        <f>DO89*VLOOKUP('Données projet'!$B$14,Paramètres!$A$1:$I$89,3,0)*VLOOKUP('Données projet'!$B$14,Paramètres!$A$1:$I$89,5,0)</f>
        <v>144.66816000000006</v>
      </c>
      <c r="DQ89" s="14">
        <f t="shared" si="97"/>
        <v>37.364365385783159</v>
      </c>
      <c r="DR89" s="22">
        <f t="shared" si="70"/>
        <v>317.03998171357244</v>
      </c>
      <c r="DS89" s="62">
        <f t="shared" si="71"/>
        <v>610.37331504690576</v>
      </c>
      <c r="DT89" s="62">
        <f ca="1">AVERAGE(OFFSET($DS$3,0,0,'Données projet'!$E$14+1,1))-AVERAGE(OFFSET($H$3,0,0,'Données projet'!$E$14+1,1))</f>
        <v>240.134073924311</v>
      </c>
      <c r="DU89" s="62">
        <f t="shared" si="98"/>
        <v>237.10378497981156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0.4317173924508973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6.2290469251834626E-8</v>
      </c>
      <c r="ED89" s="24">
        <f t="shared" si="72"/>
        <v>0.43171745474136652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4.4337866711430253E-14</v>
      </c>
      <c r="P90" s="14">
        <f t="shared" si="87"/>
        <v>7.3222115536967035E-13</v>
      </c>
      <c r="Q90" s="22">
        <f t="shared" si="54"/>
        <v>1.3525069634579169E-12</v>
      </c>
      <c r="R90" s="62">
        <f t="shared" si="55"/>
        <v>293.33333333333468</v>
      </c>
      <c r="S90" s="62">
        <f ca="1">AVERAGE(OFFSET($R$3,0,0,'Données projet'!$E$9+1,1))-AVERAGE(OFFSET($H$3,0,0,'Données projet'!$E$9+1,1))</f>
        <v>288.82868507674738</v>
      </c>
      <c r="T90" s="62">
        <f t="shared" si="88"/>
        <v>283.48738729114024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0.35746718563101654</v>
      </c>
      <c r="AB90" s="23">
        <f>EXP(-LN(2)/2)*AB89+(1-EXP(-LN(2)/2))/(LN(2)/2)*V90*Y90*VLOOKUP('Données projet'!$B$9,Paramètres!$A$1:$I$89,3,0)*0.475*44/12</f>
        <v>8.9490839632721004E-9</v>
      </c>
      <c r="AC90" s="24">
        <f t="shared" si="57"/>
        <v>0.35746719458010051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800.75738581526605</v>
      </c>
      <c r="AN90" s="62">
        <f ca="1">AVERAGE(OFFSET($AM$3,0,0,'Données projet'!$E$10+1,1))-AVERAGE(OFFSET($H$3,0,0,'Données projet'!$E$10+1,1))</f>
        <v>371.95849973474657</v>
      </c>
      <c r="AO90" s="62">
        <f t="shared" si="90"/>
        <v>233.32640143610547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5.0405219954248195E-8</v>
      </c>
      <c r="AX90" s="23">
        <f t="shared" si="60"/>
        <v>5.0405219954248195E-8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270.49776000000014</v>
      </c>
      <c r="BF90" s="14">
        <f t="shared" si="91"/>
        <v>64.954895195886436</v>
      </c>
      <c r="BG90" s="22">
        <f t="shared" si="61"/>
        <v>584.24670779950236</v>
      </c>
      <c r="BH90" s="62">
        <f t="shared" si="62"/>
        <v>877.58004113283573</v>
      </c>
      <c r="BI90" s="62">
        <f ca="1">AVERAGE(OFFSET($BH$3,0,0,'Données projet'!$E$11+1,1))-AVERAGE(OFFSET($H$3,0,0,'Données projet'!$E$11+1,1))</f>
        <v>423.40903481736001</v>
      </c>
      <c r="BJ90" s="62">
        <f t="shared" si="92"/>
        <v>263.03039552465799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5.8226719602321465E-8</v>
      </c>
      <c r="BS90" s="24">
        <f t="shared" si="63"/>
        <v>5.8226719602321465E-8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5.5625</v>
      </c>
      <c r="BY90" s="13">
        <f>IF('Données projet'!$A$114&gt;35,BY89+BX90-CG89,IF(A90&lt;'Données projet'!$A$114,$BV$205^A90,IF(A90='Données projet'!$A$114,'Données projet'!$B$114,BY89+BX90-CG89)))</f>
        <v>254.81249999999994</v>
      </c>
      <c r="BZ90" s="14">
        <f>BY90*VLOOKUP('Données projet'!$B$12,Paramètres!$A$1:$I$89,3,0)*VLOOKUP('Données projet'!$B$12,Paramètres!$A$1:$I$89,5,0)</f>
        <v>119.25224999999998</v>
      </c>
      <c r="CA90" s="14">
        <f t="shared" si="93"/>
        <v>31.500535491090016</v>
      </c>
      <c r="CB90" s="22">
        <f t="shared" si="64"/>
        <v>262.56110139698171</v>
      </c>
      <c r="CC90" s="62">
        <f t="shared" si="65"/>
        <v>555.89443473031497</v>
      </c>
      <c r="CD90" s="62">
        <f ca="1">AVERAGE(OFFSET($CC$3,0,0,'Données projet'!$E$12+1,1))-AVERAGE(OFFSET($H$3,0,0,'Données projet'!$E$12+1,1))</f>
        <v>264.88170274686757</v>
      </c>
      <c r="CE90" s="62">
        <f t="shared" si="94"/>
        <v>160.81140876142001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261.81792000000002</v>
      </c>
      <c r="CV90" s="14">
        <f t="shared" si="95"/>
        <v>63.109727755181751</v>
      </c>
      <c r="CW90" s="22">
        <f t="shared" si="67"/>
        <v>565.91565317360812</v>
      </c>
      <c r="CX90" s="62">
        <f t="shared" si="68"/>
        <v>859.24898650694149</v>
      </c>
      <c r="CY90" s="62">
        <f ca="1">AVERAGE(OFFSET($CX$3,0,0,'Données projet'!$E$13+1,1))-AVERAGE(OFFSET($H$3,0,0,'Données projet'!$E$13+1,1))</f>
        <v>411.60020200960821</v>
      </c>
      <c r="CZ90" s="62">
        <f t="shared" si="96"/>
        <v>261.95434270986397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1.0755937294950223E-8</v>
      </c>
      <c r="DI90" s="24">
        <f t="shared" si="69"/>
        <v>1.0755937294950223E-8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</v>
      </c>
      <c r="DO90" s="13">
        <f>IF('Données projet'!$A$166&gt;35,DO89+DN90-DW89,IF(A90&lt;'Données projet'!$A$166,$DL$205^A90,IF(A90='Données projet'!$A$166,'Données projet'!$B$166,DO89+DN90-DW89)))</f>
        <v>224.60000000000011</v>
      </c>
      <c r="DP90" s="18">
        <f>DO90*VLOOKUP('Données projet'!$B$14,Paramètres!$A$1:$I$89,3,0)*VLOOKUP('Données projet'!$B$14,Paramètres!$A$1:$I$89,5,0)</f>
        <v>147.15792000000008</v>
      </c>
      <c r="DQ90" s="14">
        <f t="shared" si="97"/>
        <v>37.931995448211751</v>
      </c>
      <c r="DR90" s="22">
        <f t="shared" si="70"/>
        <v>322.36493607230227</v>
      </c>
      <c r="DS90" s="62">
        <f t="shared" si="71"/>
        <v>615.69826940563553</v>
      </c>
      <c r="DT90" s="62">
        <f ca="1">AVERAGE(OFFSET($DS$3,0,0,'Données projet'!$E$14+1,1))-AVERAGE(OFFSET($H$3,0,0,'Données projet'!$E$14+1,1))</f>
        <v>240.134073924311</v>
      </c>
      <c r="DU90" s="62">
        <f t="shared" si="98"/>
        <v>237.10378497981156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0.42325167770654376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4.4046013211264394E-8</v>
      </c>
      <c r="ED90" s="24">
        <f t="shared" si="72"/>
        <v>0.42325172175255699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4.4337866711430253E-14</v>
      </c>
      <c r="P91" s="14">
        <f t="shared" si="87"/>
        <v>7.3222115536967035E-13</v>
      </c>
      <c r="Q91" s="22">
        <f t="shared" si="54"/>
        <v>1.3525069634579169E-12</v>
      </c>
      <c r="R91" s="62">
        <f t="shared" si="55"/>
        <v>293.33333333333468</v>
      </c>
      <c r="S91" s="62">
        <f ca="1">AVERAGE(OFFSET($R$3,0,0,'Données projet'!$E$9+1,1))-AVERAGE(OFFSET($H$3,0,0,'Données projet'!$E$9+1,1))</f>
        <v>288.82868507674738</v>
      </c>
      <c r="T91" s="62">
        <f t="shared" si="88"/>
        <v>283.48738729114024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0.34769222664155408</v>
      </c>
      <c r="AB91" s="23">
        <f>EXP(-LN(2)/2)*AB90+(1-EXP(-LN(2)/2))/(LN(2)/2)*V91*Y91*VLOOKUP('Données projet'!$B$9,Paramètres!$A$1:$I$89,3,0)*0.475*44/12</f>
        <v>6.3279579558374867E-9</v>
      </c>
      <c r="AC91" s="24">
        <f t="shared" si="57"/>
        <v>0.34769223296951202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811.10096397458346</v>
      </c>
      <c r="AN91" s="62">
        <f ca="1">AVERAGE(OFFSET($AM$3,0,0,'Données projet'!$E$10+1,1))-AVERAGE(OFFSET($H$3,0,0,'Données projet'!$E$10+1,1))</f>
        <v>371.95849973474657</v>
      </c>
      <c r="AO91" s="62">
        <f t="shared" si="90"/>
        <v>233.32640143610547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3.5641872836848377E-8</v>
      </c>
      <c r="AX91" s="23">
        <f t="shared" si="60"/>
        <v>3.5641872836848377E-8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276.14184000000012</v>
      </c>
      <c r="BF91" s="14">
        <f t="shared" si="91"/>
        <v>66.151011527862806</v>
      </c>
      <c r="BG91" s="22">
        <f t="shared" si="61"/>
        <v>596.16004974436112</v>
      </c>
      <c r="BH91" s="62">
        <f t="shared" si="62"/>
        <v>889.49338307769449</v>
      </c>
      <c r="BI91" s="62">
        <f ca="1">AVERAGE(OFFSET($BH$3,0,0,'Données projet'!$E$11+1,1))-AVERAGE(OFFSET($H$3,0,0,'Données projet'!$E$11+1,1))</f>
        <v>423.40903481736001</v>
      </c>
      <c r="BJ91" s="62">
        <f t="shared" si="92"/>
        <v>263.03039552465799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4.1172508277049187E-8</v>
      </c>
      <c r="BS91" s="24">
        <f t="shared" si="63"/>
        <v>4.1172508277049187E-8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5.5625</v>
      </c>
      <c r="BY91" s="13">
        <f>IF('Données projet'!$A$114&gt;35,BY90+BX91-CG90,IF(A91&lt;'Données projet'!$A$114,$BV$205^A91,IF(A91='Données projet'!$A$114,'Données projet'!$B$114,BY90+BX91-CG90)))</f>
        <v>260.37499999999994</v>
      </c>
      <c r="BZ91" s="14">
        <f>BY91*VLOOKUP('Données projet'!$B$12,Paramètres!$A$1:$I$89,3,0)*VLOOKUP('Données projet'!$B$12,Paramètres!$A$1:$I$89,5,0)</f>
        <v>121.85549999999996</v>
      </c>
      <c r="CA91" s="14">
        <f t="shared" si="93"/>
        <v>32.1073769684387</v>
      </c>
      <c r="CB91" s="22">
        <f t="shared" si="64"/>
        <v>268.1520107200306</v>
      </c>
      <c r="CC91" s="62">
        <f t="shared" si="65"/>
        <v>561.48534405336386</v>
      </c>
      <c r="CD91" s="62">
        <f ca="1">AVERAGE(OFFSET($CC$3,0,0,'Données projet'!$E$12+1,1))-AVERAGE(OFFSET($H$3,0,0,'Données projet'!$E$12+1,1))</f>
        <v>264.88170274686757</v>
      </c>
      <c r="CE91" s="62">
        <f t="shared" si="94"/>
        <v>160.81140876142001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267.20928000000004</v>
      </c>
      <c r="CV91" s="14">
        <f t="shared" si="95"/>
        <v>64.256650415058076</v>
      </c>
      <c r="CW91" s="22">
        <f t="shared" si="67"/>
        <v>577.3031621395595</v>
      </c>
      <c r="CX91" s="62">
        <f t="shared" si="68"/>
        <v>870.63649547289288</v>
      </c>
      <c r="CY91" s="62">
        <f ca="1">AVERAGE(OFFSET($CX$3,0,0,'Données projet'!$E$13+1,1))-AVERAGE(OFFSET($H$3,0,0,'Données projet'!$E$13+1,1))</f>
        <v>411.60020200960821</v>
      </c>
      <c r="CZ91" s="62">
        <f t="shared" si="96"/>
        <v>261.95434270986397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7.6055961992765932E-9</v>
      </c>
      <c r="DI91" s="24">
        <f t="shared" si="69"/>
        <v>7.6055961992765932E-9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</v>
      </c>
      <c r="DO91" s="13">
        <f>IF('Données projet'!$A$166&gt;35,DO90+DN91-DW90,IF(A91&lt;'Données projet'!$A$166,$DL$205^A91,IF(A91='Données projet'!$A$166,'Données projet'!$B$166,DO90+DN91-DW90)))</f>
        <v>228.40000000000012</v>
      </c>
      <c r="DP91" s="18">
        <f>DO91*VLOOKUP('Données projet'!$B$14,Paramètres!$A$1:$I$89,3,0)*VLOOKUP('Données projet'!$B$14,Paramètres!$A$1:$I$89,5,0)</f>
        <v>149.64768000000007</v>
      </c>
      <c r="DQ91" s="14">
        <f t="shared" si="97"/>
        <v>38.498508681989883</v>
      </c>
      <c r="DR91" s="22">
        <f t="shared" si="70"/>
        <v>327.6879452877991</v>
      </c>
      <c r="DS91" s="62">
        <f t="shared" si="71"/>
        <v>621.02127862113241</v>
      </c>
      <c r="DT91" s="62">
        <f ca="1">AVERAGE(OFFSET($DS$3,0,0,'Données projet'!$E$14+1,1))-AVERAGE(OFFSET($H$3,0,0,'Données projet'!$E$14+1,1))</f>
        <v>240.134073924311</v>
      </c>
      <c r="DU91" s="62">
        <f t="shared" si="98"/>
        <v>237.10378497981156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0.41495197046475085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3.1145234625917313E-8</v>
      </c>
      <c r="ED91" s="24">
        <f t="shared" si="72"/>
        <v>0.41495200160998547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4.4337866711430253E-14</v>
      </c>
      <c r="P92" s="14">
        <f t="shared" si="87"/>
        <v>7.3222115536967035E-13</v>
      </c>
      <c r="Q92" s="22">
        <f t="shared" si="54"/>
        <v>1.3525069634579169E-12</v>
      </c>
      <c r="R92" s="62">
        <f t="shared" si="55"/>
        <v>293.33333333333468</v>
      </c>
      <c r="S92" s="62">
        <f ca="1">AVERAGE(OFFSET($R$3,0,0,'Données projet'!$E$9+1,1))-AVERAGE(OFFSET($H$3,0,0,'Données projet'!$E$9+1,1))</f>
        <v>288.82868507674738</v>
      </c>
      <c r="T92" s="62">
        <f t="shared" si="88"/>
        <v>283.48738729114024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0.33818456441970124</v>
      </c>
      <c r="AB92" s="23">
        <f>EXP(-LN(2)/2)*AB91+(1-EXP(-LN(2)/2))/(LN(2)/2)*V92*Y92*VLOOKUP('Données projet'!$B$9,Paramètres!$A$1:$I$89,3,0)*0.475*44/12</f>
        <v>4.4745419816360502E-9</v>
      </c>
      <c r="AC92" s="24">
        <f t="shared" si="57"/>
        <v>0.3381845688942432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821.44018387408414</v>
      </c>
      <c r="AN92" s="62">
        <f ca="1">AVERAGE(OFFSET($AM$3,0,0,'Données projet'!$E$10+1,1))-AVERAGE(OFFSET($H$3,0,0,'Données projet'!$E$10+1,1))</f>
        <v>371.95849973474657</v>
      </c>
      <c r="AO92" s="62">
        <f t="shared" si="90"/>
        <v>233.32640143610547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2.5202609977124097E-8</v>
      </c>
      <c r="AX92" s="23">
        <f t="shared" si="60"/>
        <v>2.5202609977124097E-8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281.78592000000009</v>
      </c>
      <c r="BF92" s="14">
        <f t="shared" si="91"/>
        <v>67.344285344627252</v>
      </c>
      <c r="BG92" s="22">
        <f t="shared" si="61"/>
        <v>608.06844097522594</v>
      </c>
      <c r="BH92" s="62">
        <f t="shared" si="62"/>
        <v>901.4017743085592</v>
      </c>
      <c r="BI92" s="62">
        <f ca="1">AVERAGE(OFFSET($BH$3,0,0,'Données projet'!$E$11+1,1))-AVERAGE(OFFSET($H$3,0,0,'Données projet'!$E$11+1,1))</f>
        <v>423.40903481736001</v>
      </c>
      <c r="BJ92" s="62">
        <f t="shared" si="92"/>
        <v>263.03039552465799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2.9113359801160739E-8</v>
      </c>
      <c r="BS92" s="24">
        <f t="shared" si="63"/>
        <v>2.9113359801160739E-8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5.5625</v>
      </c>
      <c r="BY92" s="13">
        <f>IF('Données projet'!$A$114&gt;35,BY91+BX92-CG91,IF(A92&lt;'Données projet'!$A$114,$BV$205^A92,IF(A92='Données projet'!$A$114,'Données projet'!$B$114,BY91+BX92-CG91)))</f>
        <v>265.93749999999994</v>
      </c>
      <c r="BZ92" s="14">
        <f>BY92*VLOOKUP('Données projet'!$B$12,Paramètres!$A$1:$I$89,3,0)*VLOOKUP('Données projet'!$B$12,Paramètres!$A$1:$I$89,5,0)</f>
        <v>124.45874999999998</v>
      </c>
      <c r="CA92" s="14">
        <f t="shared" si="93"/>
        <v>32.712711165465699</v>
      </c>
      <c r="CB92" s="22">
        <f t="shared" si="64"/>
        <v>273.74029486318602</v>
      </c>
      <c r="CC92" s="62">
        <f t="shared" si="65"/>
        <v>567.07362819651939</v>
      </c>
      <c r="CD92" s="62">
        <f ca="1">AVERAGE(OFFSET($CC$3,0,0,'Données projet'!$E$12+1,1))-AVERAGE(OFFSET($H$3,0,0,'Données projet'!$E$12+1,1))</f>
        <v>264.88170274686757</v>
      </c>
      <c r="CE92" s="62">
        <f t="shared" si="94"/>
        <v>160.81140876142001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272.60064</v>
      </c>
      <c r="CV92" s="14">
        <f t="shared" si="95"/>
        <v>65.400882437522853</v>
      </c>
      <c r="CW92" s="22">
        <f t="shared" si="67"/>
        <v>588.68598491201885</v>
      </c>
      <c r="CX92" s="62">
        <f t="shared" si="68"/>
        <v>882.01931824535222</v>
      </c>
      <c r="CY92" s="62">
        <f ca="1">AVERAGE(OFFSET($CX$3,0,0,'Données projet'!$E$13+1,1))-AVERAGE(OFFSET($H$3,0,0,'Données projet'!$E$13+1,1))</f>
        <v>411.60020200960821</v>
      </c>
      <c r="CZ92" s="62">
        <f t="shared" si="96"/>
        <v>261.95434270986397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5.3779686474751116E-9</v>
      </c>
      <c r="DI92" s="24">
        <f t="shared" si="69"/>
        <v>5.3779686474751116E-9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</v>
      </c>
      <c r="DO92" s="13">
        <f>IF('Données projet'!$A$166&gt;35,DO91+DN92-DW91,IF(A92&lt;'Données projet'!$A$166,$DL$205^A92,IF(A92='Données projet'!$A$166,'Données projet'!$B$166,DO91+DN92-DW91)))</f>
        <v>232.20000000000013</v>
      </c>
      <c r="DP92" s="18">
        <f>DO92*VLOOKUP('Données projet'!$B$14,Paramètres!$A$1:$I$89,3,0)*VLOOKUP('Données projet'!$B$14,Paramètres!$A$1:$I$89,5,0)</f>
        <v>152.13744000000008</v>
      </c>
      <c r="DQ92" s="14">
        <f t="shared" si="97"/>
        <v>39.063925813036128</v>
      </c>
      <c r="DR92" s="22">
        <f t="shared" si="70"/>
        <v>333.0090454577047</v>
      </c>
      <c r="DS92" s="62">
        <f t="shared" si="71"/>
        <v>626.34237879103807</v>
      </c>
      <c r="DT92" s="62">
        <f ca="1">AVERAGE(OFFSET($DS$3,0,0,'Données projet'!$E$14+1,1))-AVERAGE(OFFSET($H$3,0,0,'Données projet'!$E$14+1,1))</f>
        <v>240.134073924311</v>
      </c>
      <c r="DU92" s="62">
        <f t="shared" si="98"/>
        <v>237.10378497981156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0.40681501541964793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2.2023006605632197E-8</v>
      </c>
      <c r="ED92" s="24">
        <f t="shared" si="72"/>
        <v>0.40681503744265451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4.4337866711430253E-14</v>
      </c>
      <c r="P93" s="14">
        <f t="shared" si="87"/>
        <v>7.3222115536967035E-13</v>
      </c>
      <c r="Q93" s="22">
        <f t="shared" si="54"/>
        <v>1.3525069634579169E-12</v>
      </c>
      <c r="R93" s="62">
        <f t="shared" si="55"/>
        <v>293.33333333333468</v>
      </c>
      <c r="S93" s="62">
        <f ca="1">AVERAGE(OFFSET($R$3,0,0,'Données projet'!$E$9+1,1))-AVERAGE(OFFSET($H$3,0,0,'Données projet'!$E$9+1,1))</f>
        <v>288.82868507674738</v>
      </c>
      <c r="T93" s="62">
        <f t="shared" si="88"/>
        <v>283.48738729114024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0.3289368897212912</v>
      </c>
      <c r="AB93" s="23">
        <f>EXP(-LN(2)/2)*AB92+(1-EXP(-LN(2)/2))/(LN(2)/2)*V93*Y93*VLOOKUP('Données projet'!$B$9,Paramètres!$A$1:$I$89,3,0)*0.475*44/12</f>
        <v>3.1639789779187433E-9</v>
      </c>
      <c r="AC93" s="24">
        <f t="shared" si="57"/>
        <v>0.32893689288527017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831.77514286899191</v>
      </c>
      <c r="AN93" s="62">
        <f ca="1">AVERAGE(OFFSET($AM$3,0,0,'Données projet'!$E$10+1,1))-AVERAGE(OFFSET($H$3,0,0,'Données projet'!$E$10+1,1))</f>
        <v>371.95849973474657</v>
      </c>
      <c r="AO93" s="62">
        <f t="shared" si="90"/>
        <v>233.32640143610547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1.7820936418424188E-8</v>
      </c>
      <c r="AX93" s="23">
        <f t="shared" si="60"/>
        <v>1.7820936418424188E-8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287.43000000000012</v>
      </c>
      <c r="BF93" s="14">
        <f t="shared" si="91"/>
        <v>68.534780142555803</v>
      </c>
      <c r="BG93" s="22">
        <f t="shared" si="61"/>
        <v>619.97199208161828</v>
      </c>
      <c r="BH93" s="62">
        <f t="shared" si="62"/>
        <v>913.30532541495154</v>
      </c>
      <c r="BI93" s="62">
        <f ca="1">AVERAGE(OFFSET($BH$3,0,0,'Données projet'!$E$11+1,1))-AVERAGE(OFFSET($H$3,0,0,'Données projet'!$E$11+1,1))</f>
        <v>423.40903481736001</v>
      </c>
      <c r="BJ93" s="62">
        <f t="shared" si="92"/>
        <v>263.03039552465799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2.0586254138524597E-8</v>
      </c>
      <c r="BS93" s="24">
        <f t="shared" si="63"/>
        <v>2.0586254138524597E-8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5.5625</v>
      </c>
      <c r="BY93" s="13">
        <f>IF('Données projet'!$A$114&gt;35,BY92+BX93-CG92,IF(A93&lt;'Données projet'!$A$114,$BV$205^A93,IF(A93='Données projet'!$A$114,'Données projet'!$B$114,BY92+BX93-CG92)))</f>
        <v>271.49999999999994</v>
      </c>
      <c r="BZ93" s="14">
        <f>BY93*VLOOKUP('Données projet'!$B$12,Paramètres!$A$1:$I$89,3,0)*VLOOKUP('Données projet'!$B$12,Paramètres!$A$1:$I$89,5,0)</f>
        <v>127.06199999999998</v>
      </c>
      <c r="CA93" s="14">
        <f t="shared" si="93"/>
        <v>33.316573241426198</v>
      </c>
      <c r="CB93" s="22">
        <f t="shared" si="64"/>
        <v>279.32601506215059</v>
      </c>
      <c r="CC93" s="62">
        <f t="shared" si="65"/>
        <v>572.6593483954839</v>
      </c>
      <c r="CD93" s="62">
        <f ca="1">AVERAGE(OFFSET($CC$3,0,0,'Données projet'!$E$12+1,1))-AVERAGE(OFFSET($H$3,0,0,'Données projet'!$E$12+1,1))</f>
        <v>264.88170274686757</v>
      </c>
      <c r="CE93" s="62">
        <f t="shared" si="94"/>
        <v>160.81140876142001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277.99200000000002</v>
      </c>
      <c r="CV93" s="14">
        <f t="shared" si="95"/>
        <v>66.542483170264177</v>
      </c>
      <c r="CW93" s="22">
        <f t="shared" si="67"/>
        <v>600.06422485487678</v>
      </c>
      <c r="CX93" s="62">
        <f t="shared" si="68"/>
        <v>893.39755818821004</v>
      </c>
      <c r="CY93" s="62">
        <f ca="1">AVERAGE(OFFSET($CX$3,0,0,'Données projet'!$E$13+1,1))-AVERAGE(OFFSET($H$3,0,0,'Données projet'!$E$13+1,1))</f>
        <v>411.60020200960821</v>
      </c>
      <c r="CZ93" s="62">
        <f t="shared" si="96"/>
        <v>261.95434270986397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3.8027980996382966E-9</v>
      </c>
      <c r="DI93" s="24">
        <f t="shared" si="69"/>
        <v>3.8027980996382966E-9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236</v>
      </c>
      <c r="DM93" s="13">
        <f>VLOOKUP(A93,'Données projet'!$A$165:$I$185,9,0)</f>
        <v>3.8</v>
      </c>
      <c r="DN93" s="13">
        <f t="array" ref="DN93">INDEX(DM:DM,MIN(IF(ISNUMBER(DM93:DM289),ROW(DM93:DM289),"")))</f>
        <v>3.8</v>
      </c>
      <c r="DO93" s="13">
        <f>IF('Données projet'!$A$166&gt;35,DO92+DN93-DW92,IF(A93&lt;'Données projet'!$A$166,$DL$205^A93,IF(A93='Données projet'!$A$166,'Données projet'!$B$166,DO92+DN93-DW92)))</f>
        <v>236.00000000000014</v>
      </c>
      <c r="DP93" s="18">
        <f>DO93*VLOOKUP('Données projet'!$B$14,Paramètres!$A$1:$I$89,3,0)*VLOOKUP('Données projet'!$B$14,Paramètres!$A$1:$I$89,5,0)</f>
        <v>154.6272000000001</v>
      </c>
      <c r="DQ93" s="14">
        <f t="shared" si="97"/>
        <v>39.628266850007975</v>
      </c>
      <c r="DR93" s="22">
        <f t="shared" si="70"/>
        <v>338.32827143043073</v>
      </c>
      <c r="DS93" s="62">
        <f t="shared" si="71"/>
        <v>631.66160476376399</v>
      </c>
      <c r="DT93" s="62">
        <f ca="1">AVERAGE(OFFSET($DS$3,0,0,'Données projet'!$E$14+1,1))-AVERAGE(OFFSET($H$3,0,0,'Données projet'!$E$14+1,1))</f>
        <v>240.134073924311</v>
      </c>
      <c r="DU93" s="62">
        <f t="shared" si="98"/>
        <v>237.10378497981156</v>
      </c>
      <c r="DV93" s="16">
        <f>IF(ISNA(VLOOKUP(A93,'Données projet'!$A$165:$I$185,3,0)),0,VLOOKUP(A93,'Données projet'!$A$165:$I$185,3,0))</f>
        <v>17</v>
      </c>
      <c r="DW93" s="16">
        <f>IF(ISNA(VLOOKUP(A93,'Données projet'!$A$165:$I$185,4,0)),0,VLOOKUP(A93,'Données projet'!$A$165:$I$185,4,0))</f>
        <v>236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0.39883762109992699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1.5572617312958656E-8</v>
      </c>
      <c r="ED93" s="24">
        <f t="shared" si="72"/>
        <v>0.39883763667254429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4.4337866711430253E-14</v>
      </c>
      <c r="P94" s="14">
        <f t="shared" si="87"/>
        <v>7.3222115536967035E-13</v>
      </c>
      <c r="Q94" s="22">
        <f t="shared" si="54"/>
        <v>1.3525069634579169E-12</v>
      </c>
      <c r="R94" s="62">
        <f t="shared" si="55"/>
        <v>293.33333333333468</v>
      </c>
      <c r="S94" s="62">
        <f ca="1">AVERAGE(OFFSET($R$3,0,0,'Données projet'!$E$9+1,1))-AVERAGE(OFFSET($H$3,0,0,'Données projet'!$E$9+1,1))</f>
        <v>288.82868507674738</v>
      </c>
      <c r="T94" s="62">
        <f t="shared" si="88"/>
        <v>283.48738729114024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0.31994209317382327</v>
      </c>
      <c r="AB94" s="23">
        <f>EXP(-LN(2)/2)*AB93+(1-EXP(-LN(2)/2))/(LN(2)/2)*V94*Y94*VLOOKUP('Données projet'!$B$9,Paramètres!$A$1:$I$89,3,0)*0.475*44/12</f>
        <v>2.2372709908180251E-9</v>
      </c>
      <c r="AC94" s="24">
        <f t="shared" si="57"/>
        <v>0.31994209541109425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801.14056019463965</v>
      </c>
      <c r="AN94" s="62">
        <f ca="1">AVERAGE(OFFSET($AM$3,0,0,'Données projet'!$E$10+1,1))-AVERAGE(OFFSET($H$3,0,0,'Données projet'!$E$10+1,1))</f>
        <v>371.95849973474657</v>
      </c>
      <c r="AO94" s="62">
        <f t="shared" si="90"/>
        <v>233.32640143610547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1.2601304988562049E-8</v>
      </c>
      <c r="AX94" s="23">
        <f t="shared" si="60"/>
        <v>1.2601304988562049E-8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270.7068000000001</v>
      </c>
      <c r="BF94" s="14">
        <f t="shared" si="91"/>
        <v>64.999247255184116</v>
      </c>
      <c r="BG94" s="22">
        <f t="shared" si="61"/>
        <v>584.68803230277911</v>
      </c>
      <c r="BH94" s="62">
        <f t="shared" si="62"/>
        <v>878.02136563611248</v>
      </c>
      <c r="BI94" s="62">
        <f ca="1">AVERAGE(OFFSET($BH$3,0,0,'Données projet'!$E$11+1,1))-AVERAGE(OFFSET($H$3,0,0,'Données projet'!$E$11+1,1))</f>
        <v>423.40903481736001</v>
      </c>
      <c r="BJ94" s="62">
        <f t="shared" si="92"/>
        <v>263.03039552465799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1.4556679900580371E-8</v>
      </c>
      <c r="BS94" s="24">
        <f t="shared" si="63"/>
        <v>1.4556679900580371E-8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5.5625</v>
      </c>
      <c r="BY94" s="13">
        <f>IF('Données projet'!$A$114&gt;35,BY93+BX94-CG93,IF(A94&lt;'Données projet'!$A$114,$BV$205^A94,IF(A94='Données projet'!$A$114,'Données projet'!$B$114,BY93+BX94-CG93)))</f>
        <v>277.06249999999994</v>
      </c>
      <c r="BZ94" s="14">
        <f>BY94*VLOOKUP('Données projet'!$B$12,Paramètres!$A$1:$I$89,3,0)*VLOOKUP('Données projet'!$B$12,Paramètres!$A$1:$I$89,5,0)</f>
        <v>129.66524999999999</v>
      </c>
      <c r="CA94" s="14">
        <f t="shared" si="93"/>
        <v>33.918996832536251</v>
      </c>
      <c r="CB94" s="22">
        <f t="shared" si="64"/>
        <v>284.90922990000058</v>
      </c>
      <c r="CC94" s="62">
        <f t="shared" si="65"/>
        <v>578.24256323333384</v>
      </c>
      <c r="CD94" s="62">
        <f ca="1">AVERAGE(OFFSET($CC$3,0,0,'Données projet'!$E$12+1,1))-AVERAGE(OFFSET($H$3,0,0,'Données projet'!$E$12+1,1))</f>
        <v>264.88170274686757</v>
      </c>
      <c r="CE94" s="62">
        <f t="shared" si="94"/>
        <v>160.81140876142001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259.45920000000001</v>
      </c>
      <c r="CV94" s="14">
        <f t="shared" si="95"/>
        <v>62.607087284635128</v>
      </c>
      <c r="CW94" s="22">
        <f t="shared" si="67"/>
        <v>560.93211702073938</v>
      </c>
      <c r="CX94" s="62">
        <f t="shared" si="68"/>
        <v>854.26545035407275</v>
      </c>
      <c r="CY94" s="62">
        <f ca="1">AVERAGE(OFFSET($CX$3,0,0,'Données projet'!$E$13+1,1))-AVERAGE(OFFSET($H$3,0,0,'Données projet'!$E$13+1,1))</f>
        <v>411.60020200960821</v>
      </c>
      <c r="CZ94" s="62">
        <f t="shared" si="96"/>
        <v>261.95434270986397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2.6889843237375558E-9</v>
      </c>
      <c r="DI94" s="24">
        <f t="shared" si="69"/>
        <v>2.6889843237375558E-9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1.4210854715202004E-13</v>
      </c>
      <c r="DP94" s="18">
        <f>DO94*VLOOKUP('Données projet'!$B$14,Paramètres!$A$1:$I$89,3,0)*VLOOKUP('Données projet'!$B$14,Paramètres!$A$1:$I$89,5,0)</f>
        <v>9.3109520094003535E-14</v>
      </c>
      <c r="DQ94" s="14">
        <f t="shared" si="97"/>
        <v>1.4104420303656732E-12</v>
      </c>
      <c r="DR94" s="22">
        <f t="shared" si="70"/>
        <v>2.6186856170506036E-12</v>
      </c>
      <c r="DS94" s="62">
        <f t="shared" si="71"/>
        <v>293.33333333333593</v>
      </c>
      <c r="DT94" s="62">
        <f ca="1">AVERAGE(OFFSET($DS$3,0,0,'Données projet'!$E$14+1,1))-AVERAGE(OFFSET($H$3,0,0,'Données projet'!$E$14+1,1))</f>
        <v>240.134073924311</v>
      </c>
      <c r="DU94" s="62">
        <f t="shared" si="98"/>
        <v>237.10378497981156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0.39101665861708568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1.1011503302816098E-8</v>
      </c>
      <c r="ED94" s="24">
        <f t="shared" si="72"/>
        <v>0.391016669628589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4.4337866711430253E-14</v>
      </c>
      <c r="P95" s="14">
        <f t="shared" si="87"/>
        <v>7.3222115536967035E-13</v>
      </c>
      <c r="Q95" s="22">
        <f t="shared" si="54"/>
        <v>1.3525069634579169E-12</v>
      </c>
      <c r="R95" s="62">
        <f t="shared" si="55"/>
        <v>293.33333333333468</v>
      </c>
      <c r="S95" s="62">
        <f ca="1">AVERAGE(OFFSET($R$3,0,0,'Données projet'!$E$9+1,1))-AVERAGE(OFFSET($H$3,0,0,'Données projet'!$E$9+1,1))</f>
        <v>288.82868507674738</v>
      </c>
      <c r="T95" s="62">
        <f t="shared" si="88"/>
        <v>283.48738729114024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0.31119325981096163</v>
      </c>
      <c r="AB95" s="23">
        <f>EXP(-LN(2)/2)*AB94+(1-EXP(-LN(2)/2))/(LN(2)/2)*V95*Y95*VLOOKUP('Données projet'!$B$9,Paramètres!$A$1:$I$89,3,0)*0.475*44/12</f>
        <v>1.5819894889593717E-9</v>
      </c>
      <c r="AC95" s="24">
        <f t="shared" si="57"/>
        <v>0.31119326139295111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810.71794681982306</v>
      </c>
      <c r="AN95" s="62">
        <f ca="1">AVERAGE(OFFSET($AM$3,0,0,'Données projet'!$E$10+1,1))-AVERAGE(OFFSET($H$3,0,0,'Données projet'!$E$10+1,1))</f>
        <v>371.95849973474657</v>
      </c>
      <c r="AO95" s="62">
        <f t="shared" si="90"/>
        <v>233.32640143610547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8.9104682092120942E-9</v>
      </c>
      <c r="AX95" s="23">
        <f t="shared" si="60"/>
        <v>8.9104682092120942E-9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275.9328000000001</v>
      </c>
      <c r="BF95" s="14">
        <f t="shared" si="91"/>
        <v>66.106762012556189</v>
      </c>
      <c r="BG95" s="22">
        <f t="shared" si="61"/>
        <v>595.71890383853554</v>
      </c>
      <c r="BH95" s="62">
        <f t="shared" si="62"/>
        <v>889.05223717186891</v>
      </c>
      <c r="BI95" s="62">
        <f ca="1">AVERAGE(OFFSET($BH$3,0,0,'Données projet'!$E$11+1,1))-AVERAGE(OFFSET($H$3,0,0,'Données projet'!$E$11+1,1))</f>
        <v>423.40903481736001</v>
      </c>
      <c r="BJ95" s="62">
        <f t="shared" si="92"/>
        <v>263.03039552465799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1.02931270692623E-8</v>
      </c>
      <c r="BS95" s="24">
        <f t="shared" si="63"/>
        <v>1.02931270692623E-8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5.5625</v>
      </c>
      <c r="BY95" s="13">
        <f>IF('Données projet'!$A$114&gt;35,BY94+BX95-CG94,IF(A95&lt;'Données projet'!$A$114,$BV$205^A95,IF(A95='Données projet'!$A$114,'Données projet'!$B$114,BY94+BX95-CG94)))</f>
        <v>282.62499999999994</v>
      </c>
      <c r="BZ95" s="14">
        <f>BY95*VLOOKUP('Données projet'!$B$12,Paramètres!$A$1:$I$89,3,0)*VLOOKUP('Données projet'!$B$12,Paramètres!$A$1:$I$89,5,0)</f>
        <v>132.26849999999996</v>
      </c>
      <c r="CA95" s="14">
        <f t="shared" si="93"/>
        <v>34.520014147179168</v>
      </c>
      <c r="CB95" s="22">
        <f t="shared" si="64"/>
        <v>290.4899954730036</v>
      </c>
      <c r="CC95" s="62">
        <f t="shared" si="65"/>
        <v>583.82332880633692</v>
      </c>
      <c r="CD95" s="62">
        <f ca="1">AVERAGE(OFFSET($CC$3,0,0,'Données projet'!$E$12+1,1))-AVERAGE(OFFSET($H$3,0,0,'Données projet'!$E$12+1,1))</f>
        <v>264.88170274686757</v>
      </c>
      <c r="CE95" s="62">
        <f t="shared" si="94"/>
        <v>160.81140876142001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264.51359999999994</v>
      </c>
      <c r="CV95" s="14">
        <f t="shared" si="95"/>
        <v>63.683529223278974</v>
      </c>
      <c r="CW95" s="22">
        <f t="shared" si="67"/>
        <v>571.61000006387746</v>
      </c>
      <c r="CX95" s="62">
        <f t="shared" si="68"/>
        <v>864.94333339721084</v>
      </c>
      <c r="CY95" s="62">
        <f ca="1">AVERAGE(OFFSET($CX$3,0,0,'Données projet'!$E$13+1,1))-AVERAGE(OFFSET($H$3,0,0,'Données projet'!$E$13+1,1))</f>
        <v>411.60020200960821</v>
      </c>
      <c r="CZ95" s="62">
        <f t="shared" si="96"/>
        <v>261.95434270986397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1.9013990498191483E-9</v>
      </c>
      <c r="DI95" s="24">
        <f t="shared" si="69"/>
        <v>1.9013990498191483E-9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1.4210854715202004E-13</v>
      </c>
      <c r="DP95" s="18">
        <f>DO95*VLOOKUP('Données projet'!$B$14,Paramètres!$A$1:$I$89,3,0)*VLOOKUP('Données projet'!$B$14,Paramètres!$A$1:$I$89,5,0)</f>
        <v>9.3109520094003535E-14</v>
      </c>
      <c r="DQ95" s="14">
        <f t="shared" si="97"/>
        <v>1.4104420303656732E-12</v>
      </c>
      <c r="DR95" s="22">
        <f t="shared" si="70"/>
        <v>2.6186856170506036E-12</v>
      </c>
      <c r="DS95" s="62">
        <f t="shared" si="71"/>
        <v>293.33333333333593</v>
      </c>
      <c r="DT95" s="62">
        <f ca="1">AVERAGE(OFFSET($DS$3,0,0,'Données projet'!$E$14+1,1))-AVERAGE(OFFSET($H$3,0,0,'Données projet'!$E$14+1,1))</f>
        <v>240.134073924311</v>
      </c>
      <c r="DU95" s="62">
        <f t="shared" si="98"/>
        <v>237.10378497981156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0.38334906043821682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7.7863086564793282E-9</v>
      </c>
      <c r="ED95" s="24">
        <f t="shared" si="72"/>
        <v>0.38334906822452547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4.4337866711430253E-14</v>
      </c>
      <c r="P96" s="14">
        <f t="shared" si="87"/>
        <v>7.3222115536967035E-13</v>
      </c>
      <c r="Q96" s="22">
        <f t="shared" si="54"/>
        <v>1.3525069634579169E-12</v>
      </c>
      <c r="R96" s="62">
        <f t="shared" si="55"/>
        <v>293.33333333333468</v>
      </c>
      <c r="S96" s="62">
        <f ca="1">AVERAGE(OFFSET($R$3,0,0,'Données projet'!$E$9+1,1))-AVERAGE(OFFSET($H$3,0,0,'Données projet'!$E$9+1,1))</f>
        <v>288.82868507674738</v>
      </c>
      <c r="T96" s="62">
        <f t="shared" si="88"/>
        <v>283.48738729114024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0.30268366375648859</v>
      </c>
      <c r="AB96" s="23">
        <f>EXP(-LN(2)/2)*AB95+(1-EXP(-LN(2)/2))/(LN(2)/2)*V96*Y96*VLOOKUP('Données projet'!$B$9,Paramètres!$A$1:$I$89,3,0)*0.475*44/12</f>
        <v>1.1186354954090126E-9</v>
      </c>
      <c r="AC96" s="24">
        <f t="shared" si="57"/>
        <v>0.3026836648751241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820.29159382285411</v>
      </c>
      <c r="AN96" s="62">
        <f ca="1">AVERAGE(OFFSET($AM$3,0,0,'Données projet'!$E$10+1,1))-AVERAGE(OFFSET($H$3,0,0,'Données projet'!$E$10+1,1))</f>
        <v>371.95849973474657</v>
      </c>
      <c r="AO96" s="62">
        <f t="shared" si="90"/>
        <v>233.32640143610547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6.3006524942810243E-9</v>
      </c>
      <c r="AX96" s="23">
        <f t="shared" si="60"/>
        <v>6.3006524942810243E-9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281.1588000000001</v>
      </c>
      <c r="BF96" s="14">
        <f t="shared" si="91"/>
        <v>67.211837738456325</v>
      </c>
      <c r="BG96" s="22">
        <f t="shared" si="61"/>
        <v>606.74552739447824</v>
      </c>
      <c r="BH96" s="62">
        <f t="shared" si="62"/>
        <v>900.07886072781162</v>
      </c>
      <c r="BI96" s="62">
        <f ca="1">AVERAGE(OFFSET($BH$3,0,0,'Données projet'!$E$11+1,1))-AVERAGE(OFFSET($H$3,0,0,'Données projet'!$E$11+1,1))</f>
        <v>423.40903481736001</v>
      </c>
      <c r="BJ96" s="62">
        <f t="shared" si="92"/>
        <v>263.03039552465799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7.2783399502901873E-9</v>
      </c>
      <c r="BS96" s="24">
        <f t="shared" si="63"/>
        <v>7.2783399502901873E-9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5.5625</v>
      </c>
      <c r="BY96" s="13">
        <f>IF('Données projet'!$A$114&gt;35,BY95+BX96-CG95,IF(A96&lt;'Données projet'!$A$114,$BV$205^A96,IF(A96='Données projet'!$A$114,'Données projet'!$B$114,BY95+BX96-CG95)))</f>
        <v>288.18749999999994</v>
      </c>
      <c r="BZ96" s="14">
        <f>BY96*VLOOKUP('Données projet'!$B$12,Paramètres!$A$1:$I$89,3,0)*VLOOKUP('Données projet'!$B$12,Paramètres!$A$1:$I$89,5,0)</f>
        <v>134.87174999999996</v>
      </c>
      <c r="CA96" s="14">
        <f t="shared" si="93"/>
        <v>35.119656053404924</v>
      </c>
      <c r="CB96" s="22">
        <f t="shared" si="64"/>
        <v>296.0683655430135</v>
      </c>
      <c r="CC96" s="62">
        <f t="shared" si="65"/>
        <v>589.40169887634681</v>
      </c>
      <c r="CD96" s="62">
        <f ca="1">AVERAGE(OFFSET($CC$3,0,0,'Données projet'!$E$12+1,1))-AVERAGE(OFFSET($H$3,0,0,'Données projet'!$E$12+1,1))</f>
        <v>264.88170274686757</v>
      </c>
      <c r="CE96" s="62">
        <f t="shared" si="94"/>
        <v>160.81140876142001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269.56799999999998</v>
      </c>
      <c r="CV96" s="14">
        <f t="shared" si="95"/>
        <v>64.757579442439862</v>
      </c>
      <c r="CW96" s="22">
        <f t="shared" si="67"/>
        <v>582.2837175289161</v>
      </c>
      <c r="CX96" s="62">
        <f t="shared" si="68"/>
        <v>875.61705086224947</v>
      </c>
      <c r="CY96" s="62">
        <f ca="1">AVERAGE(OFFSET($CX$3,0,0,'Données projet'!$E$13+1,1))-AVERAGE(OFFSET($H$3,0,0,'Données projet'!$E$13+1,1))</f>
        <v>411.60020200960821</v>
      </c>
      <c r="CZ96" s="62">
        <f t="shared" si="96"/>
        <v>261.95434270986397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1.3444921618687779E-9</v>
      </c>
      <c r="DI96" s="24">
        <f t="shared" si="69"/>
        <v>1.3444921618687779E-9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1.4210854715202004E-13</v>
      </c>
      <c r="DP96" s="18">
        <f>DO96*VLOOKUP('Données projet'!$B$14,Paramètres!$A$1:$I$89,3,0)*VLOOKUP('Données projet'!$B$14,Paramètres!$A$1:$I$89,5,0)</f>
        <v>9.3109520094003535E-14</v>
      </c>
      <c r="DQ96" s="14">
        <f t="shared" si="97"/>
        <v>1.4104420303656732E-12</v>
      </c>
      <c r="DR96" s="22">
        <f t="shared" si="70"/>
        <v>2.6186856170506036E-12</v>
      </c>
      <c r="DS96" s="62">
        <f t="shared" si="71"/>
        <v>293.33333333333593</v>
      </c>
      <c r="DT96" s="62">
        <f ca="1">AVERAGE(OFFSET($DS$3,0,0,'Données projet'!$E$14+1,1))-AVERAGE(OFFSET($H$3,0,0,'Données projet'!$E$14+1,1))</f>
        <v>240.134073924311</v>
      </c>
      <c r="DU96" s="62">
        <f t="shared" si="98"/>
        <v>237.10378497981156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0.37583181918286246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5.5057516514080492E-9</v>
      </c>
      <c r="ED96" s="24">
        <f t="shared" si="72"/>
        <v>0.37583182468861409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4.4337866711430253E-14</v>
      </c>
      <c r="P97" s="14">
        <f t="shared" si="87"/>
        <v>7.3222115536967035E-13</v>
      </c>
      <c r="Q97" s="22">
        <f t="shared" si="54"/>
        <v>1.3525069634579169E-12</v>
      </c>
      <c r="R97" s="62">
        <f t="shared" si="55"/>
        <v>293.33333333333468</v>
      </c>
      <c r="S97" s="62">
        <f ca="1">AVERAGE(OFFSET($R$3,0,0,'Données projet'!$E$9+1,1))-AVERAGE(OFFSET($H$3,0,0,'Données projet'!$E$9+1,1))</f>
        <v>288.82868507674738</v>
      </c>
      <c r="T97" s="62">
        <f t="shared" si="88"/>
        <v>283.48738729114024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0.29440676305362534</v>
      </c>
      <c r="AB97" s="23">
        <f>EXP(-LN(2)/2)*AB96+(1-EXP(-LN(2)/2))/(LN(2)/2)*V97*Y97*VLOOKUP('Données projet'!$B$9,Paramètres!$A$1:$I$89,3,0)*0.475*44/12</f>
        <v>7.9099474447968584E-10</v>
      </c>
      <c r="AC97" s="24">
        <f t="shared" si="57"/>
        <v>0.29440676384462011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829.86157872948456</v>
      </c>
      <c r="AN97" s="62">
        <f ca="1">AVERAGE(OFFSET($AM$3,0,0,'Données projet'!$E$10+1,1))-AVERAGE(OFFSET($H$3,0,0,'Données projet'!$E$10+1,1))</f>
        <v>371.95849973474657</v>
      </c>
      <c r="AO97" s="62">
        <f t="shared" si="90"/>
        <v>233.32640143610547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4.4552341046060471E-9</v>
      </c>
      <c r="AX97" s="23">
        <f t="shared" si="60"/>
        <v>4.4552341046060471E-9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286.3848000000001</v>
      </c>
      <c r="BF97" s="14">
        <f t="shared" si="91"/>
        <v>68.314524996214573</v>
      </c>
      <c r="BG97" s="22">
        <f t="shared" si="61"/>
        <v>617.76799103507392</v>
      </c>
      <c r="BH97" s="62">
        <f t="shared" si="62"/>
        <v>911.10132436840718</v>
      </c>
      <c r="BI97" s="62">
        <f ca="1">AVERAGE(OFFSET($BH$3,0,0,'Données projet'!$E$11+1,1))-AVERAGE(OFFSET($H$3,0,0,'Données projet'!$E$11+1,1))</f>
        <v>423.40903481736001</v>
      </c>
      <c r="BJ97" s="62">
        <f t="shared" si="92"/>
        <v>263.03039552465799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5.1465635346311508E-9</v>
      </c>
      <c r="BS97" s="24">
        <f t="shared" si="63"/>
        <v>5.1465635346311508E-9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5.5625</v>
      </c>
      <c r="BY97" s="13">
        <f>IF('Données projet'!$A$114&gt;35,BY96+BX97-CG96,IF(A97&lt;'Données projet'!$A$114,$BV$205^A97,IF(A97='Données projet'!$A$114,'Données projet'!$B$114,BY96+BX97-CG96)))</f>
        <v>293.74999999999994</v>
      </c>
      <c r="BZ97" s="14">
        <f>BY97*VLOOKUP('Données projet'!$B$12,Paramètres!$A$1:$I$89,3,0)*VLOOKUP('Données projet'!$B$12,Paramètres!$A$1:$I$89,5,0)</f>
        <v>137.47499999999997</v>
      </c>
      <c r="CA97" s="14">
        <f t="shared" si="93"/>
        <v>35.717952159482948</v>
      </c>
      <c r="CB97" s="22">
        <f t="shared" si="64"/>
        <v>301.64439167776601</v>
      </c>
      <c r="CC97" s="62">
        <f t="shared" si="65"/>
        <v>594.97772501109932</v>
      </c>
      <c r="CD97" s="62">
        <f ca="1">AVERAGE(OFFSET($CC$3,0,0,'Données projet'!$E$12+1,1))-AVERAGE(OFFSET($H$3,0,0,'Données projet'!$E$12+1,1))</f>
        <v>264.88170274686757</v>
      </c>
      <c r="CE97" s="62">
        <f t="shared" si="94"/>
        <v>160.81140876142001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274.62239999999997</v>
      </c>
      <c r="CV97" s="14">
        <f t="shared" si="95"/>
        <v>65.829287958103762</v>
      </c>
      <c r="CW97" s="22">
        <f t="shared" si="67"/>
        <v>592.95335652703068</v>
      </c>
      <c r="CX97" s="62">
        <f t="shared" si="68"/>
        <v>886.28668986036405</v>
      </c>
      <c r="CY97" s="62">
        <f ca="1">AVERAGE(OFFSET($CX$3,0,0,'Données projet'!$E$13+1,1))-AVERAGE(OFFSET($H$3,0,0,'Données projet'!$E$13+1,1))</f>
        <v>411.60020200960821</v>
      </c>
      <c r="CZ97" s="62">
        <f t="shared" si="96"/>
        <v>261.95434270986397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9.5069952490957415E-10</v>
      </c>
      <c r="DI97" s="24">
        <f t="shared" si="69"/>
        <v>9.5069952490957415E-10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1.4210854715202004E-13</v>
      </c>
      <c r="DP97" s="18">
        <f>DO97*VLOOKUP('Données projet'!$B$14,Paramètres!$A$1:$I$89,3,0)*VLOOKUP('Données projet'!$B$14,Paramètres!$A$1:$I$89,5,0)</f>
        <v>9.3109520094003535E-14</v>
      </c>
      <c r="DQ97" s="14">
        <f t="shared" si="97"/>
        <v>1.4104420303656732E-12</v>
      </c>
      <c r="DR97" s="22">
        <f t="shared" si="70"/>
        <v>2.6186856170506036E-12</v>
      </c>
      <c r="DS97" s="62">
        <f t="shared" si="71"/>
        <v>293.33333333333593</v>
      </c>
      <c r="DT97" s="62">
        <f ca="1">AVERAGE(OFFSET($DS$3,0,0,'Données projet'!$E$14+1,1))-AVERAGE(OFFSET($H$3,0,0,'Données projet'!$E$14+1,1))</f>
        <v>240.134073924311</v>
      </c>
      <c r="DU97" s="62">
        <f t="shared" si="98"/>
        <v>237.10378497981156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0.36846198644346118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3.8931543282396641E-9</v>
      </c>
      <c r="ED97" s="24">
        <f t="shared" si="72"/>
        <v>0.36846199033661553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4.4337866711430253E-14</v>
      </c>
      <c r="P98" s="14">
        <f t="shared" si="87"/>
        <v>7.3222115536967035E-13</v>
      </c>
      <c r="Q98" s="22">
        <f t="shared" si="54"/>
        <v>1.3525069634579169E-12</v>
      </c>
      <c r="R98" s="62">
        <f t="shared" si="55"/>
        <v>293.33333333333468</v>
      </c>
      <c r="S98" s="62">
        <f ca="1">AVERAGE(OFFSET($R$3,0,0,'Données projet'!$E$9+1,1))-AVERAGE(OFFSET($H$3,0,0,'Données projet'!$E$9+1,1))</f>
        <v>288.82868507674738</v>
      </c>
      <c r="T98" s="62">
        <f t="shared" si="88"/>
        <v>283.48738729114024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0.28635619463574519</v>
      </c>
      <c r="AB98" s="23">
        <f>EXP(-LN(2)/2)*AB97+(1-EXP(-LN(2)/2))/(LN(2)/2)*V98*Y98*VLOOKUP('Données projet'!$B$9,Paramètres!$A$1:$I$89,3,0)*0.475*44/12</f>
        <v>5.5931774770450628E-10</v>
      </c>
      <c r="AC98" s="24">
        <f t="shared" si="57"/>
        <v>0.28635619519506295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839.42797607406919</v>
      </c>
      <c r="AN98" s="62">
        <f ca="1">AVERAGE(OFFSET($AM$3,0,0,'Données projet'!$E$10+1,1))-AVERAGE(OFFSET($H$3,0,0,'Données projet'!$E$10+1,1))</f>
        <v>371.95849973474657</v>
      </c>
      <c r="AO98" s="62">
        <f t="shared" si="90"/>
        <v>233.32640143610547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3.1503262471405122E-9</v>
      </c>
      <c r="AX98" s="23">
        <f t="shared" si="60"/>
        <v>3.1503262471405122E-9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291.61080000000004</v>
      </c>
      <c r="BF98" s="14">
        <f t="shared" si="91"/>
        <v>69.41487239813145</v>
      </c>
      <c r="BG98" s="22">
        <f t="shared" si="61"/>
        <v>628.78637942674561</v>
      </c>
      <c r="BH98" s="62">
        <f t="shared" si="62"/>
        <v>922.11971276007898</v>
      </c>
      <c r="BI98" s="62">
        <f ca="1">AVERAGE(OFFSET($BH$3,0,0,'Données projet'!$E$11+1,1))-AVERAGE(OFFSET($H$3,0,0,'Données projet'!$E$11+1,1))</f>
        <v>423.40903481736001</v>
      </c>
      <c r="BJ98" s="62">
        <f t="shared" si="92"/>
        <v>263.03039552465799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3.639169975145094E-9</v>
      </c>
      <c r="BS98" s="24">
        <f t="shared" si="63"/>
        <v>3.639169975145094E-9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5.5625</v>
      </c>
      <c r="BY98" s="13">
        <f>IF('Données projet'!$A$114&gt;35,BY97+BX98-CG97,IF(A98&lt;'Données projet'!$A$114,$BV$205^A98,IF(A98='Données projet'!$A$114,'Données projet'!$B$114,BY97+BX98-CG97)))</f>
        <v>299.31249999999994</v>
      </c>
      <c r="BZ98" s="14">
        <f>BY98*VLOOKUP('Données projet'!$B$12,Paramètres!$A$1:$I$89,3,0)*VLOOKUP('Données projet'!$B$12,Paramètres!$A$1:$I$89,5,0)</f>
        <v>140.07824999999997</v>
      </c>
      <c r="CA98" s="14">
        <f t="shared" si="93"/>
        <v>36.31493088818101</v>
      </c>
      <c r="CB98" s="22">
        <f t="shared" si="64"/>
        <v>307.21812338024853</v>
      </c>
      <c r="CC98" s="62">
        <f t="shared" si="65"/>
        <v>600.55145671358184</v>
      </c>
      <c r="CD98" s="62">
        <f ca="1">AVERAGE(OFFSET($CC$3,0,0,'Données projet'!$E$12+1,1))-AVERAGE(OFFSET($H$3,0,0,'Données projet'!$E$12+1,1))</f>
        <v>264.88170274686757</v>
      </c>
      <c r="CE98" s="62">
        <f t="shared" si="94"/>
        <v>160.81140876142001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279.67679999999996</v>
      </c>
      <c r="CV98" s="14">
        <f t="shared" si="95"/>
        <v>66.898702839783041</v>
      </c>
      <c r="CW98" s="22">
        <f t="shared" si="67"/>
        <v>603.61900077928863</v>
      </c>
      <c r="CX98" s="62">
        <f t="shared" si="68"/>
        <v>896.95233411262188</v>
      </c>
      <c r="CY98" s="62">
        <f ca="1">AVERAGE(OFFSET($CX$3,0,0,'Données projet'!$E$13+1,1))-AVERAGE(OFFSET($H$3,0,0,'Données projet'!$E$13+1,1))</f>
        <v>411.60020200960821</v>
      </c>
      <c r="CZ98" s="62">
        <f t="shared" si="96"/>
        <v>261.95434270986397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6.7224608093438895E-10</v>
      </c>
      <c r="DI98" s="24">
        <f t="shared" si="69"/>
        <v>6.7224608093438895E-10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1.4210854715202004E-13</v>
      </c>
      <c r="DP98" s="18">
        <f>DO98*VLOOKUP('Données projet'!$B$14,Paramètres!$A$1:$I$89,3,0)*VLOOKUP('Données projet'!$B$14,Paramètres!$A$1:$I$89,5,0)</f>
        <v>9.3109520094003535E-14</v>
      </c>
      <c r="DQ98" s="14">
        <f t="shared" si="97"/>
        <v>1.4104420303656732E-12</v>
      </c>
      <c r="DR98" s="22">
        <f t="shared" si="70"/>
        <v>2.6186856170506036E-12</v>
      </c>
      <c r="DS98" s="62">
        <f t="shared" si="71"/>
        <v>293.33333333333593</v>
      </c>
      <c r="DT98" s="62">
        <f ca="1">AVERAGE(OFFSET($DS$3,0,0,'Données projet'!$E$14+1,1))-AVERAGE(OFFSET($H$3,0,0,'Données projet'!$E$14+1,1))</f>
        <v>240.134073924311</v>
      </c>
      <c r="DU98" s="62">
        <f t="shared" si="98"/>
        <v>237.10378497981156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0.36123667162892542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2.7528758257040246E-9</v>
      </c>
      <c r="ED98" s="24">
        <f t="shared" si="72"/>
        <v>0.36123667438180124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4.4337866711430253E-14</v>
      </c>
      <c r="P99" s="14">
        <f t="shared" si="87"/>
        <v>7.3222115536967035E-13</v>
      </c>
      <c r="Q99" s="22">
        <f t="shared" ref="Q99:Q130" si="107">(O99+P99)*0.475*44/12</f>
        <v>1.3525069634579169E-12</v>
      </c>
      <c r="R99" s="62">
        <f t="shared" si="55"/>
        <v>293.33333333333468</v>
      </c>
      <c r="S99" s="62">
        <f ca="1">AVERAGE(OFFSET($R$3,0,0,'Données projet'!$E$9+1,1))-AVERAGE(OFFSET($H$3,0,0,'Données projet'!$E$9+1,1))</f>
        <v>288.82868507674738</v>
      </c>
      <c r="T99" s="62">
        <f t="shared" si="88"/>
        <v>283.48738729114024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0.27852576943461294</v>
      </c>
      <c r="AB99" s="23">
        <f>EXP(-LN(2)/2)*AB98+(1-EXP(-LN(2)/2))/(LN(2)/2)*V99*Y99*VLOOKUP('Données projet'!$B$9,Paramètres!$A$1:$I$89,3,0)*0.475*44/12</f>
        <v>3.9549737223984292E-10</v>
      </c>
      <c r="AC99" s="24">
        <f t="shared" si="57"/>
        <v>0.27852576983011029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808.41971807128675</v>
      </c>
      <c r="AN99" s="62">
        <f ca="1">AVERAGE(OFFSET($AM$3,0,0,'Données projet'!$E$10+1,1))-AVERAGE(OFFSET($H$3,0,0,'Données projet'!$E$10+1,1))</f>
        <v>371.95849973474657</v>
      </c>
      <c r="AO99" s="62">
        <f t="shared" si="90"/>
        <v>233.32640143610547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2.2276170523030235E-9</v>
      </c>
      <c r="AX99" s="23">
        <f t="shared" si="60"/>
        <v>2.2276170523030235E-9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274.67856000000006</v>
      </c>
      <c r="BF99" s="14">
        <f t="shared" si="91"/>
        <v>65.841182859249173</v>
      </c>
      <c r="BG99" s="22">
        <f t="shared" si="61"/>
        <v>593.07188547985902</v>
      </c>
      <c r="BH99" s="62">
        <f t="shared" si="62"/>
        <v>886.40521881319228</v>
      </c>
      <c r="BI99" s="62">
        <f ca="1">AVERAGE(OFFSET($BH$3,0,0,'Données projet'!$E$11+1,1))-AVERAGE(OFFSET($H$3,0,0,'Données projet'!$E$11+1,1))</f>
        <v>423.40903481736001</v>
      </c>
      <c r="BJ99" s="62">
        <f t="shared" si="92"/>
        <v>263.03039552465799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2.5732817673155758E-9</v>
      </c>
      <c r="BS99" s="24">
        <f t="shared" si="63"/>
        <v>2.5732817673155758E-9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5.5625</v>
      </c>
      <c r="BY99" s="13">
        <f>IF('Données projet'!$A$114&gt;35,BY98+BX99-CG98,IF(A99&lt;'Données projet'!$A$114,$BV$205^A99,IF(A99='Données projet'!$A$114,'Données projet'!$B$114,BY98+BX99-CG98)))</f>
        <v>304.87499999999994</v>
      </c>
      <c r="BZ99" s="14">
        <f>BY99*VLOOKUP('Données projet'!$B$12,Paramètres!$A$1:$I$89,3,0)*VLOOKUP('Données projet'!$B$12,Paramètres!$A$1:$I$89,5,0)</f>
        <v>142.68149999999997</v>
      </c>
      <c r="CA99" s="14">
        <f t="shared" si="93"/>
        <v>36.910619545366359</v>
      </c>
      <c r="CB99" s="22">
        <f t="shared" si="64"/>
        <v>312.78960820817969</v>
      </c>
      <c r="CC99" s="62">
        <f t="shared" si="65"/>
        <v>606.122941541513</v>
      </c>
      <c r="CD99" s="62">
        <f ca="1">AVERAGE(OFFSET($CC$3,0,0,'Données projet'!$E$12+1,1))-AVERAGE(OFFSET($H$3,0,0,'Données projet'!$E$12+1,1))</f>
        <v>264.88170274686757</v>
      </c>
      <c r="CE99" s="62">
        <f t="shared" si="94"/>
        <v>160.81140876142001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260.97551999999996</v>
      </c>
      <c r="CV99" s="14">
        <f t="shared" si="95"/>
        <v>62.930274054356879</v>
      </c>
      <c r="CW99" s="22">
        <f t="shared" si="67"/>
        <v>564.13592464467149</v>
      </c>
      <c r="CX99" s="62">
        <f t="shared" si="68"/>
        <v>857.46925797800486</v>
      </c>
      <c r="CY99" s="62">
        <f ca="1">AVERAGE(OFFSET($CX$3,0,0,'Données projet'!$E$13+1,1))-AVERAGE(OFFSET($H$3,0,0,'Données projet'!$E$13+1,1))</f>
        <v>411.60020200960821</v>
      </c>
      <c r="CZ99" s="62">
        <f t="shared" si="96"/>
        <v>261.95434270986397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4.7534976245478708E-10</v>
      </c>
      <c r="DI99" s="24">
        <f t="shared" si="69"/>
        <v>4.7534976245478708E-10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1.4210854715202004E-13</v>
      </c>
      <c r="DP99" s="18">
        <f>DO99*VLOOKUP('Données projet'!$B$14,Paramètres!$A$1:$I$89,3,0)*VLOOKUP('Données projet'!$B$14,Paramètres!$A$1:$I$89,5,0)</f>
        <v>9.3109520094003535E-14</v>
      </c>
      <c r="DQ99" s="14">
        <f t="shared" si="97"/>
        <v>1.4104420303656732E-12</v>
      </c>
      <c r="DR99" s="22">
        <f t="shared" si="70"/>
        <v>2.6186856170506036E-12</v>
      </c>
      <c r="DS99" s="62">
        <f t="shared" si="71"/>
        <v>293.33333333333593</v>
      </c>
      <c r="DT99" s="62">
        <f ca="1">AVERAGE(OFFSET($DS$3,0,0,'Données projet'!$E$14+1,1))-AVERAGE(OFFSET($H$3,0,0,'Données projet'!$E$14+1,1))</f>
        <v>240.134073924311</v>
      </c>
      <c r="DU99" s="62">
        <f t="shared" si="98"/>
        <v>237.10378497981156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0.35415304083089583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1.9465771641198321E-9</v>
      </c>
      <c r="ED99" s="24">
        <f t="shared" si="72"/>
        <v>0.354153042777473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4.4337866711430253E-14</v>
      </c>
      <c r="P100" s="14">
        <f t="shared" si="87"/>
        <v>7.3222115536967035E-13</v>
      </c>
      <c r="Q100" s="22">
        <f t="shared" si="107"/>
        <v>1.3525069634579169E-12</v>
      </c>
      <c r="R100" s="62">
        <f t="shared" si="55"/>
        <v>293.33333333333468</v>
      </c>
      <c r="S100" s="62">
        <f ca="1">AVERAGE(OFFSET($R$3,0,0,'Données projet'!$E$9+1,1))-AVERAGE(OFFSET($H$3,0,0,'Données projet'!$E$9+1,1))</f>
        <v>288.82868507674738</v>
      </c>
      <c r="T100" s="62">
        <f t="shared" si="88"/>
        <v>283.48738729114024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0.27090946762238982</v>
      </c>
      <c r="AB100" s="23">
        <f>EXP(-LN(2)/2)*AB99+(1-EXP(-LN(2)/2))/(LN(2)/2)*V100*Y100*VLOOKUP('Données projet'!$B$9,Paramètres!$A$1:$I$89,3,0)*0.475*44/12</f>
        <v>2.7965887385225314E-10</v>
      </c>
      <c r="AC100" s="24">
        <f t="shared" si="57"/>
        <v>0.27090946790204867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817.61134507876227</v>
      </c>
      <c r="AN100" s="62">
        <f ca="1">AVERAGE(OFFSET($AM$3,0,0,'Données projet'!$E$10+1,1))-AVERAGE(OFFSET($H$3,0,0,'Données projet'!$E$10+1,1))</f>
        <v>371.95849973474657</v>
      </c>
      <c r="AO100" s="62">
        <f t="shared" si="90"/>
        <v>233.32640143610547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1.5751631235702561E-9</v>
      </c>
      <c r="AX100" s="23">
        <f t="shared" si="60"/>
        <v>1.5751631235702561E-9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279.6955200000001</v>
      </c>
      <c r="BF100" s="14">
        <f t="shared" si="91"/>
        <v>66.902659430382812</v>
      </c>
      <c r="BG100" s="22">
        <f t="shared" si="61"/>
        <v>603.65849584125021</v>
      </c>
      <c r="BH100" s="62">
        <f t="shared" si="62"/>
        <v>896.99182917458347</v>
      </c>
      <c r="BI100" s="62">
        <f ca="1">AVERAGE(OFFSET($BH$3,0,0,'Données projet'!$E$11+1,1))-AVERAGE(OFFSET($H$3,0,0,'Données projet'!$E$11+1,1))</f>
        <v>423.40903481736001</v>
      </c>
      <c r="BJ100" s="62">
        <f t="shared" si="92"/>
        <v>263.03039552465799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1.8195849875725472E-9</v>
      </c>
      <c r="BS100" s="24">
        <f t="shared" si="63"/>
        <v>1.8195849875725472E-9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5.5625</v>
      </c>
      <c r="BY100" s="13">
        <f>IF('Données projet'!$A$114&gt;35,BY99+BX100-CG99,IF(A100&lt;'Données projet'!$A$114,$BV$205^A100,IF(A100='Données projet'!$A$114,'Données projet'!$B$114,BY99+BX100-CG99)))</f>
        <v>310.43749999999994</v>
      </c>
      <c r="BZ100" s="14">
        <f>BY100*VLOOKUP('Données projet'!$B$12,Paramètres!$A$1:$I$89,3,0)*VLOOKUP('Données projet'!$B$12,Paramètres!$A$1:$I$89,5,0)</f>
        <v>145.28474999999997</v>
      </c>
      <c r="CA100" s="14">
        <f t="shared" si="93"/>
        <v>37.505044383458269</v>
      </c>
      <c r="CB100" s="22">
        <f t="shared" si="64"/>
        <v>318.35889188452308</v>
      </c>
      <c r="CC100" s="62">
        <f t="shared" si="65"/>
        <v>611.69222521785639</v>
      </c>
      <c r="CD100" s="62">
        <f ca="1">AVERAGE(OFFSET($CC$3,0,0,'Données projet'!$E$12+1,1))-AVERAGE(OFFSET($H$3,0,0,'Données projet'!$E$12+1,1))</f>
        <v>264.88170274686757</v>
      </c>
      <c r="CE100" s="62">
        <f t="shared" si="94"/>
        <v>160.81140876142001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265.86144000000002</v>
      </c>
      <c r="CV100" s="14">
        <f t="shared" si="95"/>
        <v>63.970174371268861</v>
      </c>
      <c r="CW100" s="22">
        <f t="shared" si="67"/>
        <v>574.45672836329322</v>
      </c>
      <c r="CX100" s="62">
        <f t="shared" si="68"/>
        <v>867.79006169662648</v>
      </c>
      <c r="CY100" s="62">
        <f ca="1">AVERAGE(OFFSET($CX$3,0,0,'Données projet'!$E$13+1,1))-AVERAGE(OFFSET($H$3,0,0,'Données projet'!$E$13+1,1))</f>
        <v>411.60020200960821</v>
      </c>
      <c r="CZ100" s="62">
        <f t="shared" si="96"/>
        <v>261.95434270986397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3.3612304046719447E-10</v>
      </c>
      <c r="DI100" s="24">
        <f t="shared" si="69"/>
        <v>3.3612304046719447E-10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1.4210854715202004E-13</v>
      </c>
      <c r="DP100" s="18">
        <f>DO100*VLOOKUP('Données projet'!$B$14,Paramètres!$A$1:$I$89,3,0)*VLOOKUP('Données projet'!$B$14,Paramètres!$A$1:$I$89,5,0)</f>
        <v>9.3109520094003535E-14</v>
      </c>
      <c r="DQ100" s="14">
        <f t="shared" si="97"/>
        <v>1.4104420303656732E-12</v>
      </c>
      <c r="DR100" s="22">
        <f t="shared" si="70"/>
        <v>2.6186856170506036E-12</v>
      </c>
      <c r="DS100" s="62">
        <f t="shared" si="71"/>
        <v>293.33333333333593</v>
      </c>
      <c r="DT100" s="62">
        <f ca="1">AVERAGE(OFFSET($DS$3,0,0,'Données projet'!$E$14+1,1))-AVERAGE(OFFSET($H$3,0,0,'Données projet'!$E$14+1,1))</f>
        <v>240.134073924311</v>
      </c>
      <c r="DU100" s="62">
        <f t="shared" si="98"/>
        <v>237.10378497981156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0.34720831571222743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1.3764379128520123E-9</v>
      </c>
      <c r="ED100" s="24">
        <f t="shared" si="72"/>
        <v>0.34720831708866534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4.4337866711430253E-14</v>
      </c>
      <c r="P101" s="14">
        <f t="shared" si="87"/>
        <v>7.3222115536967035E-13</v>
      </c>
      <c r="Q101" s="22">
        <f t="shared" si="107"/>
        <v>1.3525069634579169E-12</v>
      </c>
      <c r="R101" s="62">
        <f t="shared" si="55"/>
        <v>293.33333333333468</v>
      </c>
      <c r="S101" s="62">
        <f ca="1">AVERAGE(OFFSET($R$3,0,0,'Données projet'!$E$9+1,1))-AVERAGE(OFFSET($H$3,0,0,'Données projet'!$E$9+1,1))</f>
        <v>288.82868507674738</v>
      </c>
      <c r="T101" s="62">
        <f t="shared" si="88"/>
        <v>283.48738729114024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0.26350143398374581</v>
      </c>
      <c r="AB101" s="23">
        <f>EXP(-LN(2)/2)*AB100+(1-EXP(-LN(2)/2))/(LN(2)/2)*V101*Y101*VLOOKUP('Données projet'!$B$9,Paramètres!$A$1:$I$89,3,0)*0.475*44/12</f>
        <v>1.9774868611992146E-10</v>
      </c>
      <c r="AC101" s="24">
        <f t="shared" si="57"/>
        <v>0.26350143418149452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826.79957739592805</v>
      </c>
      <c r="AN101" s="62">
        <f ca="1">AVERAGE(OFFSET($AM$3,0,0,'Données projet'!$E$10+1,1))-AVERAGE(OFFSET($H$3,0,0,'Données projet'!$E$10+1,1))</f>
        <v>371.95849973474657</v>
      </c>
      <c r="AO101" s="62">
        <f t="shared" si="90"/>
        <v>233.32640143610547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1.1138085261515118E-9</v>
      </c>
      <c r="AX101" s="23">
        <f t="shared" si="60"/>
        <v>1.1138085261515118E-9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284.71248000000014</v>
      </c>
      <c r="BF101" s="14">
        <f t="shared" si="91"/>
        <v>67.961921939195264</v>
      </c>
      <c r="BG101" s="22">
        <f t="shared" si="61"/>
        <v>614.24125004409859</v>
      </c>
      <c r="BH101" s="62">
        <f t="shared" si="62"/>
        <v>907.57458337743196</v>
      </c>
      <c r="BI101" s="62">
        <f ca="1">AVERAGE(OFFSET($BH$3,0,0,'Données projet'!$E$11+1,1))-AVERAGE(OFFSET($H$3,0,0,'Données projet'!$E$11+1,1))</f>
        <v>423.40903481736001</v>
      </c>
      <c r="BJ101" s="62">
        <f t="shared" si="92"/>
        <v>263.03039552465799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1.2866408836577881E-9</v>
      </c>
      <c r="BS101" s="24">
        <f t="shared" si="63"/>
        <v>1.2866408836577881E-9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>
        <f>VLOOKUP(A101,'Données projet'!$A$113:$I$133,2,0)</f>
        <v>316</v>
      </c>
      <c r="BW101" s="13">
        <f>VLOOKUP(A101,'Données projet'!$A$113:$I$133,9,0)</f>
        <v>5.5625</v>
      </c>
      <c r="BX101" s="13">
        <f t="array" ref="BX101">INDEX(BW:BW,MIN(IF(ISNUMBER(BW101:BW297),ROW(BW101:BW297),"")))</f>
        <v>5.5625</v>
      </c>
      <c r="BY101" s="13">
        <f>IF('Données projet'!$A$114&gt;35,BY100+BX101-CG100,IF(A101&lt;'Données projet'!$A$114,$BV$205^A101,IF(A101='Données projet'!$A$114,'Données projet'!$B$114,BY100+BX101-CG100)))</f>
        <v>315.99999999999994</v>
      </c>
      <c r="BZ101" s="14">
        <f>BY101*VLOOKUP('Données projet'!$B$12,Paramètres!$A$1:$I$89,3,0)*VLOOKUP('Données projet'!$B$12,Paramètres!$A$1:$I$89,5,0)</f>
        <v>147.88799999999998</v>
      </c>
      <c r="CA101" s="14">
        <f t="shared" si="93"/>
        <v>38.098230660204834</v>
      </c>
      <c r="CB101" s="22">
        <f t="shared" si="64"/>
        <v>323.92601839985667</v>
      </c>
      <c r="CC101" s="62">
        <f t="shared" si="65"/>
        <v>617.25935173318999</v>
      </c>
      <c r="CD101" s="62">
        <f ca="1">AVERAGE(OFFSET($CC$3,0,0,'Données projet'!$E$12+1,1))-AVERAGE(OFFSET($H$3,0,0,'Données projet'!$E$12+1,1))</f>
        <v>264.88170274686757</v>
      </c>
      <c r="CE101" s="62">
        <f t="shared" si="94"/>
        <v>160.81140876142001</v>
      </c>
      <c r="CF101" s="16">
        <f>IF(ISNA(VLOOKUP(A101,'Données projet'!$A$113:$I$133,3,0)),0,VLOOKUP(A101,'Données projet'!$A$113:$I$133,3,0))</f>
        <v>2</v>
      </c>
      <c r="CG101" s="16">
        <f>IF(ISNA(VLOOKUP(A101,'Données projet'!$A$113:$I$133,4,0)),0,VLOOKUP(A101,'Données projet'!$A$113:$I$133,4,0))</f>
        <v>61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270.74736000000001</v>
      </c>
      <c r="CV101" s="14">
        <f t="shared" si="95"/>
        <v>65.007852416747113</v>
      </c>
      <c r="CW101" s="22">
        <f t="shared" si="67"/>
        <v>584.77366162583451</v>
      </c>
      <c r="CX101" s="62">
        <f t="shared" si="68"/>
        <v>878.10699495916788</v>
      </c>
      <c r="CY101" s="62">
        <f ca="1">AVERAGE(OFFSET($CX$3,0,0,'Données projet'!$E$13+1,1))-AVERAGE(OFFSET($H$3,0,0,'Données projet'!$E$13+1,1))</f>
        <v>411.60020200960821</v>
      </c>
      <c r="CZ101" s="62">
        <f t="shared" si="96"/>
        <v>261.95434270986397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2.3767488122739354E-10</v>
      </c>
      <c r="DI101" s="24">
        <f t="shared" si="69"/>
        <v>2.3767488122739354E-10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1.4210854715202004E-13</v>
      </c>
      <c r="DP101" s="18">
        <f>DO101*VLOOKUP('Données projet'!$B$14,Paramètres!$A$1:$I$89,3,0)*VLOOKUP('Données projet'!$B$14,Paramètres!$A$1:$I$89,5,0)</f>
        <v>9.3109520094003535E-14</v>
      </c>
      <c r="DQ101" s="14">
        <f t="shared" si="97"/>
        <v>1.4104420303656732E-12</v>
      </c>
      <c r="DR101" s="22">
        <f t="shared" si="70"/>
        <v>2.6186856170506036E-12</v>
      </c>
      <c r="DS101" s="62">
        <f t="shared" si="71"/>
        <v>293.33333333333593</v>
      </c>
      <c r="DT101" s="62">
        <f ca="1">AVERAGE(OFFSET($DS$3,0,0,'Données projet'!$E$14+1,1))-AVERAGE(OFFSET($H$3,0,0,'Données projet'!$E$14+1,1))</f>
        <v>240.134073924311</v>
      </c>
      <c r="DU101" s="62">
        <f t="shared" si="98"/>
        <v>237.10378497981156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0.3403997724172721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9.7328858205991603E-10</v>
      </c>
      <c r="ED101" s="24">
        <f t="shared" si="72"/>
        <v>0.34039977339056066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4.4337866711430253E-14</v>
      </c>
      <c r="P102" s="14">
        <f t="shared" si="87"/>
        <v>7.3222115536967035E-13</v>
      </c>
      <c r="Q102" s="22">
        <f t="shared" si="107"/>
        <v>1.3525069634579169E-12</v>
      </c>
      <c r="R102" s="62">
        <f t="shared" si="55"/>
        <v>293.33333333333468</v>
      </c>
      <c r="S102" s="62">
        <f ca="1">AVERAGE(OFFSET($R$3,0,0,'Données projet'!$E$9+1,1))-AVERAGE(OFFSET($H$3,0,0,'Données projet'!$E$9+1,1))</f>
        <v>288.82868507674738</v>
      </c>
      <c r="T102" s="62">
        <f t="shared" si="88"/>
        <v>283.48738729114024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0.25629597341452209</v>
      </c>
      <c r="AB102" s="23">
        <f>EXP(-LN(2)/2)*AB101+(1-EXP(-LN(2)/2))/(LN(2)/2)*V102*Y102*VLOOKUP('Données projet'!$B$9,Paramètres!$A$1:$I$89,3,0)*0.475*44/12</f>
        <v>1.3982943692612657E-10</v>
      </c>
      <c r="AC102" s="24">
        <f t="shared" si="57"/>
        <v>0.25629597355435152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835.98448174248938</v>
      </c>
      <c r="AN102" s="62">
        <f ca="1">AVERAGE(OFFSET($AM$3,0,0,'Données projet'!$E$10+1,1))-AVERAGE(OFFSET($H$3,0,0,'Données projet'!$E$10+1,1))</f>
        <v>371.95849973474657</v>
      </c>
      <c r="AO102" s="62">
        <f t="shared" si="90"/>
        <v>233.32640143610547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7.8758156178512804E-10</v>
      </c>
      <c r="AX102" s="23">
        <f t="shared" si="60"/>
        <v>7.8758156178512804E-10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289.72944000000012</v>
      </c>
      <c r="BF102" s="14">
        <f t="shared" si="91"/>
        <v>69.019013901168847</v>
      </c>
      <c r="BG102" s="22">
        <f t="shared" si="61"/>
        <v>624.82022387786935</v>
      </c>
      <c r="BH102" s="62">
        <f t="shared" si="62"/>
        <v>918.15355721120272</v>
      </c>
      <c r="BI102" s="62">
        <f ca="1">AVERAGE(OFFSET($BH$3,0,0,'Données projet'!$E$11+1,1))-AVERAGE(OFFSET($H$3,0,0,'Données projet'!$E$11+1,1))</f>
        <v>423.40903481736001</v>
      </c>
      <c r="BJ102" s="62">
        <f t="shared" si="92"/>
        <v>263.03039552465799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9.0979249378627382E-10</v>
      </c>
      <c r="BS102" s="24">
        <f t="shared" si="63"/>
        <v>9.0979249378627382E-10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4.882352941176471</v>
      </c>
      <c r="BY102" s="13">
        <f>IF('Données projet'!$A$114&gt;35,BY101+BX102-CG101,IF(A102&lt;'Données projet'!$A$114,$BV$205^A102,IF(A102='Données projet'!$A$114,'Données projet'!$B$114,BY101+BX102-CG101)))</f>
        <v>259.88235294117641</v>
      </c>
      <c r="BZ102" s="14">
        <f>BY102*VLOOKUP('Données projet'!$B$12,Paramètres!$A$1:$I$89,3,0)*VLOOKUP('Données projet'!$B$12,Paramètres!$A$1:$I$89,5,0)</f>
        <v>121.62494117647056</v>
      </c>
      <c r="CA102" s="14">
        <f t="shared" si="93"/>
        <v>32.053692952022949</v>
      </c>
      <c r="CB102" s="22">
        <f t="shared" si="64"/>
        <v>267.65695444045951</v>
      </c>
      <c r="CC102" s="62">
        <f t="shared" si="65"/>
        <v>560.99028777379283</v>
      </c>
      <c r="CD102" s="62">
        <f ca="1">AVERAGE(OFFSET($CC$3,0,0,'Données projet'!$E$12+1,1))-AVERAGE(OFFSET($H$3,0,0,'Données projet'!$E$12+1,1))</f>
        <v>264.88170274686757</v>
      </c>
      <c r="CE102" s="62">
        <f t="shared" si="94"/>
        <v>160.81140876142001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275.63328000000001</v>
      </c>
      <c r="CV102" s="14">
        <f t="shared" si="95"/>
        <v>66.043352919930101</v>
      </c>
      <c r="CW102" s="22">
        <f t="shared" si="67"/>
        <v>595.08680233554503</v>
      </c>
      <c r="CX102" s="62">
        <f t="shared" si="68"/>
        <v>888.4201356688784</v>
      </c>
      <c r="CY102" s="62">
        <f ca="1">AVERAGE(OFFSET($CX$3,0,0,'Données projet'!$E$13+1,1))-AVERAGE(OFFSET($H$3,0,0,'Données projet'!$E$13+1,1))</f>
        <v>411.60020200960821</v>
      </c>
      <c r="CZ102" s="62">
        <f t="shared" si="96"/>
        <v>261.95434270986397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1.6806152023359724E-10</v>
      </c>
      <c r="DI102" s="24">
        <f t="shared" si="69"/>
        <v>1.6806152023359724E-10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1.4210854715202004E-13</v>
      </c>
      <c r="DP102" s="18">
        <f>DO102*VLOOKUP('Données projet'!$B$14,Paramètres!$A$1:$I$89,3,0)*VLOOKUP('Données projet'!$B$14,Paramètres!$A$1:$I$89,5,0)</f>
        <v>9.3109520094003535E-14</v>
      </c>
      <c r="DQ102" s="14">
        <f t="shared" si="97"/>
        <v>1.4104420303656732E-12</v>
      </c>
      <c r="DR102" s="22">
        <f t="shared" si="70"/>
        <v>2.6186856170506036E-12</v>
      </c>
      <c r="DS102" s="62">
        <f t="shared" si="71"/>
        <v>293.33333333333593</v>
      </c>
      <c r="DT102" s="62">
        <f ca="1">AVERAGE(OFFSET($DS$3,0,0,'Données projet'!$E$14+1,1))-AVERAGE(OFFSET($H$3,0,0,'Données projet'!$E$14+1,1))</f>
        <v>240.134073924311</v>
      </c>
      <c r="DU102" s="62">
        <f t="shared" si="98"/>
        <v>237.10378497981156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0.33372474050352946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6.8821895642600615E-10</v>
      </c>
      <c r="ED102" s="24">
        <f t="shared" si="72"/>
        <v>0.33372474119174844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4.4337866711430253E-14</v>
      </c>
      <c r="P103" s="14">
        <f t="shared" si="87"/>
        <v>7.3222115536967035E-13</v>
      </c>
      <c r="Q103" s="22">
        <f t="shared" si="107"/>
        <v>1.3525069634579169E-12</v>
      </c>
      <c r="R103" s="62">
        <f t="shared" si="55"/>
        <v>293.33333333333468</v>
      </c>
      <c r="S103" s="62">
        <f ca="1">AVERAGE(OFFSET($R$3,0,0,'Données projet'!$E$9+1,1))-AVERAGE(OFFSET($H$3,0,0,'Données projet'!$E$9+1,1))</f>
        <v>288.82868507674738</v>
      </c>
      <c r="T103" s="62">
        <f t="shared" si="88"/>
        <v>283.48738729114024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0.24928754654348251</v>
      </c>
      <c r="AB103" s="23">
        <f>EXP(-LN(2)/2)*AB102+(1-EXP(-LN(2)/2))/(LN(2)/2)*V103*Y103*VLOOKUP('Données projet'!$B$9,Paramètres!$A$1:$I$89,3,0)*0.475*44/12</f>
        <v>9.8874343059960729E-11</v>
      </c>
      <c r="AC103" s="24">
        <f t="shared" si="57"/>
        <v>0.24928754664235686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845.16612239513074</v>
      </c>
      <c r="AN103" s="62">
        <f ca="1">AVERAGE(OFFSET($AM$3,0,0,'Données projet'!$E$10+1,1))-AVERAGE(OFFSET($H$3,0,0,'Données projet'!$E$10+1,1))</f>
        <v>371.95849973474657</v>
      </c>
      <c r="AO103" s="62">
        <f t="shared" si="90"/>
        <v>233.32640143610547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5.5690426307575589E-10</v>
      </c>
      <c r="AX103" s="23">
        <f t="shared" si="60"/>
        <v>5.5690426307575589E-10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294.74640000000016</v>
      </c>
      <c r="BF103" s="14">
        <f t="shared" si="91"/>
        <v>70.073977238414798</v>
      </c>
      <c r="BG103" s="22">
        <f t="shared" si="61"/>
        <v>635.39549035690607</v>
      </c>
      <c r="BH103" s="62">
        <f t="shared" si="62"/>
        <v>928.72882369023932</v>
      </c>
      <c r="BI103" s="62">
        <f ca="1">AVERAGE(OFFSET($BH$3,0,0,'Données projet'!$E$11+1,1))-AVERAGE(OFFSET($H$3,0,0,'Données projet'!$E$11+1,1))</f>
        <v>423.40903481736001</v>
      </c>
      <c r="BJ103" s="62">
        <f t="shared" si="92"/>
        <v>263.03039552465799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6.4332044182889417E-10</v>
      </c>
      <c r="BS103" s="24">
        <f t="shared" si="63"/>
        <v>6.4332044182889417E-10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4.882352941176471</v>
      </c>
      <c r="BY103" s="13">
        <f>IF('Données projet'!$A$114&gt;35,BY102+BX103-CG102,IF(A103&lt;'Données projet'!$A$114,$BV$205^A103,IF(A103='Données projet'!$A$114,'Données projet'!$B$114,BY102+BX103-CG102)))</f>
        <v>264.76470588235287</v>
      </c>
      <c r="BZ103" s="14">
        <f>BY103*VLOOKUP('Données projet'!$B$12,Paramètres!$A$1:$I$89,3,0)*VLOOKUP('Données projet'!$B$12,Paramètres!$A$1:$I$89,5,0)</f>
        <v>123.90988235294114</v>
      </c>
      <c r="CA103" s="14">
        <f t="shared" si="93"/>
        <v>32.585206498754111</v>
      </c>
      <c r="CB103" s="22">
        <f t="shared" si="64"/>
        <v>272.56227975003588</v>
      </c>
      <c r="CC103" s="62">
        <f t="shared" si="65"/>
        <v>565.8956130833692</v>
      </c>
      <c r="CD103" s="62">
        <f ca="1">AVERAGE(OFFSET($CC$3,0,0,'Données projet'!$E$12+1,1))-AVERAGE(OFFSET($H$3,0,0,'Données projet'!$E$12+1,1))</f>
        <v>264.88170274686757</v>
      </c>
      <c r="CE103" s="62">
        <f t="shared" si="94"/>
        <v>160.81140876142001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280.51920000000007</v>
      </c>
      <c r="CV103" s="14">
        <f t="shared" si="95"/>
        <v>67.07671893338123</v>
      </c>
      <c r="CW103" s="22">
        <f t="shared" si="67"/>
        <v>605.39622547563897</v>
      </c>
      <c r="CX103" s="62">
        <f t="shared" si="68"/>
        <v>898.72955880897234</v>
      </c>
      <c r="CY103" s="62">
        <f ca="1">AVERAGE(OFFSET($CX$3,0,0,'Données projet'!$E$13+1,1))-AVERAGE(OFFSET($H$3,0,0,'Données projet'!$E$13+1,1))</f>
        <v>411.60020200960821</v>
      </c>
      <c r="CZ103" s="62">
        <f t="shared" si="96"/>
        <v>261.95434270986397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1.1883744061369677E-10</v>
      </c>
      <c r="DI103" s="24">
        <f t="shared" si="69"/>
        <v>1.1883744061369677E-10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1.4210854715202004E-13</v>
      </c>
      <c r="DP103" s="18">
        <f>DO103*VLOOKUP('Données projet'!$B$14,Paramètres!$A$1:$I$89,3,0)*VLOOKUP('Données projet'!$B$14,Paramètres!$A$1:$I$89,5,0)</f>
        <v>9.3109520094003535E-14</v>
      </c>
      <c r="DQ103" s="14">
        <f t="shared" si="97"/>
        <v>1.4104420303656732E-12</v>
      </c>
      <c r="DR103" s="22">
        <f t="shared" si="70"/>
        <v>2.6186856170506036E-12</v>
      </c>
      <c r="DS103" s="62">
        <f t="shared" si="71"/>
        <v>293.33333333333593</v>
      </c>
      <c r="DT103" s="62">
        <f ca="1">AVERAGE(OFFSET($DS$3,0,0,'Données projet'!$E$14+1,1))-AVERAGE(OFFSET($H$3,0,0,'Données projet'!$E$14+1,1))</f>
        <v>240.134073924311</v>
      </c>
      <c r="DU103" s="62">
        <f t="shared" si="98"/>
        <v>237.10378497981156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0.32718060189424786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4.8664429102995801E-10</v>
      </c>
      <c r="ED103" s="24">
        <f t="shared" si="72"/>
        <v>0.32718060238089214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4.4337866711430253E-14</v>
      </c>
      <c r="P104" s="14">
        <f t="shared" si="87"/>
        <v>7.3222115536967035E-13</v>
      </c>
      <c r="Q104" s="22">
        <f t="shared" si="107"/>
        <v>1.3525069634579169E-12</v>
      </c>
      <c r="R104" s="62">
        <f t="shared" si="55"/>
        <v>293.33333333333468</v>
      </c>
      <c r="S104" s="62">
        <f ca="1">AVERAGE(OFFSET($R$3,0,0,'Données projet'!$E$9+1,1))-AVERAGE(OFFSET($H$3,0,0,'Données projet'!$E$9+1,1))</f>
        <v>288.82868507674738</v>
      </c>
      <c r="T104" s="62">
        <f t="shared" si="88"/>
        <v>283.48738729114024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0.24247076547378865</v>
      </c>
      <c r="AB104" s="23">
        <f>EXP(-LN(2)/2)*AB103+(1-EXP(-LN(2)/2))/(LN(2)/2)*V104*Y104*VLOOKUP('Données projet'!$B$9,Paramètres!$A$1:$I$89,3,0)*0.475*44/12</f>
        <v>6.9914718463063284E-11</v>
      </c>
      <c r="AC104" s="24">
        <f t="shared" si="57"/>
        <v>0.24247076554370336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813.39894154327635</v>
      </c>
      <c r="AN104" s="62">
        <f ca="1">AVERAGE(OFFSET($AM$3,0,0,'Données projet'!$E$10+1,1))-AVERAGE(OFFSET($H$3,0,0,'Données projet'!$E$10+1,1))</f>
        <v>371.95849973474657</v>
      </c>
      <c r="AO104" s="62">
        <f t="shared" si="90"/>
        <v>233.32640143610547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3.9379078089256402E-10</v>
      </c>
      <c r="AX104" s="23">
        <f t="shared" si="60"/>
        <v>3.9379078089256402E-10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277.3960800000001</v>
      </c>
      <c r="BF104" s="14">
        <f t="shared" si="91"/>
        <v>66.416426858323945</v>
      </c>
      <c r="BG104" s="22">
        <f t="shared" si="61"/>
        <v>598.80678277824757</v>
      </c>
      <c r="BH104" s="62">
        <f t="shared" si="62"/>
        <v>892.14011611158094</v>
      </c>
      <c r="BI104" s="62">
        <f ca="1">AVERAGE(OFFSET($BH$3,0,0,'Données projet'!$E$11+1,1))-AVERAGE(OFFSET($H$3,0,0,'Données projet'!$E$11+1,1))</f>
        <v>423.40903481736001</v>
      </c>
      <c r="BJ104" s="62">
        <f t="shared" si="92"/>
        <v>263.03039552465799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4.5489624689313696E-10</v>
      </c>
      <c r="BS104" s="24">
        <f t="shared" si="63"/>
        <v>4.5489624689313696E-10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4.882352941176471</v>
      </c>
      <c r="BY104" s="13">
        <f>IF('Données projet'!$A$114&gt;35,BY103+BX104-CG103,IF(A104&lt;'Données projet'!$A$114,$BV$205^A104,IF(A104='Données projet'!$A$114,'Données projet'!$B$114,BY103+BX104-CG103)))</f>
        <v>269.64705882352933</v>
      </c>
      <c r="BZ104" s="14">
        <f>BY104*VLOOKUP('Données projet'!$B$12,Paramètres!$A$1:$I$89,3,0)*VLOOKUP('Données projet'!$B$12,Paramètres!$A$1:$I$89,5,0)</f>
        <v>126.19482352941172</v>
      </c>
      <c r="CA104" s="14">
        <f t="shared" si="93"/>
        <v>33.115580330116067</v>
      </c>
      <c r="CB104" s="22">
        <f t="shared" si="64"/>
        <v>277.46562005534423</v>
      </c>
      <c r="CC104" s="62">
        <f t="shared" si="65"/>
        <v>570.79895338867755</v>
      </c>
      <c r="CD104" s="62">
        <f ca="1">AVERAGE(OFFSET($CC$3,0,0,'Données projet'!$E$12+1,1))-AVERAGE(OFFSET($H$3,0,0,'Données projet'!$E$12+1,1))</f>
        <v>264.88170274686757</v>
      </c>
      <c r="CE104" s="62">
        <f t="shared" si="94"/>
        <v>160.81140876142001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262.32336000000004</v>
      </c>
      <c r="CV104" s="14">
        <f t="shared" si="95"/>
        <v>63.217367706132244</v>
      </c>
      <c r="CW104" s="22">
        <f t="shared" si="67"/>
        <v>566.98343408818027</v>
      </c>
      <c r="CX104" s="62">
        <f t="shared" si="68"/>
        <v>860.31676742151353</v>
      </c>
      <c r="CY104" s="62">
        <f ca="1">AVERAGE(OFFSET($CX$3,0,0,'Données projet'!$E$13+1,1))-AVERAGE(OFFSET($H$3,0,0,'Données projet'!$E$13+1,1))</f>
        <v>411.60020200960821</v>
      </c>
      <c r="CZ104" s="62">
        <f t="shared" si="96"/>
        <v>261.95434270986397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8.4030760116798619E-11</v>
      </c>
      <c r="DI104" s="24">
        <f t="shared" si="69"/>
        <v>8.4030760116798619E-11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1.4210854715202004E-13</v>
      </c>
      <c r="DP104" s="18">
        <f>DO104*VLOOKUP('Données projet'!$B$14,Paramètres!$A$1:$I$89,3,0)*VLOOKUP('Données projet'!$B$14,Paramètres!$A$1:$I$89,5,0)</f>
        <v>9.3109520094003535E-14</v>
      </c>
      <c r="DQ104" s="14">
        <f t="shared" si="97"/>
        <v>1.4104420303656732E-12</v>
      </c>
      <c r="DR104" s="22">
        <f t="shared" si="70"/>
        <v>2.6186856170506036E-12</v>
      </c>
      <c r="DS104" s="62">
        <f t="shared" si="71"/>
        <v>293.33333333333593</v>
      </c>
      <c r="DT104" s="62">
        <f ca="1">AVERAGE(OFFSET($DS$3,0,0,'Données projet'!$E$14+1,1))-AVERAGE(OFFSET($H$3,0,0,'Données projet'!$E$14+1,1))</f>
        <v>240.134073924311</v>
      </c>
      <c r="DU104" s="62">
        <f t="shared" si="98"/>
        <v>237.10378497981156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0.32076478985156387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3.4410947821300308E-10</v>
      </c>
      <c r="ED104" s="24">
        <f t="shared" si="72"/>
        <v>0.32076479019567333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4.4337866711430253E-14</v>
      </c>
      <c r="P105" s="14">
        <f t="shared" si="87"/>
        <v>7.3222115536967035E-13</v>
      </c>
      <c r="Q105" s="22">
        <f t="shared" si="107"/>
        <v>1.3525069634579169E-12</v>
      </c>
      <c r="R105" s="62">
        <f t="shared" si="55"/>
        <v>293.33333333333468</v>
      </c>
      <c r="S105" s="62">
        <f ca="1">AVERAGE(OFFSET($R$3,0,0,'Données projet'!$E$9+1,1))-AVERAGE(OFFSET($H$3,0,0,'Données projet'!$E$9+1,1))</f>
        <v>288.82868507674738</v>
      </c>
      <c r="T105" s="62">
        <f t="shared" si="88"/>
        <v>283.48738729114024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0.23584038964092452</v>
      </c>
      <c r="AB105" s="23">
        <f>EXP(-LN(2)/2)*AB104+(1-EXP(-LN(2)/2))/(LN(2)/2)*V105*Y105*VLOOKUP('Données projet'!$B$9,Paramètres!$A$1:$I$89,3,0)*0.475*44/12</f>
        <v>4.9437171529980365E-11</v>
      </c>
      <c r="AC105" s="24">
        <f t="shared" si="57"/>
        <v>0.2358403896903617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821.82303552923054</v>
      </c>
      <c r="AN105" s="62">
        <f ca="1">AVERAGE(OFFSET($AM$3,0,0,'Données projet'!$E$10+1,1))-AVERAGE(OFFSET($H$3,0,0,'Données projet'!$E$10+1,1))</f>
        <v>371.95849973474657</v>
      </c>
      <c r="AO105" s="62">
        <f t="shared" si="90"/>
        <v>233.32640143610547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2.7845213153787794E-10</v>
      </c>
      <c r="AX105" s="23">
        <f t="shared" si="60"/>
        <v>2.7845213153787794E-10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281.99496000000011</v>
      </c>
      <c r="BF105" s="14">
        <f t="shared" si="91"/>
        <v>67.388426918877201</v>
      </c>
      <c r="BG105" s="22">
        <f t="shared" si="61"/>
        <v>608.50939888371124</v>
      </c>
      <c r="BH105" s="62">
        <f t="shared" si="62"/>
        <v>901.84273221704461</v>
      </c>
      <c r="BI105" s="62">
        <f ca="1">AVERAGE(OFFSET($BH$3,0,0,'Données projet'!$E$11+1,1))-AVERAGE(OFFSET($H$3,0,0,'Données projet'!$E$11+1,1))</f>
        <v>423.40903481736001</v>
      </c>
      <c r="BJ105" s="62">
        <f t="shared" si="92"/>
        <v>263.03039552465799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3.2166022091444713E-10</v>
      </c>
      <c r="BS105" s="24">
        <f t="shared" si="63"/>
        <v>3.2166022091444713E-10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4.882352941176471</v>
      </c>
      <c r="BY105" s="13">
        <f>IF('Données projet'!$A$114&gt;35,BY104+BX105-CG104,IF(A105&lt;'Données projet'!$A$114,$BV$205^A105,IF(A105='Données projet'!$A$114,'Données projet'!$B$114,BY104+BX105-CG104)))</f>
        <v>274.5294117647058</v>
      </c>
      <c r="BZ105" s="14">
        <f>BY105*VLOOKUP('Données projet'!$B$12,Paramètres!$A$1:$I$89,3,0)*VLOOKUP('Données projet'!$B$12,Paramètres!$A$1:$I$89,5,0)</f>
        <v>128.47976470588233</v>
      </c>
      <c r="CA105" s="14">
        <f t="shared" si="93"/>
        <v>33.644837462646478</v>
      </c>
      <c r="CB105" s="22">
        <f t="shared" si="64"/>
        <v>282.36701544352098</v>
      </c>
      <c r="CC105" s="62">
        <f t="shared" si="65"/>
        <v>575.7003487768543</v>
      </c>
      <c r="CD105" s="62">
        <f ca="1">AVERAGE(OFFSET($CC$3,0,0,'Données projet'!$E$12+1,1))-AVERAGE(OFFSET($H$3,0,0,'Données projet'!$E$12+1,1))</f>
        <v>264.88170274686757</v>
      </c>
      <c r="CE105" s="62">
        <f t="shared" si="94"/>
        <v>160.81140876142001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266.87231999999995</v>
      </c>
      <c r="CV105" s="14">
        <f t="shared" si="95"/>
        <v>64.185047205393062</v>
      </c>
      <c r="CW105" s="22">
        <f t="shared" si="67"/>
        <v>576.59158121605947</v>
      </c>
      <c r="CX105" s="62">
        <f t="shared" si="68"/>
        <v>869.92491454939272</v>
      </c>
      <c r="CY105" s="62">
        <f ca="1">AVERAGE(OFFSET($CX$3,0,0,'Données projet'!$E$13+1,1))-AVERAGE(OFFSET($H$3,0,0,'Données projet'!$E$13+1,1))</f>
        <v>411.60020200960821</v>
      </c>
      <c r="CZ105" s="62">
        <f t="shared" si="96"/>
        <v>261.95434270986397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5.9418720306848385E-11</v>
      </c>
      <c r="DI105" s="24">
        <f t="shared" si="69"/>
        <v>5.9418720306848385E-11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1.4210854715202004E-13</v>
      </c>
      <c r="DP105" s="18">
        <f>DO105*VLOOKUP('Données projet'!$B$14,Paramètres!$A$1:$I$89,3,0)*VLOOKUP('Données projet'!$B$14,Paramètres!$A$1:$I$89,5,0)</f>
        <v>9.3109520094003535E-14</v>
      </c>
      <c r="DQ105" s="14">
        <f t="shared" si="97"/>
        <v>1.4104420303656732E-12</v>
      </c>
      <c r="DR105" s="22">
        <f t="shared" si="70"/>
        <v>2.6186856170506036E-12</v>
      </c>
      <c r="DS105" s="62">
        <f t="shared" si="71"/>
        <v>293.33333333333593</v>
      </c>
      <c r="DT105" s="62">
        <f ca="1">AVERAGE(OFFSET($DS$3,0,0,'Données projet'!$E$14+1,1))-AVERAGE(OFFSET($H$3,0,0,'Données projet'!$E$14+1,1))</f>
        <v>240.134073924311</v>
      </c>
      <c r="DU105" s="62">
        <f t="shared" si="98"/>
        <v>237.10378497981156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0.31447478796977796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2.4332214551497901E-10</v>
      </c>
      <c r="ED105" s="24">
        <f t="shared" si="72"/>
        <v>0.3144747882131001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4.4337866711430253E-14</v>
      </c>
      <c r="P106" s="14">
        <f t="shared" si="87"/>
        <v>7.3222115536967035E-13</v>
      </c>
      <c r="Q106" s="22">
        <f t="shared" si="107"/>
        <v>1.3525069634579169E-12</v>
      </c>
      <c r="R106" s="62">
        <f t="shared" si="55"/>
        <v>293.33333333333468</v>
      </c>
      <c r="S106" s="62">
        <f ca="1">AVERAGE(OFFSET($R$3,0,0,'Données projet'!$E$9+1,1))-AVERAGE(OFFSET($H$3,0,0,'Données projet'!$E$9+1,1))</f>
        <v>288.82868507674738</v>
      </c>
      <c r="T106" s="62">
        <f t="shared" si="88"/>
        <v>283.48738729114024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0.22939132178388635</v>
      </c>
      <c r="AB106" s="23">
        <f>EXP(-LN(2)/2)*AB105+(1-EXP(-LN(2)/2))/(LN(2)/2)*V106*Y106*VLOOKUP('Données projet'!$B$9,Paramètres!$A$1:$I$89,3,0)*0.475*44/12</f>
        <v>3.4957359231531642E-11</v>
      </c>
      <c r="AC106" s="24">
        <f t="shared" si="57"/>
        <v>0.22939132181884372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830.24430301816005</v>
      </c>
      <c r="AN106" s="62">
        <f ca="1">AVERAGE(OFFSET($AM$3,0,0,'Données projet'!$E$10+1,1))-AVERAGE(OFFSET($H$3,0,0,'Données projet'!$E$10+1,1))</f>
        <v>371.95849973474657</v>
      </c>
      <c r="AO106" s="62">
        <f t="shared" si="90"/>
        <v>233.32640143610547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1.9689539044628201E-10</v>
      </c>
      <c r="AX106" s="23">
        <f t="shared" si="60"/>
        <v>1.9689539044628201E-10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286.59384000000011</v>
      </c>
      <c r="BF106" s="14">
        <f t="shared" si="91"/>
        <v>68.358583500352609</v>
      </c>
      <c r="BG106" s="22">
        <f t="shared" si="61"/>
        <v>618.2088042631143</v>
      </c>
      <c r="BH106" s="62">
        <f t="shared" si="62"/>
        <v>911.54213759644767</v>
      </c>
      <c r="BI106" s="62">
        <f ca="1">AVERAGE(OFFSET($BH$3,0,0,'Données projet'!$E$11+1,1))-AVERAGE(OFFSET($H$3,0,0,'Données projet'!$E$11+1,1))</f>
        <v>423.40903481736001</v>
      </c>
      <c r="BJ106" s="62">
        <f t="shared" si="92"/>
        <v>263.03039552465799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2.2744812344656853E-10</v>
      </c>
      <c r="BS106" s="24">
        <f t="shared" si="63"/>
        <v>2.2744812344656853E-10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4.882352941176471</v>
      </c>
      <c r="BY106" s="13">
        <f>IF('Données projet'!$A$114&gt;35,BY105+BX106-CG105,IF(A106&lt;'Données projet'!$A$114,$BV$205^A106,IF(A106='Données projet'!$A$114,'Données projet'!$B$114,BY105+BX106-CG105)))</f>
        <v>279.41176470588226</v>
      </c>
      <c r="BZ106" s="14">
        <f>BY106*VLOOKUP('Données projet'!$B$12,Paramètres!$A$1:$I$89,3,0)*VLOOKUP('Données projet'!$B$12,Paramètres!$A$1:$I$89,5,0)</f>
        <v>130.7647058823529</v>
      </c>
      <c r="CA106" s="14">
        <f t="shared" si="93"/>
        <v>34.173000047322994</v>
      </c>
      <c r="CB106" s="22">
        <f t="shared" si="64"/>
        <v>287.26650449418548</v>
      </c>
      <c r="CC106" s="62">
        <f t="shared" si="65"/>
        <v>580.59983782751874</v>
      </c>
      <c r="CD106" s="62">
        <f ca="1">AVERAGE(OFFSET($CC$3,0,0,'Données projet'!$E$12+1,1))-AVERAGE(OFFSET($H$3,0,0,'Données projet'!$E$12+1,1))</f>
        <v>264.88170274686757</v>
      </c>
      <c r="CE106" s="62">
        <f t="shared" si="94"/>
        <v>160.81140876142001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271.42127999999997</v>
      </c>
      <c r="CV106" s="14">
        <f t="shared" si="95"/>
        <v>65.15080854578764</v>
      </c>
      <c r="CW106" s="22">
        <f t="shared" si="67"/>
        <v>586.19638755057997</v>
      </c>
      <c r="CX106" s="62">
        <f t="shared" si="68"/>
        <v>879.52972088391334</v>
      </c>
      <c r="CY106" s="62">
        <f ca="1">AVERAGE(OFFSET($CX$3,0,0,'Données projet'!$E$13+1,1))-AVERAGE(OFFSET($H$3,0,0,'Données projet'!$E$13+1,1))</f>
        <v>411.60020200960821</v>
      </c>
      <c r="CZ106" s="62">
        <f t="shared" si="96"/>
        <v>261.95434270986397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4.2015380058399309E-11</v>
      </c>
      <c r="DI106" s="24">
        <f t="shared" si="69"/>
        <v>4.2015380058399309E-11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1.4210854715202004E-13</v>
      </c>
      <c r="DP106" s="18">
        <f>DO106*VLOOKUP('Données projet'!$B$14,Paramètres!$A$1:$I$89,3,0)*VLOOKUP('Données projet'!$B$14,Paramètres!$A$1:$I$89,5,0)</f>
        <v>9.3109520094003535E-14</v>
      </c>
      <c r="DQ106" s="14">
        <f t="shared" si="97"/>
        <v>1.4104420303656732E-12</v>
      </c>
      <c r="DR106" s="22">
        <f t="shared" si="70"/>
        <v>2.6186856170506036E-12</v>
      </c>
      <c r="DS106" s="62">
        <f t="shared" si="71"/>
        <v>293.33333333333593</v>
      </c>
      <c r="DT106" s="62">
        <f ca="1">AVERAGE(OFFSET($DS$3,0,0,'Données projet'!$E$14+1,1))-AVERAGE(OFFSET($H$3,0,0,'Données projet'!$E$14+1,1))</f>
        <v>240.134073924311</v>
      </c>
      <c r="DU106" s="62">
        <f t="shared" si="98"/>
        <v>237.10378497981156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0.30830812918837153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1.7205473910650154E-10</v>
      </c>
      <c r="ED106" s="24">
        <f t="shared" si="72"/>
        <v>0.30830812936042629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4.4337866711430253E-14</v>
      </c>
      <c r="P107" s="14">
        <f t="shared" si="87"/>
        <v>7.3222115536967035E-13</v>
      </c>
      <c r="Q107" s="22">
        <f t="shared" si="107"/>
        <v>1.3525069634579169E-12</v>
      </c>
      <c r="R107" s="62">
        <f t="shared" si="55"/>
        <v>293.33333333333468</v>
      </c>
      <c r="S107" s="62">
        <f ca="1">AVERAGE(OFFSET($R$3,0,0,'Données projet'!$E$9+1,1))-AVERAGE(OFFSET($H$3,0,0,'Données projet'!$E$9+1,1))</f>
        <v>288.82868507674738</v>
      </c>
      <c r="T107" s="62">
        <f t="shared" si="88"/>
        <v>283.48738729114024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0.22311860402654066</v>
      </c>
      <c r="AB107" s="23">
        <f>EXP(-LN(2)/2)*AB106+(1-EXP(-LN(2)/2))/(LN(2)/2)*V107*Y107*VLOOKUP('Données projet'!$B$9,Paramètres!$A$1:$I$89,3,0)*0.475*44/12</f>
        <v>2.4718585764990182E-11</v>
      </c>
      <c r="AC107" s="24">
        <f t="shared" si="57"/>
        <v>0.22311860405125925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838.66279460250325</v>
      </c>
      <c r="AN107" s="62">
        <f ca="1">AVERAGE(OFFSET($AM$3,0,0,'Données projet'!$E$10+1,1))-AVERAGE(OFFSET($H$3,0,0,'Données projet'!$E$10+1,1))</f>
        <v>371.95849973474657</v>
      </c>
      <c r="AO107" s="62">
        <f t="shared" si="90"/>
        <v>233.32640143610547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1.3922606576893897E-10</v>
      </c>
      <c r="AX107" s="23">
        <f t="shared" si="60"/>
        <v>1.3922606576893897E-10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291.19272000000007</v>
      </c>
      <c r="BF107" s="14">
        <f t="shared" si="91"/>
        <v>69.326929599812942</v>
      </c>
      <c r="BG107" s="22">
        <f t="shared" si="61"/>
        <v>627.90505638634102</v>
      </c>
      <c r="BH107" s="62">
        <f t="shared" si="62"/>
        <v>921.23838971967439</v>
      </c>
      <c r="BI107" s="62">
        <f ca="1">AVERAGE(OFFSET($BH$3,0,0,'Données projet'!$E$11+1,1))-AVERAGE(OFFSET($H$3,0,0,'Données projet'!$E$11+1,1))</f>
        <v>423.40903481736001</v>
      </c>
      <c r="BJ107" s="62">
        <f t="shared" si="92"/>
        <v>263.03039552465799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1.6083011045722359E-10</v>
      </c>
      <c r="BS107" s="24">
        <f t="shared" si="63"/>
        <v>1.6083011045722359E-10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4.882352941176471</v>
      </c>
      <c r="BY107" s="13">
        <f>IF('Données projet'!$A$114&gt;35,BY106+BX107-CG106,IF(A107&lt;'Données projet'!$A$114,$BV$205^A107,IF(A107='Données projet'!$A$114,'Données projet'!$B$114,BY106+BX107-CG106)))</f>
        <v>284.29411764705873</v>
      </c>
      <c r="BZ107" s="14">
        <f>BY107*VLOOKUP('Données projet'!$B$12,Paramètres!$A$1:$I$89,3,0)*VLOOKUP('Données projet'!$B$12,Paramètres!$A$1:$I$89,5,0)</f>
        <v>133.04964705882347</v>
      </c>
      <c r="CA107" s="14">
        <f t="shared" si="93"/>
        <v>34.700089416659125</v>
      </c>
      <c r="CB107" s="22">
        <f t="shared" si="64"/>
        <v>292.1641243614655</v>
      </c>
      <c r="CC107" s="62">
        <f t="shared" si="65"/>
        <v>585.49745769479887</v>
      </c>
      <c r="CD107" s="62">
        <f ca="1">AVERAGE(OFFSET($CC$3,0,0,'Données projet'!$E$12+1,1))-AVERAGE(OFFSET($H$3,0,0,'Données projet'!$E$12+1,1))</f>
        <v>264.88170274686757</v>
      </c>
      <c r="CE107" s="62">
        <f t="shared" si="94"/>
        <v>160.81140876142001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275.97023999999993</v>
      </c>
      <c r="CV107" s="14">
        <f t="shared" si="95"/>
        <v>66.114687585645072</v>
      </c>
      <c r="CW107" s="22">
        <f t="shared" si="67"/>
        <v>595.79791554499843</v>
      </c>
      <c r="CX107" s="62">
        <f t="shared" si="68"/>
        <v>889.13124887833169</v>
      </c>
      <c r="CY107" s="62">
        <f ca="1">AVERAGE(OFFSET($CX$3,0,0,'Données projet'!$E$13+1,1))-AVERAGE(OFFSET($H$3,0,0,'Données projet'!$E$13+1,1))</f>
        <v>411.60020200960821</v>
      </c>
      <c r="CZ107" s="62">
        <f t="shared" si="96"/>
        <v>261.95434270986397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2.9709360153424192E-11</v>
      </c>
      <c r="DI107" s="24">
        <f t="shared" si="69"/>
        <v>2.9709360153424192E-11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1.4210854715202004E-13</v>
      </c>
      <c r="DP107" s="18">
        <f>DO107*VLOOKUP('Données projet'!$B$14,Paramètres!$A$1:$I$89,3,0)*VLOOKUP('Données projet'!$B$14,Paramètres!$A$1:$I$89,5,0)</f>
        <v>9.3109520094003535E-14</v>
      </c>
      <c r="DQ107" s="14">
        <f t="shared" si="97"/>
        <v>1.4104420303656732E-12</v>
      </c>
      <c r="DR107" s="22">
        <f t="shared" si="70"/>
        <v>2.6186856170506036E-12</v>
      </c>
      <c r="DS107" s="62">
        <f t="shared" si="71"/>
        <v>293.33333333333593</v>
      </c>
      <c r="DT107" s="62">
        <f ca="1">AVERAGE(OFFSET($DS$3,0,0,'Données projet'!$E$14+1,1))-AVERAGE(OFFSET($H$3,0,0,'Données projet'!$E$14+1,1))</f>
        <v>240.134073924311</v>
      </c>
      <c r="DU107" s="62">
        <f t="shared" si="98"/>
        <v>237.10378497981156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0.30226239482437806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1.216610727574895E-10</v>
      </c>
      <c r="ED107" s="24">
        <f t="shared" si="72"/>
        <v>0.30226239494603913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4.4337866711430253E-14</v>
      </c>
      <c r="P108" s="14">
        <f t="shared" si="87"/>
        <v>7.3222115536967035E-13</v>
      </c>
      <c r="Q108" s="22">
        <f t="shared" si="107"/>
        <v>1.3525069634579169E-12</v>
      </c>
      <c r="R108" s="62">
        <f t="shared" si="55"/>
        <v>293.33333333333468</v>
      </c>
      <c r="S108" s="62">
        <f ca="1">AVERAGE(OFFSET($R$3,0,0,'Données projet'!$E$9+1,1))-AVERAGE(OFFSET($H$3,0,0,'Données projet'!$E$9+1,1))</f>
        <v>288.82868507674738</v>
      </c>
      <c r="T108" s="62">
        <f t="shared" si="88"/>
        <v>283.48738729114024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0.21701741406613745</v>
      </c>
      <c r="AB108" s="23">
        <f>EXP(-LN(2)/2)*AB107+(1-EXP(-LN(2)/2))/(LN(2)/2)*V108*Y108*VLOOKUP('Données projet'!$B$9,Paramètres!$A$1:$I$89,3,0)*0.475*44/12</f>
        <v>1.7478679615765821E-11</v>
      </c>
      <c r="AC108" s="24">
        <f t="shared" si="57"/>
        <v>0.21701741408361613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847.07855918499672</v>
      </c>
      <c r="AN108" s="62">
        <f ca="1">AVERAGE(OFFSET($AM$3,0,0,'Données projet'!$E$10+1,1))-AVERAGE(OFFSET($H$3,0,0,'Données projet'!$E$10+1,1))</f>
        <v>371.95849973474657</v>
      </c>
      <c r="AO108" s="62">
        <f t="shared" si="90"/>
        <v>233.32640143610547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9.8447695223141005E-11</v>
      </c>
      <c r="AX108" s="23">
        <f t="shared" si="60"/>
        <v>9.8447695223141005E-11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295.79160000000002</v>
      </c>
      <c r="BF108" s="14">
        <f t="shared" si="91"/>
        <v>70.293497112275901</v>
      </c>
      <c r="BG108" s="22">
        <f t="shared" si="61"/>
        <v>637.59821080388053</v>
      </c>
      <c r="BH108" s="62">
        <f t="shared" si="62"/>
        <v>930.9315441372139</v>
      </c>
      <c r="BI108" s="62">
        <f ca="1">AVERAGE(OFFSET($BH$3,0,0,'Données projet'!$E$11+1,1))-AVERAGE(OFFSET($H$3,0,0,'Données projet'!$E$11+1,1))</f>
        <v>423.40903481736001</v>
      </c>
      <c r="BJ108" s="62">
        <f t="shared" si="92"/>
        <v>263.03039552465799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1.1372406172328428E-10</v>
      </c>
      <c r="BS108" s="24">
        <f t="shared" si="63"/>
        <v>1.1372406172328428E-10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4.882352941176471</v>
      </c>
      <c r="BY108" s="13">
        <f>IF('Données projet'!$A$114&gt;35,BY107+BX108-CG107,IF(A108&lt;'Données projet'!$A$114,$BV$205^A108,IF(A108='Données projet'!$A$114,'Données projet'!$B$114,BY107+BX108-CG107)))</f>
        <v>289.17647058823519</v>
      </c>
      <c r="BZ108" s="14">
        <f>BY108*VLOOKUP('Données projet'!$B$12,Paramètres!$A$1:$I$89,3,0)*VLOOKUP('Données projet'!$B$12,Paramètres!$A$1:$I$89,5,0)</f>
        <v>135.33458823529406</v>
      </c>
      <c r="CA108" s="14">
        <f t="shared" si="93"/>
        <v>35.226126128473091</v>
      </c>
      <c r="CB108" s="22">
        <f t="shared" si="64"/>
        <v>297.05991085022777</v>
      </c>
      <c r="CC108" s="62">
        <f t="shared" si="65"/>
        <v>590.39324418356114</v>
      </c>
      <c r="CD108" s="62">
        <f ca="1">AVERAGE(OFFSET($CC$3,0,0,'Données projet'!$E$12+1,1))-AVERAGE(OFFSET($H$3,0,0,'Données projet'!$E$12+1,1))</f>
        <v>264.88170274686757</v>
      </c>
      <c r="CE108" s="62">
        <f t="shared" si="94"/>
        <v>160.81140876142001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280.5191999999999</v>
      </c>
      <c r="CV108" s="14">
        <f t="shared" si="95"/>
        <v>67.076718933381159</v>
      </c>
      <c r="CW108" s="22">
        <f t="shared" si="67"/>
        <v>605.39622547563874</v>
      </c>
      <c r="CX108" s="62">
        <f t="shared" si="68"/>
        <v>898.72955880897212</v>
      </c>
      <c r="CY108" s="62">
        <f ca="1">AVERAGE(OFFSET($CX$3,0,0,'Données projet'!$E$13+1,1))-AVERAGE(OFFSET($H$3,0,0,'Données projet'!$E$13+1,1))</f>
        <v>411.60020200960821</v>
      </c>
      <c r="CZ108" s="62">
        <f t="shared" si="96"/>
        <v>261.95434270986397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2.1007690029199655E-11</v>
      </c>
      <c r="DI108" s="24">
        <f t="shared" si="69"/>
        <v>2.1007690029199655E-11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1.4210854715202004E-13</v>
      </c>
      <c r="DP108" s="18">
        <f>DO108*VLOOKUP('Données projet'!$B$14,Paramètres!$A$1:$I$89,3,0)*VLOOKUP('Données projet'!$B$14,Paramètres!$A$1:$I$89,5,0)</f>
        <v>9.3109520094003535E-14</v>
      </c>
      <c r="DQ108" s="14">
        <f t="shared" si="97"/>
        <v>1.4104420303656732E-12</v>
      </c>
      <c r="DR108" s="22">
        <f t="shared" si="70"/>
        <v>2.6186856170506036E-12</v>
      </c>
      <c r="DS108" s="62">
        <f t="shared" si="71"/>
        <v>293.33333333333593</v>
      </c>
      <c r="DT108" s="62">
        <f ca="1">AVERAGE(OFFSET($DS$3,0,0,'Données projet'!$E$14+1,1))-AVERAGE(OFFSET($H$3,0,0,'Données projet'!$E$14+1,1))</f>
        <v>240.134073924311</v>
      </c>
      <c r="DU108" s="62">
        <f t="shared" si="98"/>
        <v>237.10378497981156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0.29633521362372861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8.6027369553250769E-11</v>
      </c>
      <c r="ED108" s="24">
        <f t="shared" si="72"/>
        <v>0.29633521370975596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4.4337866711430253E-14</v>
      </c>
      <c r="P109" s="14">
        <f t="shared" si="87"/>
        <v>7.3222115536967035E-13</v>
      </c>
      <c r="Q109" s="22">
        <f t="shared" si="107"/>
        <v>1.3525069634579169E-12</v>
      </c>
      <c r="R109" s="62">
        <f t="shared" si="55"/>
        <v>293.33333333333468</v>
      </c>
      <c r="S109" s="62">
        <f ca="1">AVERAGE(OFFSET($R$3,0,0,'Données projet'!$E$9+1,1))-AVERAGE(OFFSET($H$3,0,0,'Données projet'!$E$9+1,1))</f>
        <v>288.82868507674738</v>
      </c>
      <c r="T109" s="62">
        <f t="shared" si="88"/>
        <v>283.48738729114024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0.2110830614660491</v>
      </c>
      <c r="AB109" s="23">
        <f>EXP(-LN(2)/2)*AB108+(1-EXP(-LN(2)/2))/(LN(2)/2)*V109*Y109*VLOOKUP('Données projet'!$B$9,Paramètres!$A$1:$I$89,3,0)*0.475*44/12</f>
        <v>1.2359292882495091E-11</v>
      </c>
      <c r="AC109" s="24">
        <f t="shared" si="57"/>
        <v>0.21108306147840838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241.76255999999995</v>
      </c>
      <c r="AK109" s="14">
        <f t="shared" si="89"/>
        <v>58.818592205643363</v>
      </c>
      <c r="AL109" s="22">
        <f t="shared" si="58"/>
        <v>523.5121734248288</v>
      </c>
      <c r="AM109" s="62">
        <f t="shared" si="59"/>
        <v>816.84550675816217</v>
      </c>
      <c r="AN109" s="62">
        <f ca="1">AVERAGE(OFFSET($AM$3,0,0,'Données projet'!$E$10+1,1))-AVERAGE(OFFSET($H$3,0,0,'Données projet'!$E$10+1,1))</f>
        <v>371.95849973474657</v>
      </c>
      <c r="AO109" s="62">
        <f t="shared" si="90"/>
        <v>233.32640143610547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6.9613032884469486E-11</v>
      </c>
      <c r="AX109" s="23">
        <f t="shared" si="60"/>
        <v>6.9613032884469486E-11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279.27744000000001</v>
      </c>
      <c r="BF109" s="14">
        <f t="shared" si="91"/>
        <v>66.814288226358798</v>
      </c>
      <c r="BG109" s="22">
        <f t="shared" si="61"/>
        <v>602.77642666090821</v>
      </c>
      <c r="BH109" s="62">
        <f t="shared" si="62"/>
        <v>896.10975999424159</v>
      </c>
      <c r="BI109" s="62">
        <f ca="1">AVERAGE(OFFSET($BH$3,0,0,'Données projet'!$E$11+1,1))-AVERAGE(OFFSET($H$3,0,0,'Données projet'!$E$11+1,1))</f>
        <v>423.40903481736001</v>
      </c>
      <c r="BJ109" s="62">
        <f t="shared" si="92"/>
        <v>263.03039552465799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8.041505522861181E-11</v>
      </c>
      <c r="BS109" s="24">
        <f t="shared" si="63"/>
        <v>8.041505522861181E-11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4.882352941176471</v>
      </c>
      <c r="BY109" s="13">
        <f>IF('Données projet'!$A$114&gt;35,BY108+BX109-CG108,IF(A109&lt;'Données projet'!$A$114,$BV$205^A109,IF(A109='Données projet'!$A$114,'Données projet'!$B$114,BY108+BX109-CG108)))</f>
        <v>294.05882352941165</v>
      </c>
      <c r="BZ109" s="14">
        <f>BY109*VLOOKUP('Données projet'!$B$12,Paramètres!$A$1:$I$89,3,0)*VLOOKUP('Données projet'!$B$12,Paramètres!$A$1:$I$89,5,0)</f>
        <v>137.61952941176466</v>
      </c>
      <c r="CA109" s="14">
        <f t="shared" si="93"/>
        <v>35.751130006616968</v>
      </c>
      <c r="CB109" s="22">
        <f t="shared" si="64"/>
        <v>301.95389848701461</v>
      </c>
      <c r="CC109" s="62">
        <f t="shared" si="65"/>
        <v>595.28723182034787</v>
      </c>
      <c r="CD109" s="62">
        <f ca="1">AVERAGE(OFFSET($CC$3,0,0,'Données projet'!$E$12+1,1))-AVERAGE(OFFSET($H$3,0,0,'Données projet'!$E$12+1,1))</f>
        <v>264.88170274686757</v>
      </c>
      <c r="CE109" s="62">
        <f t="shared" si="94"/>
        <v>160.81140876142001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262.82879999999994</v>
      </c>
      <c r="CV109" s="14">
        <f t="shared" si="95"/>
        <v>63.324983518559428</v>
      </c>
      <c r="CW109" s="22">
        <f t="shared" si="67"/>
        <v>568.05117296149081</v>
      </c>
      <c r="CX109" s="62">
        <f t="shared" si="68"/>
        <v>861.38450629482418</v>
      </c>
      <c r="CY109" s="62">
        <f ca="1">AVERAGE(OFFSET($CX$3,0,0,'Données projet'!$E$13+1,1))-AVERAGE(OFFSET($H$3,0,0,'Données projet'!$E$13+1,1))</f>
        <v>411.60020200960821</v>
      </c>
      <c r="CZ109" s="62">
        <f t="shared" si="96"/>
        <v>261.95434270986397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1.4854680076712096E-11</v>
      </c>
      <c r="DI109" s="24">
        <f t="shared" si="69"/>
        <v>1.4854680076712096E-11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1.4210854715202004E-13</v>
      </c>
      <c r="DP109" s="18">
        <f>DO109*VLOOKUP('Données projet'!$B$14,Paramètres!$A$1:$I$89,3,0)*VLOOKUP('Données projet'!$B$14,Paramètres!$A$1:$I$89,5,0)</f>
        <v>9.3109520094003535E-14</v>
      </c>
      <c r="DQ109" s="14">
        <f t="shared" si="97"/>
        <v>1.4104420303656732E-12</v>
      </c>
      <c r="DR109" s="22">
        <f t="shared" si="70"/>
        <v>2.6186856170506036E-12</v>
      </c>
      <c r="DS109" s="62">
        <f t="shared" si="71"/>
        <v>293.33333333333593</v>
      </c>
      <c r="DT109" s="62">
        <f ca="1">AVERAGE(OFFSET($DS$3,0,0,'Données projet'!$E$14+1,1))-AVERAGE(OFFSET($H$3,0,0,'Données projet'!$E$14+1,1))</f>
        <v>240.134073924311</v>
      </c>
      <c r="DU109" s="62">
        <f t="shared" si="98"/>
        <v>237.10378497981156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0.29052426083120036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6.0830536378744752E-11</v>
      </c>
      <c r="ED109" s="24">
        <f t="shared" si="72"/>
        <v>0.29052426089203093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4.4337866711430253E-14</v>
      </c>
      <c r="P110" s="14">
        <f t="shared" si="87"/>
        <v>7.3222115536967035E-13</v>
      </c>
      <c r="Q110" s="22">
        <f t="shared" si="107"/>
        <v>1.3525069634579169E-12</v>
      </c>
      <c r="R110" s="62">
        <f t="shared" si="55"/>
        <v>293.33333333333468</v>
      </c>
      <c r="S110" s="62">
        <f ca="1">AVERAGE(OFFSET($R$3,0,0,'Données projet'!$E$9+1,1))-AVERAGE(OFFSET($H$3,0,0,'Données projet'!$E$9+1,1))</f>
        <v>288.82868507674738</v>
      </c>
      <c r="T110" s="62">
        <f t="shared" si="88"/>
        <v>283.48738729114024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0.20531098404988424</v>
      </c>
      <c r="AB110" s="23">
        <f>EXP(-LN(2)/2)*AB109+(1-EXP(-LN(2)/2))/(LN(2)/2)*V110*Y110*VLOOKUP('Données projet'!$B$9,Paramètres!$A$1:$I$89,3,0)*0.475*44/12</f>
        <v>8.7393398078829106E-12</v>
      </c>
      <c r="AC110" s="24">
        <f t="shared" si="57"/>
        <v>0.20531098405862358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245.56271999999998</v>
      </c>
      <c r="AK110" s="14">
        <f t="shared" si="89"/>
        <v>59.634776048276898</v>
      </c>
      <c r="AL110" s="22">
        <f t="shared" si="58"/>
        <v>531.55230561741564</v>
      </c>
      <c r="AM110" s="62">
        <f t="shared" si="59"/>
        <v>824.8856389507489</v>
      </c>
      <c r="AN110" s="62">
        <f ca="1">AVERAGE(OFFSET($AM$3,0,0,'Données projet'!$E$10+1,1))-AVERAGE(OFFSET($H$3,0,0,'Données projet'!$E$10+1,1))</f>
        <v>371.95849973474657</v>
      </c>
      <c r="AO110" s="62">
        <f t="shared" si="90"/>
        <v>233.32640143610547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4.9223847611570503E-11</v>
      </c>
      <c r="AX110" s="23">
        <f t="shared" si="60"/>
        <v>4.9223847611570503E-11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283.66728000000001</v>
      </c>
      <c r="BF110" s="14">
        <f t="shared" si="91"/>
        <v>67.741422665699872</v>
      </c>
      <c r="BG110" s="22">
        <f t="shared" si="61"/>
        <v>612.03682380942735</v>
      </c>
      <c r="BH110" s="62">
        <f t="shared" si="62"/>
        <v>905.37015714276072</v>
      </c>
      <c r="BI110" s="62">
        <f ca="1">AVERAGE(OFFSET($BH$3,0,0,'Données projet'!$E$11+1,1))-AVERAGE(OFFSET($H$3,0,0,'Données projet'!$E$11+1,1))</f>
        <v>423.40903481736001</v>
      </c>
      <c r="BJ110" s="62">
        <f t="shared" si="92"/>
        <v>263.03039552465799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5.6862030861642146E-11</v>
      </c>
      <c r="BS110" s="24">
        <f t="shared" si="63"/>
        <v>5.6862030861642146E-11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4.882352941176471</v>
      </c>
      <c r="BY110" s="13">
        <f>IF('Données projet'!$A$114&gt;35,BY109+BX110-CG109,IF(A110&lt;'Données projet'!$A$114,$BV$205^A110,IF(A110='Données projet'!$A$114,'Données projet'!$B$114,BY109+BX110-CG109)))</f>
        <v>298.94117647058812</v>
      </c>
      <c r="BZ110" s="14">
        <f>BY110*VLOOKUP('Données projet'!$B$12,Paramètres!$A$1:$I$89,3,0)*VLOOKUP('Données projet'!$B$12,Paramètres!$A$1:$I$89,5,0)</f>
        <v>139.90447058823523</v>
      </c>
      <c r="CA110" s="14">
        <f t="shared" si="93"/>
        <v>36.275120178924254</v>
      </c>
      <c r="CB110" s="22">
        <f t="shared" si="64"/>
        <v>306.84612058613607</v>
      </c>
      <c r="CC110" s="62">
        <f t="shared" si="65"/>
        <v>600.17945391946932</v>
      </c>
      <c r="CD110" s="62">
        <f ca="1">AVERAGE(OFFSET($CC$3,0,0,'Données projet'!$E$12+1,1))-AVERAGE(OFFSET($H$3,0,0,'Données projet'!$E$12+1,1))</f>
        <v>264.88170274686757</v>
      </c>
      <c r="CE110" s="62">
        <f t="shared" si="94"/>
        <v>160.81140876142001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267.04079999999993</v>
      </c>
      <c r="CV110" s="14">
        <f t="shared" si="95"/>
        <v>64.220850124833518</v>
      </c>
      <c r="CW110" s="22">
        <f t="shared" si="67"/>
        <v>576.94737396741823</v>
      </c>
      <c r="CX110" s="62">
        <f t="shared" si="68"/>
        <v>870.2807073007516</v>
      </c>
      <c r="CY110" s="62">
        <f ca="1">AVERAGE(OFFSET($CX$3,0,0,'Données projet'!$E$13+1,1))-AVERAGE(OFFSET($H$3,0,0,'Données projet'!$E$13+1,1))</f>
        <v>411.60020200960821</v>
      </c>
      <c r="CZ110" s="62">
        <f t="shared" si="96"/>
        <v>261.95434270986397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1.0503845014599827E-11</v>
      </c>
      <c r="DI110" s="24">
        <f t="shared" si="69"/>
        <v>1.0503845014599827E-11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1.4210854715202004E-13</v>
      </c>
      <c r="DP110" s="18">
        <f>DO110*VLOOKUP('Données projet'!$B$14,Paramètres!$A$1:$I$89,3,0)*VLOOKUP('Données projet'!$B$14,Paramètres!$A$1:$I$89,5,0)</f>
        <v>9.3109520094003535E-14</v>
      </c>
      <c r="DQ110" s="14">
        <f t="shared" si="97"/>
        <v>1.4104420303656732E-12</v>
      </c>
      <c r="DR110" s="22">
        <f t="shared" si="70"/>
        <v>2.6186856170506036E-12</v>
      </c>
      <c r="DS110" s="62">
        <f t="shared" si="71"/>
        <v>293.33333333333593</v>
      </c>
      <c r="DT110" s="62">
        <f ca="1">AVERAGE(OFFSET($DS$3,0,0,'Données projet'!$E$14+1,1))-AVERAGE(OFFSET($H$3,0,0,'Données projet'!$E$14+1,1))</f>
        <v>240.134073924311</v>
      </c>
      <c r="DU110" s="62">
        <f t="shared" si="98"/>
        <v>237.10378497981156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0.28482725727860236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4.3013684776625385E-11</v>
      </c>
      <c r="ED110" s="24">
        <f t="shared" si="72"/>
        <v>0.28482725732161607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4.4337866711430253E-14</v>
      </c>
      <c r="P111" s="14">
        <f t="shared" si="87"/>
        <v>7.3222115536967035E-13</v>
      </c>
      <c r="Q111" s="22">
        <f t="shared" si="107"/>
        <v>1.3525069634579169E-12</v>
      </c>
      <c r="R111" s="62">
        <f t="shared" si="55"/>
        <v>293.33333333333468</v>
      </c>
      <c r="S111" s="62">
        <f ca="1">AVERAGE(OFFSET($R$3,0,0,'Données projet'!$E$9+1,1))-AVERAGE(OFFSET($H$3,0,0,'Données projet'!$E$9+1,1))</f>
        <v>288.82868507674738</v>
      </c>
      <c r="T111" s="62">
        <f t="shared" si="88"/>
        <v>283.48738729114024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0.19969674439420473</v>
      </c>
      <c r="AB111" s="23">
        <f>EXP(-LN(2)/2)*AB110+(1-EXP(-LN(2)/2))/(LN(2)/2)*V111*Y111*VLOOKUP('Données projet'!$B$9,Paramètres!$A$1:$I$89,3,0)*0.475*44/12</f>
        <v>6.1796464412475456E-12</v>
      </c>
      <c r="AC111" s="24">
        <f t="shared" si="57"/>
        <v>0.19969674440038437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249.36287999999993</v>
      </c>
      <c r="AK111" s="14">
        <f t="shared" si="89"/>
        <v>60.449490938742557</v>
      </c>
      <c r="AL111" s="22">
        <f t="shared" si="58"/>
        <v>539.58987938497648</v>
      </c>
      <c r="AM111" s="62">
        <f t="shared" si="59"/>
        <v>832.92321271830974</v>
      </c>
      <c r="AN111" s="62">
        <f ca="1">AVERAGE(OFFSET($AM$3,0,0,'Données projet'!$E$10+1,1))-AVERAGE(OFFSET($H$3,0,0,'Données projet'!$E$10+1,1))</f>
        <v>371.95849973474657</v>
      </c>
      <c r="AO111" s="62">
        <f t="shared" si="90"/>
        <v>233.32640143610547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3.4806516442234743E-11</v>
      </c>
      <c r="AX111" s="23">
        <f t="shared" si="60"/>
        <v>3.4806516442234743E-11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288.05712</v>
      </c>
      <c r="BF111" s="14">
        <f t="shared" si="91"/>
        <v>68.666888466097859</v>
      </c>
      <c r="BG111" s="22">
        <f t="shared" si="61"/>
        <v>621.29431474512046</v>
      </c>
      <c r="BH111" s="62">
        <f t="shared" si="62"/>
        <v>914.62764807845383</v>
      </c>
      <c r="BI111" s="62">
        <f ca="1">AVERAGE(OFFSET($BH$3,0,0,'Données projet'!$E$11+1,1))-AVERAGE(OFFSET($H$3,0,0,'Données projet'!$E$11+1,1))</f>
        <v>423.40903481736001</v>
      </c>
      <c r="BJ111" s="62">
        <f t="shared" si="92"/>
        <v>263.03039552465799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4.0207527614305911E-11</v>
      </c>
      <c r="BS111" s="24">
        <f t="shared" si="63"/>
        <v>4.0207527614305911E-11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4.882352941176471</v>
      </c>
      <c r="BY111" s="13">
        <f>IF('Données projet'!$A$114&gt;35,BY110+BX111-CG110,IF(A111&lt;'Données projet'!$A$114,$BV$205^A111,IF(A111='Données projet'!$A$114,'Données projet'!$B$114,BY110+BX111-CG110)))</f>
        <v>303.82352941176458</v>
      </c>
      <c r="BZ111" s="14">
        <f>BY111*VLOOKUP('Données projet'!$B$12,Paramètres!$A$1:$I$89,3,0)*VLOOKUP('Données projet'!$B$12,Paramètres!$A$1:$I$89,5,0)</f>
        <v>142.18941176470582</v>
      </c>
      <c r="CA111" s="14">
        <f t="shared" si="93"/>
        <v>36.798115112608215</v>
      </c>
      <c r="CB111" s="22">
        <f t="shared" si="64"/>
        <v>311.73660931132196</v>
      </c>
      <c r="CC111" s="62">
        <f t="shared" si="65"/>
        <v>605.06994264465527</v>
      </c>
      <c r="CD111" s="62">
        <f ca="1">AVERAGE(OFFSET($CC$3,0,0,'Données projet'!$E$12+1,1))-AVERAGE(OFFSET($H$3,0,0,'Données projet'!$E$12+1,1))</f>
        <v>264.88170274686757</v>
      </c>
      <c r="CE111" s="62">
        <f t="shared" si="94"/>
        <v>160.81140876142001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271.25279999999992</v>
      </c>
      <c r="CV111" s="14">
        <f t="shared" si="95"/>
        <v>65.115073390838859</v>
      </c>
      <c r="CW111" s="22">
        <f t="shared" si="67"/>
        <v>585.84071282237755</v>
      </c>
      <c r="CX111" s="62">
        <f t="shared" si="68"/>
        <v>879.17404615571081</v>
      </c>
      <c r="CY111" s="62">
        <f ca="1">AVERAGE(OFFSET($CX$3,0,0,'Données projet'!$E$13+1,1))-AVERAGE(OFFSET($H$3,0,0,'Données projet'!$E$13+1,1))</f>
        <v>411.60020200960821</v>
      </c>
      <c r="CZ111" s="62">
        <f t="shared" si="96"/>
        <v>261.95434270986397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7.4273400383560481E-12</v>
      </c>
      <c r="DI111" s="24">
        <f t="shared" si="69"/>
        <v>7.4273400383560481E-12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1.4210854715202004E-13</v>
      </c>
      <c r="DP111" s="18">
        <f>DO111*VLOOKUP('Données projet'!$B$14,Paramètres!$A$1:$I$89,3,0)*VLOOKUP('Données projet'!$B$14,Paramètres!$A$1:$I$89,5,0)</f>
        <v>9.3109520094003535E-14</v>
      </c>
      <c r="DQ111" s="14">
        <f t="shared" si="97"/>
        <v>1.4104420303656732E-12</v>
      </c>
      <c r="DR111" s="22">
        <f t="shared" si="70"/>
        <v>2.6186856170506036E-12</v>
      </c>
      <c r="DS111" s="62">
        <f t="shared" si="71"/>
        <v>293.33333333333593</v>
      </c>
      <c r="DT111" s="62">
        <f ca="1">AVERAGE(OFFSET($DS$3,0,0,'Données projet'!$E$14+1,1))-AVERAGE(OFFSET($H$3,0,0,'Données projet'!$E$14+1,1))</f>
        <v>240.134073924311</v>
      </c>
      <c r="DU111" s="62">
        <f t="shared" si="98"/>
        <v>237.10378497981156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0.27924196849084176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3.0415268189372376E-11</v>
      </c>
      <c r="ED111" s="24">
        <f t="shared" si="72"/>
        <v>0.27924196852125704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4.4337866711430253E-14</v>
      </c>
      <c r="P112" s="14">
        <f t="shared" si="87"/>
        <v>7.3222115536967035E-13</v>
      </c>
      <c r="Q112" s="22">
        <f t="shared" si="107"/>
        <v>1.3525069634579169E-12</v>
      </c>
      <c r="R112" s="62">
        <f t="shared" si="55"/>
        <v>293.33333333333468</v>
      </c>
      <c r="S112" s="62">
        <f ca="1">AVERAGE(OFFSET($R$3,0,0,'Données projet'!$E$9+1,1))-AVERAGE(OFFSET($H$3,0,0,'Données projet'!$E$9+1,1))</f>
        <v>288.82868507674738</v>
      </c>
      <c r="T112" s="62">
        <f t="shared" si="88"/>
        <v>283.48738729114024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0.19423602641714982</v>
      </c>
      <c r="AB112" s="23">
        <f>EXP(-LN(2)/2)*AB111+(1-EXP(-LN(2)/2))/(LN(2)/2)*V112*Y112*VLOOKUP('Données projet'!$B$9,Paramètres!$A$1:$I$89,3,0)*0.475*44/12</f>
        <v>4.3696699039414553E-12</v>
      </c>
      <c r="AC112" s="24">
        <f t="shared" si="57"/>
        <v>0.19423602642151949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253.16303999999994</v>
      </c>
      <c r="AK112" s="14">
        <f t="shared" si="89"/>
        <v>61.262761848635037</v>
      </c>
      <c r="AL112" s="22">
        <f t="shared" si="58"/>
        <v>547.62493821970588</v>
      </c>
      <c r="AM112" s="62">
        <f t="shared" si="59"/>
        <v>840.95827155303914</v>
      </c>
      <c r="AN112" s="62">
        <f ca="1">AVERAGE(OFFSET($AM$3,0,0,'Données projet'!$E$10+1,1))-AVERAGE(OFFSET($H$3,0,0,'Données projet'!$E$10+1,1))</f>
        <v>371.95849973474657</v>
      </c>
      <c r="AO112" s="62">
        <f t="shared" si="90"/>
        <v>233.32640143610547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2.4611923805785251E-11</v>
      </c>
      <c r="AX112" s="23">
        <f t="shared" si="60"/>
        <v>2.4611923805785251E-11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292.44695999999999</v>
      </c>
      <c r="BF112" s="14">
        <f t="shared" si="91"/>
        <v>69.590713993742156</v>
      </c>
      <c r="BG112" s="22">
        <f t="shared" si="61"/>
        <v>630.54894887243427</v>
      </c>
      <c r="BH112" s="62">
        <f t="shared" si="62"/>
        <v>923.88228220576752</v>
      </c>
      <c r="BI112" s="62">
        <f ca="1">AVERAGE(OFFSET($BH$3,0,0,'Données projet'!$E$11+1,1))-AVERAGE(OFFSET($H$3,0,0,'Données projet'!$E$11+1,1))</f>
        <v>423.40903481736001</v>
      </c>
      <c r="BJ112" s="62">
        <f t="shared" si="92"/>
        <v>263.03039552465799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2.843101543082108E-11</v>
      </c>
      <c r="BS112" s="24">
        <f t="shared" si="63"/>
        <v>2.843101543082108E-11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4.882352941176471</v>
      </c>
      <c r="BY112" s="13">
        <f>IF('Données projet'!$A$114&gt;35,BY111+BX112-CG111,IF(A112&lt;'Données projet'!$A$114,$BV$205^A112,IF(A112='Données projet'!$A$114,'Données projet'!$B$114,BY111+BX112-CG111)))</f>
        <v>308.70588235294105</v>
      </c>
      <c r="BZ112" s="14">
        <f>BY112*VLOOKUP('Données projet'!$B$12,Paramètres!$A$1:$I$89,3,0)*VLOOKUP('Données projet'!$B$12,Paramètres!$A$1:$I$89,5,0)</f>
        <v>144.47435294117642</v>
      </c>
      <c r="CA112" s="14">
        <f t="shared" si="93"/>
        <v>37.320132647320079</v>
      </c>
      <c r="CB112" s="22">
        <f t="shared" si="64"/>
        <v>316.62539573329803</v>
      </c>
      <c r="CC112" s="62">
        <f t="shared" si="65"/>
        <v>609.95872906663135</v>
      </c>
      <c r="CD112" s="62">
        <f ca="1">AVERAGE(OFFSET($CC$3,0,0,'Données projet'!$E$12+1,1))-AVERAGE(OFFSET($H$3,0,0,'Données projet'!$E$12+1,1))</f>
        <v>264.88170274686757</v>
      </c>
      <c r="CE112" s="62">
        <f t="shared" si="94"/>
        <v>160.81140876142001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275.46479999999997</v>
      </c>
      <c r="CV112" s="14">
        <f t="shared" si="95"/>
        <v>66.007681781116673</v>
      </c>
      <c r="CW112" s="22">
        <f t="shared" si="67"/>
        <v>594.73123910211143</v>
      </c>
      <c r="CX112" s="62">
        <f t="shared" si="68"/>
        <v>888.06457243544469</v>
      </c>
      <c r="CY112" s="62">
        <f ca="1">AVERAGE(OFFSET($CX$3,0,0,'Données projet'!$E$13+1,1))-AVERAGE(OFFSET($H$3,0,0,'Données projet'!$E$13+1,1))</f>
        <v>411.60020200960821</v>
      </c>
      <c r="CZ112" s="62">
        <f t="shared" si="96"/>
        <v>261.95434270986397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5.2519225072999137E-12</v>
      </c>
      <c r="DI112" s="24">
        <f t="shared" si="69"/>
        <v>5.2519225072999137E-12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1.4210854715202004E-13</v>
      </c>
      <c r="DP112" s="18">
        <f>DO112*VLOOKUP('Données projet'!$B$14,Paramètres!$A$1:$I$89,3,0)*VLOOKUP('Données projet'!$B$14,Paramètres!$A$1:$I$89,5,0)</f>
        <v>9.3109520094003535E-14</v>
      </c>
      <c r="DQ112" s="14">
        <f t="shared" si="97"/>
        <v>1.4104420303656732E-12</v>
      </c>
      <c r="DR112" s="22">
        <f t="shared" si="70"/>
        <v>2.6186856170506036E-12</v>
      </c>
      <c r="DS112" s="62">
        <f t="shared" si="71"/>
        <v>293.33333333333593</v>
      </c>
      <c r="DT112" s="62">
        <f ca="1">AVERAGE(OFFSET($DS$3,0,0,'Données projet'!$E$14+1,1))-AVERAGE(OFFSET($H$3,0,0,'Données projet'!$E$14+1,1))</f>
        <v>240.134073924311</v>
      </c>
      <c r="DU112" s="62">
        <f t="shared" si="98"/>
        <v>237.10378497981156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0.27376620380951938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2.1506842388312692E-11</v>
      </c>
      <c r="ED112" s="24">
        <f t="shared" si="72"/>
        <v>0.27376620383102623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4.4337866711430253E-14</v>
      </c>
      <c r="P113" s="14">
        <f t="shared" si="87"/>
        <v>7.3222115536967035E-13</v>
      </c>
      <c r="Q113" s="22">
        <f t="shared" si="107"/>
        <v>1.3525069634579169E-12</v>
      </c>
      <c r="R113" s="62">
        <f t="shared" si="55"/>
        <v>293.33333333333468</v>
      </c>
      <c r="S113" s="62">
        <f ca="1">AVERAGE(OFFSET($R$3,0,0,'Données projet'!$E$9+1,1))-AVERAGE(OFFSET($H$3,0,0,'Données projet'!$E$9+1,1))</f>
        <v>288.82868507674738</v>
      </c>
      <c r="T113" s="62">
        <f t="shared" si="88"/>
        <v>283.48738729114024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0.18892463206034416</v>
      </c>
      <c r="AB113" s="23">
        <f>EXP(-LN(2)/2)*AB112+(1-EXP(-LN(2)/2))/(LN(2)/2)*V113*Y113*VLOOKUP('Données projet'!$B$9,Paramètres!$A$1:$I$89,3,0)*0.475*44/12</f>
        <v>3.0898232206237728E-12</v>
      </c>
      <c r="AC113" s="24">
        <f t="shared" si="57"/>
        <v>0.18892463206343399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256.96319999999992</v>
      </c>
      <c r="AK113" s="14">
        <f t="shared" si="89"/>
        <v>62.074612956838024</v>
      </c>
      <c r="AL113" s="22">
        <f t="shared" si="58"/>
        <v>555.65752423315928</v>
      </c>
      <c r="AM113" s="62">
        <f t="shared" si="59"/>
        <v>848.99085756649265</v>
      </c>
      <c r="AN113" s="62">
        <f ca="1">AVERAGE(OFFSET($AM$3,0,0,'Données projet'!$E$10+1,1))-AVERAGE(OFFSET($H$3,0,0,'Données projet'!$E$10+1,1))</f>
        <v>371.95849973474657</v>
      </c>
      <c r="AO113" s="62">
        <f t="shared" si="90"/>
        <v>233.32640143610547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1.7403258221117371E-11</v>
      </c>
      <c r="AX113" s="23">
        <f t="shared" si="60"/>
        <v>1.7403258221117371E-11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296.83679999999998</v>
      </c>
      <c r="BF113" s="14">
        <f t="shared" si="91"/>
        <v>70.512926714351181</v>
      </c>
      <c r="BG113" s="22">
        <f t="shared" si="61"/>
        <v>639.80077402749487</v>
      </c>
      <c r="BH113" s="62">
        <f t="shared" si="62"/>
        <v>933.13410736082824</v>
      </c>
      <c r="BI113" s="62">
        <f ca="1">AVERAGE(OFFSET($BH$3,0,0,'Données projet'!$E$11+1,1))-AVERAGE(OFFSET($H$3,0,0,'Données projet'!$E$11+1,1))</f>
        <v>423.40903481736001</v>
      </c>
      <c r="BJ113" s="62">
        <f t="shared" si="92"/>
        <v>263.03039552465799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2.0103763807152959E-11</v>
      </c>
      <c r="BS113" s="24">
        <f t="shared" si="63"/>
        <v>2.0103763807152959E-11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4.882352941176471</v>
      </c>
      <c r="BY113" s="13">
        <f>IF('Données projet'!$A$114&gt;35,BY112+BX113-CG112,IF(A113&lt;'Données projet'!$A$114,$BV$205^A113,IF(A113='Données projet'!$A$114,'Données projet'!$B$114,BY112+BX113-CG112)))</f>
        <v>313.58823529411751</v>
      </c>
      <c r="BZ113" s="14">
        <f>BY113*VLOOKUP('Données projet'!$B$12,Paramètres!$A$1:$I$89,3,0)*VLOOKUP('Données projet'!$B$12,Paramètres!$A$1:$I$89,5,0)</f>
        <v>146.75929411764699</v>
      </c>
      <c r="CA113" s="14">
        <f t="shared" si="93"/>
        <v>37.841190026056765</v>
      </c>
      <c r="CB113" s="22">
        <f t="shared" si="64"/>
        <v>321.51250988361738</v>
      </c>
      <c r="CC113" s="62">
        <f t="shared" si="65"/>
        <v>614.8458432169507</v>
      </c>
      <c r="CD113" s="62">
        <f ca="1">AVERAGE(OFFSET($CC$3,0,0,'Données projet'!$E$12+1,1))-AVERAGE(OFFSET($H$3,0,0,'Données projet'!$E$12+1,1))</f>
        <v>264.88170274686757</v>
      </c>
      <c r="CE113" s="62">
        <f t="shared" si="94"/>
        <v>160.81140876142001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279.6767999999999</v>
      </c>
      <c r="CV113" s="14">
        <f t="shared" si="95"/>
        <v>66.898702839783041</v>
      </c>
      <c r="CW113" s="22">
        <f t="shared" si="67"/>
        <v>603.61900077928851</v>
      </c>
      <c r="CX113" s="62">
        <f t="shared" si="68"/>
        <v>896.95233411262188</v>
      </c>
      <c r="CY113" s="62">
        <f ca="1">AVERAGE(OFFSET($CX$3,0,0,'Données projet'!$E$13+1,1))-AVERAGE(OFFSET($H$3,0,0,'Données projet'!$E$13+1,1))</f>
        <v>411.60020200960821</v>
      </c>
      <c r="CZ113" s="62">
        <f t="shared" si="96"/>
        <v>261.95434270986397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3.713670019178024E-12</v>
      </c>
      <c r="DI113" s="24">
        <f t="shared" si="69"/>
        <v>3.713670019178024E-12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1.4210854715202004E-13</v>
      </c>
      <c r="DP113" s="18">
        <f>DO113*VLOOKUP('Données projet'!$B$14,Paramètres!$A$1:$I$89,3,0)*VLOOKUP('Données projet'!$B$14,Paramètres!$A$1:$I$89,5,0)</f>
        <v>9.3109520094003535E-14</v>
      </c>
      <c r="DQ113" s="14">
        <f t="shared" si="97"/>
        <v>1.4104420303656732E-12</v>
      </c>
      <c r="DR113" s="22">
        <f t="shared" si="70"/>
        <v>2.6186856170506036E-12</v>
      </c>
      <c r="DS113" s="62">
        <f t="shared" si="71"/>
        <v>293.33333333333593</v>
      </c>
      <c r="DT113" s="62">
        <f ca="1">AVERAGE(OFFSET($DS$3,0,0,'Données projet'!$E$14+1,1))-AVERAGE(OFFSET($H$3,0,0,'Données projet'!$E$14+1,1))</f>
        <v>240.134073924311</v>
      </c>
      <c r="DU113" s="62">
        <f t="shared" si="98"/>
        <v>237.10378497981156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0.26839781553371106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1.5207634094686188E-11</v>
      </c>
      <c r="ED113" s="24">
        <f t="shared" si="72"/>
        <v>0.26839781554891867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4.4337866711430253E-14</v>
      </c>
      <c r="P114" s="14">
        <f t="shared" si="87"/>
        <v>7.3222115536967035E-13</v>
      </c>
      <c r="Q114" s="22">
        <f t="shared" si="107"/>
        <v>1.3525069634579169E-12</v>
      </c>
      <c r="R114" s="62">
        <f t="shared" si="55"/>
        <v>293.33333333333468</v>
      </c>
      <c r="S114" s="62">
        <f ca="1">AVERAGE(OFFSET($R$3,0,0,'Données projet'!$E$9+1,1))-AVERAGE(OFFSET($H$3,0,0,'Données projet'!$E$9+1,1))</f>
        <v>288.82868507674738</v>
      </c>
      <c r="T114" s="62">
        <f t="shared" si="88"/>
        <v>283.48738729114024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0.18375847806153944</v>
      </c>
      <c r="AB114" s="23">
        <f>EXP(-LN(2)/2)*AB113+(1-EXP(-LN(2)/2))/(LN(2)/2)*V114*Y114*VLOOKUP('Données projet'!$B$9,Paramètres!$A$1:$I$89,3,0)*0.475*44/12</f>
        <v>2.1848349519707276E-12</v>
      </c>
      <c r="AC114" s="24">
        <f t="shared" si="57"/>
        <v>0.18375847806372428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243.21023999999997</v>
      </c>
      <c r="AK114" s="14">
        <f t="shared" si="89"/>
        <v>59.129694216846737</v>
      </c>
      <c r="AL114" s="22">
        <f t="shared" si="58"/>
        <v>526.57538542767463</v>
      </c>
      <c r="AM114" s="62">
        <f t="shared" si="59"/>
        <v>819.908718761008</v>
      </c>
      <c r="AN114" s="62">
        <f ca="1">AVERAGE(OFFSET($AM$3,0,0,'Données projet'!$E$10+1,1))-AVERAGE(OFFSET($H$3,0,0,'Données projet'!$E$10+1,1))</f>
        <v>371.95849973474657</v>
      </c>
      <c r="AO114" s="62">
        <f t="shared" si="90"/>
        <v>233.32640143610547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1.2305961902892626E-11</v>
      </c>
      <c r="AX114" s="23">
        <f t="shared" si="60"/>
        <v>1.2305961902892626E-11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280.94975999999997</v>
      </c>
      <c r="BF114" s="14">
        <f t="shared" si="91"/>
        <v>67.167680898044466</v>
      </c>
      <c r="BG114" s="22">
        <f t="shared" si="61"/>
        <v>606.30454289742727</v>
      </c>
      <c r="BH114" s="62">
        <f t="shared" si="62"/>
        <v>899.63787623076064</v>
      </c>
      <c r="BI114" s="62">
        <f ca="1">AVERAGE(OFFSET($BH$3,0,0,'Données projet'!$E$11+1,1))-AVERAGE(OFFSET($H$3,0,0,'Données projet'!$E$11+1,1))</f>
        <v>423.40903481736001</v>
      </c>
      <c r="BJ114" s="62">
        <f t="shared" si="92"/>
        <v>263.03039552465799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1.4215507715410541E-11</v>
      </c>
      <c r="BS114" s="24">
        <f t="shared" si="63"/>
        <v>1.4215507715410541E-11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4.882352941176471</v>
      </c>
      <c r="BY114" s="13">
        <f>IF('Données projet'!$A$114&gt;35,BY113+BX114-CG113,IF(A114&lt;'Données projet'!$A$114,$BV$205^A114,IF(A114='Données projet'!$A$114,'Données projet'!$B$114,BY113+BX114-CG113)))</f>
        <v>318.47058823529397</v>
      </c>
      <c r="BZ114" s="14">
        <f>BY114*VLOOKUP('Données projet'!$B$12,Paramètres!$A$1:$I$89,3,0)*VLOOKUP('Données projet'!$B$12,Paramètres!$A$1:$I$89,5,0)</f>
        <v>149.04423529411758</v>
      </c>
      <c r="CA114" s="14">
        <f t="shared" si="93"/>
        <v>38.361303924089157</v>
      </c>
      <c r="CB114" s="22">
        <f t="shared" si="64"/>
        <v>326.3979808050434</v>
      </c>
      <c r="CC114" s="62">
        <f t="shared" si="65"/>
        <v>619.73131413837677</v>
      </c>
      <c r="CD114" s="62">
        <f ca="1">AVERAGE(OFFSET($CC$3,0,0,'Données projet'!$E$12+1,1))-AVERAGE(OFFSET($H$3,0,0,'Données projet'!$E$12+1,1))</f>
        <v>264.88170274686757</v>
      </c>
      <c r="CE114" s="62">
        <f t="shared" si="94"/>
        <v>160.81140876142001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262.49183999999991</v>
      </c>
      <c r="CV114" s="14">
        <f t="shared" si="95"/>
        <v>63.253242323102796</v>
      </c>
      <c r="CW114" s="22">
        <f t="shared" si="67"/>
        <v>567.33935171273708</v>
      </c>
      <c r="CX114" s="62">
        <f t="shared" si="68"/>
        <v>860.67268504607046</v>
      </c>
      <c r="CY114" s="62">
        <f ca="1">AVERAGE(OFFSET($CX$3,0,0,'Données projet'!$E$13+1,1))-AVERAGE(OFFSET($H$3,0,0,'Données projet'!$E$13+1,1))</f>
        <v>411.60020200960821</v>
      </c>
      <c r="CZ114" s="62">
        <f t="shared" si="96"/>
        <v>261.95434270986397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2.6259612536499568E-12</v>
      </c>
      <c r="DI114" s="24">
        <f t="shared" si="69"/>
        <v>2.6259612536499568E-12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1.4210854715202004E-13</v>
      </c>
      <c r="DP114" s="18">
        <f>DO114*VLOOKUP('Données projet'!$B$14,Paramètres!$A$1:$I$89,3,0)*VLOOKUP('Données projet'!$B$14,Paramètres!$A$1:$I$89,5,0)</f>
        <v>9.3109520094003535E-14</v>
      </c>
      <c r="DQ114" s="14">
        <f t="shared" si="97"/>
        <v>1.4104420303656732E-12</v>
      </c>
      <c r="DR114" s="22">
        <f t="shared" si="70"/>
        <v>2.6186856170506036E-12</v>
      </c>
      <c r="DS114" s="62">
        <f t="shared" si="71"/>
        <v>293.33333333333593</v>
      </c>
      <c r="DT114" s="62">
        <f ca="1">AVERAGE(OFFSET($DS$3,0,0,'Données projet'!$E$14+1,1))-AVERAGE(OFFSET($H$3,0,0,'Données projet'!$E$14+1,1))</f>
        <v>240.134073924311</v>
      </c>
      <c r="DU114" s="62">
        <f t="shared" si="98"/>
        <v>237.10378497981156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0.26313469807759776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1.0753421194156346E-11</v>
      </c>
      <c r="ED114" s="24">
        <f t="shared" si="72"/>
        <v>0.26313469808835116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4.4337866711430253E-14</v>
      </c>
      <c r="P115" s="14">
        <f t="shared" si="87"/>
        <v>7.3222115536967035E-13</v>
      </c>
      <c r="Q115" s="22">
        <f t="shared" si="107"/>
        <v>1.3525069634579169E-12</v>
      </c>
      <c r="R115" s="62">
        <f t="shared" si="55"/>
        <v>293.33333333333468</v>
      </c>
      <c r="S115" s="62">
        <f ca="1">AVERAGE(OFFSET($R$3,0,0,'Données projet'!$E$9+1,1))-AVERAGE(OFFSET($H$3,0,0,'Données projet'!$E$9+1,1))</f>
        <v>288.82868507674738</v>
      </c>
      <c r="T115" s="62">
        <f t="shared" si="88"/>
        <v>283.48738729114024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0.17873359281550827</v>
      </c>
      <c r="AB115" s="23">
        <f>EXP(-LN(2)/2)*AB114+(1-EXP(-LN(2)/2))/(LN(2)/2)*V115*Y115*VLOOKUP('Données projet'!$B$9,Paramètres!$A$1:$I$89,3,0)*0.475*44/12</f>
        <v>1.5449116103118864E-12</v>
      </c>
      <c r="AC115" s="24">
        <f t="shared" si="57"/>
        <v>0.17873359281705317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246.64847999999998</v>
      </c>
      <c r="AK115" s="14">
        <f t="shared" si="89"/>
        <v>59.867700517050096</v>
      </c>
      <c r="AL115" s="22">
        <f t="shared" si="58"/>
        <v>533.84901440052897</v>
      </c>
      <c r="AM115" s="62">
        <f t="shared" si="59"/>
        <v>827.18234773386234</v>
      </c>
      <c r="AN115" s="62">
        <f ca="1">AVERAGE(OFFSET($AM$3,0,0,'Données projet'!$E$10+1,1))-AVERAGE(OFFSET($H$3,0,0,'Données projet'!$E$10+1,1))</f>
        <v>371.95849973474657</v>
      </c>
      <c r="AO115" s="62">
        <f t="shared" si="90"/>
        <v>233.32640143610547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8.7016291105586857E-12</v>
      </c>
      <c r="AX115" s="23">
        <f t="shared" si="60"/>
        <v>8.7016291105586857E-12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284.92151999999999</v>
      </c>
      <c r="BF115" s="14">
        <f t="shared" si="91"/>
        <v>68.00601047727443</v>
      </c>
      <c r="BG115" s="22">
        <f t="shared" si="61"/>
        <v>614.68211558125302</v>
      </c>
      <c r="BH115" s="62">
        <f t="shared" si="62"/>
        <v>908.01544891458639</v>
      </c>
      <c r="BI115" s="62">
        <f ca="1">AVERAGE(OFFSET($BH$3,0,0,'Données projet'!$E$11+1,1))-AVERAGE(OFFSET($H$3,0,0,'Données projet'!$E$11+1,1))</f>
        <v>423.40903481736001</v>
      </c>
      <c r="BJ115" s="62">
        <f t="shared" si="92"/>
        <v>263.03039552465799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1.0051881903576481E-11</v>
      </c>
      <c r="BS115" s="24">
        <f t="shared" si="63"/>
        <v>1.0051881903576481E-11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4.882352941176471</v>
      </c>
      <c r="BY115" s="13">
        <f>IF('Données projet'!$A$114&gt;35,BY114+BX115-CG114,IF(A115&lt;'Données projet'!$A$114,$BV$205^A115,IF(A115='Données projet'!$A$114,'Données projet'!$B$114,BY114+BX115-CG114)))</f>
        <v>323.35294117647044</v>
      </c>
      <c r="BZ115" s="14">
        <f>BY115*VLOOKUP('Données projet'!$B$12,Paramètres!$A$1:$I$89,3,0)*VLOOKUP('Données projet'!$B$12,Paramètres!$A$1:$I$89,5,0)</f>
        <v>151.32917647058815</v>
      </c>
      <c r="CA115" s="14">
        <f t="shared" si="93"/>
        <v>38.88049047606598</v>
      </c>
      <c r="CB115" s="22">
        <f t="shared" si="64"/>
        <v>331.28183659875589</v>
      </c>
      <c r="CC115" s="62">
        <f t="shared" si="65"/>
        <v>624.6151699320892</v>
      </c>
      <c r="CD115" s="62">
        <f ca="1">AVERAGE(OFFSET($CC$3,0,0,'Données projet'!$E$12+1,1))-AVERAGE(OFFSET($H$3,0,0,'Données projet'!$E$12+1,1))</f>
        <v>264.88170274686757</v>
      </c>
      <c r="CE115" s="62">
        <f t="shared" si="94"/>
        <v>160.81140876142001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266.36687999999992</v>
      </c>
      <c r="CV115" s="14">
        <f t="shared" si="95"/>
        <v>64.077622653233107</v>
      </c>
      <c r="CW115" s="22">
        <f t="shared" si="67"/>
        <v>575.52417545438084</v>
      </c>
      <c r="CX115" s="62">
        <f t="shared" si="68"/>
        <v>868.8575087877141</v>
      </c>
      <c r="CY115" s="62">
        <f ca="1">AVERAGE(OFFSET($CX$3,0,0,'Données projet'!$E$13+1,1))-AVERAGE(OFFSET($H$3,0,0,'Données projet'!$E$13+1,1))</f>
        <v>411.60020200960821</v>
      </c>
      <c r="CZ115" s="62">
        <f t="shared" si="96"/>
        <v>261.95434270986397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1.856835009589012E-12</v>
      </c>
      <c r="DI115" s="24">
        <f t="shared" si="69"/>
        <v>1.856835009589012E-12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1.4210854715202004E-13</v>
      </c>
      <c r="DP115" s="18">
        <f>DO115*VLOOKUP('Données projet'!$B$14,Paramètres!$A$1:$I$89,3,0)*VLOOKUP('Données projet'!$B$14,Paramètres!$A$1:$I$89,5,0)</f>
        <v>9.3109520094003535E-14</v>
      </c>
      <c r="DQ115" s="14">
        <f t="shared" si="97"/>
        <v>1.4104420303656732E-12</v>
      </c>
      <c r="DR115" s="22">
        <f t="shared" si="70"/>
        <v>2.6186856170506036E-12</v>
      </c>
      <c r="DS115" s="62">
        <f t="shared" si="71"/>
        <v>293.33333333333593</v>
      </c>
      <c r="DT115" s="62">
        <f ca="1">AVERAGE(OFFSET($DS$3,0,0,'Données projet'!$E$14+1,1))-AVERAGE(OFFSET($H$3,0,0,'Données projet'!$E$14+1,1))</f>
        <v>240.134073924311</v>
      </c>
      <c r="DU115" s="62">
        <f t="shared" si="98"/>
        <v>237.10378497981156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0.25797478714461419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7.603817047343094E-12</v>
      </c>
      <c r="ED115" s="24">
        <f t="shared" si="72"/>
        <v>0.257974787152218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4.4337866711430253E-14</v>
      </c>
      <c r="P116" s="14">
        <f t="shared" si="87"/>
        <v>7.3222115536967035E-13</v>
      </c>
      <c r="Q116" s="22">
        <f t="shared" si="107"/>
        <v>1.3525069634579169E-12</v>
      </c>
      <c r="R116" s="62">
        <f t="shared" si="55"/>
        <v>293.33333333333468</v>
      </c>
      <c r="S116" s="62">
        <f ca="1">AVERAGE(OFFSET($R$3,0,0,'Données projet'!$E$9+1,1))-AVERAGE(OFFSET($H$3,0,0,'Données projet'!$E$9+1,1))</f>
        <v>288.82868507674738</v>
      </c>
      <c r="T116" s="62">
        <f t="shared" si="88"/>
        <v>283.48738729114024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0.17384611332077704</v>
      </c>
      <c r="AB116" s="23">
        <f>EXP(-LN(2)/2)*AB115+(1-EXP(-LN(2)/2))/(LN(2)/2)*V116*Y116*VLOOKUP('Données projet'!$B$9,Paramètres!$A$1:$I$89,3,0)*0.475*44/12</f>
        <v>1.0924174759853638E-12</v>
      </c>
      <c r="AC116" s="24">
        <f t="shared" si="57"/>
        <v>0.17384611332186944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250.08671999999999</v>
      </c>
      <c r="AK116" s="14">
        <f t="shared" si="89"/>
        <v>60.604510260306157</v>
      </c>
      <c r="AL116" s="22">
        <f t="shared" si="58"/>
        <v>541.12055937003322</v>
      </c>
      <c r="AM116" s="62">
        <f t="shared" si="59"/>
        <v>834.45389270336659</v>
      </c>
      <c r="AN116" s="62">
        <f ca="1">AVERAGE(OFFSET($AM$3,0,0,'Données projet'!$E$10+1,1))-AVERAGE(OFFSET($H$3,0,0,'Données projet'!$E$10+1,1))</f>
        <v>371.95849973474657</v>
      </c>
      <c r="AO116" s="62">
        <f t="shared" si="90"/>
        <v>233.32640143610547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6.1529809514463128E-12</v>
      </c>
      <c r="AX116" s="23">
        <f t="shared" si="60"/>
        <v>6.1529809514463128E-12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288.89328</v>
      </c>
      <c r="BF116" s="14">
        <f t="shared" si="91"/>
        <v>68.842980841709178</v>
      </c>
      <c r="BG116" s="22">
        <f t="shared" si="61"/>
        <v>623.05732096597683</v>
      </c>
      <c r="BH116" s="62">
        <f t="shared" si="62"/>
        <v>916.3906542993102</v>
      </c>
      <c r="BI116" s="62">
        <f ca="1">AVERAGE(OFFSET($BH$3,0,0,'Données projet'!$E$11+1,1))-AVERAGE(OFFSET($H$3,0,0,'Données projet'!$E$11+1,1))</f>
        <v>423.40903481736001</v>
      </c>
      <c r="BJ116" s="62">
        <f t="shared" si="92"/>
        <v>263.03039552465799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7.1077538577052723E-12</v>
      </c>
      <c r="BS116" s="24">
        <f t="shared" si="63"/>
        <v>7.1077538577052723E-12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4.882352941176471</v>
      </c>
      <c r="BY116" s="13">
        <f>IF('Données projet'!$A$114&gt;35,BY115+BX116-CG115,IF(A116&lt;'Données projet'!$A$114,$BV$205^A116,IF(A116='Données projet'!$A$114,'Données projet'!$B$114,BY115+BX116-CG115)))</f>
        <v>328.2352941176469</v>
      </c>
      <c r="BZ116" s="14">
        <f>BY116*VLOOKUP('Données projet'!$B$12,Paramètres!$A$1:$I$89,3,0)*VLOOKUP('Données projet'!$B$12,Paramètres!$A$1:$I$89,5,0)</f>
        <v>153.61411764705875</v>
      </c>
      <c r="CA116" s="14">
        <f t="shared" si="93"/>
        <v>39.398765301434281</v>
      </c>
      <c r="CB116" s="22">
        <f t="shared" si="64"/>
        <v>336.16410446862534</v>
      </c>
      <c r="CC116" s="62">
        <f t="shared" si="65"/>
        <v>629.49743780195865</v>
      </c>
      <c r="CD116" s="62">
        <f ca="1">AVERAGE(OFFSET($CC$3,0,0,'Données projet'!$E$12+1,1))-AVERAGE(OFFSET($H$3,0,0,'Données projet'!$E$12+1,1))</f>
        <v>264.88170274686757</v>
      </c>
      <c r="CE116" s="62">
        <f t="shared" si="94"/>
        <v>160.81140876142001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270.24191999999999</v>
      </c>
      <c r="CV116" s="14">
        <f t="shared" si="95"/>
        <v>64.900608141065092</v>
      </c>
      <c r="CW116" s="22">
        <f t="shared" si="67"/>
        <v>583.70656984568836</v>
      </c>
      <c r="CX116" s="62">
        <f t="shared" si="68"/>
        <v>877.03990317902162</v>
      </c>
      <c r="CY116" s="62">
        <f ca="1">AVERAGE(OFFSET($CX$3,0,0,'Données projet'!$E$13+1,1))-AVERAGE(OFFSET($H$3,0,0,'Données projet'!$E$13+1,1))</f>
        <v>411.60020200960821</v>
      </c>
      <c r="CZ116" s="62">
        <f t="shared" si="96"/>
        <v>261.95434270986397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1.3129806268249784E-12</v>
      </c>
      <c r="DI116" s="24">
        <f t="shared" si="69"/>
        <v>1.3129806268249784E-12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1.4210854715202004E-13</v>
      </c>
      <c r="DP116" s="18">
        <f>DO116*VLOOKUP('Données projet'!$B$14,Paramètres!$A$1:$I$89,3,0)*VLOOKUP('Données projet'!$B$14,Paramètres!$A$1:$I$89,5,0)</f>
        <v>9.3109520094003535E-14</v>
      </c>
      <c r="DQ116" s="14">
        <f t="shared" si="97"/>
        <v>1.4104420303656732E-12</v>
      </c>
      <c r="DR116" s="22">
        <f t="shared" si="70"/>
        <v>2.6186856170506036E-12</v>
      </c>
      <c r="DS116" s="62">
        <f t="shared" si="71"/>
        <v>293.33333333333593</v>
      </c>
      <c r="DT116" s="62">
        <f ca="1">AVERAGE(OFFSET($DS$3,0,0,'Données projet'!$E$14+1,1))-AVERAGE(OFFSET($H$3,0,0,'Données projet'!$E$14+1,1))</f>
        <v>240.134073924311</v>
      </c>
      <c r="DU116" s="62">
        <f t="shared" si="98"/>
        <v>237.10378497981156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0.25291605891779151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5.3767105970781731E-12</v>
      </c>
      <c r="ED116" s="24">
        <f t="shared" si="72"/>
        <v>0.25291605892316821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4.4337866711430253E-14</v>
      </c>
      <c r="P117" s="14">
        <f t="shared" si="87"/>
        <v>7.3222115536967035E-13</v>
      </c>
      <c r="Q117" s="22">
        <f t="shared" si="107"/>
        <v>1.3525069634579169E-12</v>
      </c>
      <c r="R117" s="62">
        <f t="shared" si="55"/>
        <v>293.33333333333468</v>
      </c>
      <c r="S117" s="62">
        <f ca="1">AVERAGE(OFFSET($R$3,0,0,'Données projet'!$E$9+1,1))-AVERAGE(OFFSET($H$3,0,0,'Données projet'!$E$9+1,1))</f>
        <v>288.82868507674738</v>
      </c>
      <c r="T117" s="62">
        <f t="shared" si="88"/>
        <v>283.48738729114024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0.16909228220985062</v>
      </c>
      <c r="AB117" s="23">
        <f>EXP(-LN(2)/2)*AB116+(1-EXP(-LN(2)/2))/(LN(2)/2)*V117*Y117*VLOOKUP('Données projet'!$B$9,Paramètres!$A$1:$I$89,3,0)*0.475*44/12</f>
        <v>7.724558051559432E-13</v>
      </c>
      <c r="AC117" s="24">
        <f t="shared" si="57"/>
        <v>0.16909228221062308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253.52495999999999</v>
      </c>
      <c r="AK117" s="14">
        <f t="shared" si="89"/>
        <v>61.340141798422209</v>
      </c>
      <c r="AL117" s="22">
        <f t="shared" si="58"/>
        <v>548.39005229891859</v>
      </c>
      <c r="AM117" s="62">
        <f t="shared" si="59"/>
        <v>841.72338563225185</v>
      </c>
      <c r="AN117" s="62">
        <f ca="1">AVERAGE(OFFSET($AM$3,0,0,'Données projet'!$E$10+1,1))-AVERAGE(OFFSET($H$3,0,0,'Données projet'!$E$10+1,1))</f>
        <v>371.95849973474657</v>
      </c>
      <c r="AO117" s="62">
        <f t="shared" si="90"/>
        <v>233.32640143610547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4.3508145552793429E-12</v>
      </c>
      <c r="AX117" s="23">
        <f t="shared" si="60"/>
        <v>4.3508145552793429E-12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292.86504000000002</v>
      </c>
      <c r="BF117" s="14">
        <f t="shared" si="91"/>
        <v>69.678612837868542</v>
      </c>
      <c r="BG117" s="22">
        <f t="shared" si="61"/>
        <v>631.43019535928761</v>
      </c>
      <c r="BH117" s="62">
        <f t="shared" si="62"/>
        <v>924.76352869262087</v>
      </c>
      <c r="BI117" s="62">
        <f ca="1">AVERAGE(OFFSET($BH$3,0,0,'Données projet'!$E$11+1,1))-AVERAGE(OFFSET($H$3,0,0,'Données projet'!$E$11+1,1))</f>
        <v>423.40903481736001</v>
      </c>
      <c r="BJ117" s="62">
        <f t="shared" si="92"/>
        <v>263.03039552465799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5.0259409517882413E-12</v>
      </c>
      <c r="BS117" s="24">
        <f t="shared" si="63"/>
        <v>5.0259409517882413E-12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4.882352941176471</v>
      </c>
      <c r="BY117" s="13">
        <f>IF('Données projet'!$A$114&gt;35,BY116+BX117-CG116,IF(A117&lt;'Données projet'!$A$114,$BV$205^A117,IF(A117='Données projet'!$A$114,'Données projet'!$B$114,BY116+BX117-CG116)))</f>
        <v>333.11764705882337</v>
      </c>
      <c r="BZ117" s="14">
        <f>BY117*VLOOKUP('Données projet'!$B$12,Paramètres!$A$1:$I$89,3,0)*VLOOKUP('Données projet'!$B$12,Paramètres!$A$1:$I$89,5,0)</f>
        <v>155.89905882352934</v>
      </c>
      <c r="CA117" s="14">
        <f t="shared" si="93"/>
        <v>39.916143528304275</v>
      </c>
      <c r="CB117" s="22">
        <f t="shared" si="64"/>
        <v>341.04481076277688</v>
      </c>
      <c r="CC117" s="62">
        <f t="shared" si="65"/>
        <v>634.37814409611019</v>
      </c>
      <c r="CD117" s="62">
        <f ca="1">AVERAGE(OFFSET($CC$3,0,0,'Données projet'!$E$12+1,1))-AVERAGE(OFFSET($H$3,0,0,'Données projet'!$E$12+1,1))</f>
        <v>264.88170274686757</v>
      </c>
      <c r="CE117" s="62">
        <f t="shared" si="94"/>
        <v>160.81140876142001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274.11696000000001</v>
      </c>
      <c r="CV117" s="14">
        <f t="shared" si="95"/>
        <v>65.722221098469348</v>
      </c>
      <c r="CW117" s="22">
        <f t="shared" si="67"/>
        <v>591.88657374650074</v>
      </c>
      <c r="CX117" s="62">
        <f t="shared" si="68"/>
        <v>885.219907079834</v>
      </c>
      <c r="CY117" s="62">
        <f ca="1">AVERAGE(OFFSET($CX$3,0,0,'Données projet'!$E$13+1,1))-AVERAGE(OFFSET($H$3,0,0,'Données projet'!$E$13+1,1))</f>
        <v>411.60020200960821</v>
      </c>
      <c r="CZ117" s="62">
        <f t="shared" si="96"/>
        <v>261.95434270986397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9.2841750479450601E-13</v>
      </c>
      <c r="DI117" s="24">
        <f t="shared" si="69"/>
        <v>9.2841750479450601E-13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1.4210854715202004E-13</v>
      </c>
      <c r="DP117" s="18">
        <f>DO117*VLOOKUP('Données projet'!$B$14,Paramètres!$A$1:$I$89,3,0)*VLOOKUP('Données projet'!$B$14,Paramètres!$A$1:$I$89,5,0)</f>
        <v>9.3109520094003535E-14</v>
      </c>
      <c r="DQ117" s="14">
        <f t="shared" si="97"/>
        <v>1.4104420303656732E-12</v>
      </c>
      <c r="DR117" s="22">
        <f t="shared" si="70"/>
        <v>2.6186856170506036E-12</v>
      </c>
      <c r="DS117" s="62">
        <f t="shared" si="71"/>
        <v>293.33333333333593</v>
      </c>
      <c r="DT117" s="62">
        <f ca="1">AVERAGE(OFFSET($DS$3,0,0,'Données projet'!$E$14+1,1))-AVERAGE(OFFSET($H$3,0,0,'Données projet'!$E$14+1,1))</f>
        <v>240.134073924311</v>
      </c>
      <c r="DU117" s="62">
        <f t="shared" si="98"/>
        <v>237.10378497981156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0.2479565292659773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3.801908523671547E-12</v>
      </c>
      <c r="ED117" s="24">
        <f t="shared" si="72"/>
        <v>0.24795652926977921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4.4337866711430253E-14</v>
      </c>
      <c r="P118" s="14">
        <f t="shared" si="87"/>
        <v>7.3222115536967035E-13</v>
      </c>
      <c r="Q118" s="22">
        <f t="shared" si="107"/>
        <v>1.3525069634579169E-12</v>
      </c>
      <c r="R118" s="62">
        <f t="shared" si="55"/>
        <v>293.33333333333468</v>
      </c>
      <c r="S118" s="62">
        <f ca="1">AVERAGE(OFFSET($R$3,0,0,'Données projet'!$E$9+1,1))-AVERAGE(OFFSET($H$3,0,0,'Données projet'!$E$9+1,1))</f>
        <v>288.82868507674738</v>
      </c>
      <c r="T118" s="62">
        <f t="shared" si="88"/>
        <v>283.48738729114024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0.1644684448606456</v>
      </c>
      <c r="AB118" s="23">
        <f>EXP(-LN(2)/2)*AB117+(1-EXP(-LN(2)/2))/(LN(2)/2)*V118*Y118*VLOOKUP('Données projet'!$B$9,Paramètres!$A$1:$I$89,3,0)*0.475*44/12</f>
        <v>5.4620873799268191E-13</v>
      </c>
      <c r="AC118" s="24">
        <f t="shared" si="57"/>
        <v>0.1644684448611918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256.96320000000003</v>
      </c>
      <c r="AK118" s="14">
        <f t="shared" si="89"/>
        <v>62.074612956838024</v>
      </c>
      <c r="AL118" s="22">
        <f t="shared" si="58"/>
        <v>555.65752423315951</v>
      </c>
      <c r="AM118" s="62">
        <f t="shared" si="59"/>
        <v>848.99085756649288</v>
      </c>
      <c r="AN118" s="62">
        <f ca="1">AVERAGE(OFFSET($AM$3,0,0,'Données projet'!$E$10+1,1))-AVERAGE(OFFSET($H$3,0,0,'Données projet'!$E$10+1,1))</f>
        <v>371.95849973474657</v>
      </c>
      <c r="AO118" s="62">
        <f t="shared" si="90"/>
        <v>233.32640143610547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3.0764904757231564E-12</v>
      </c>
      <c r="AX118" s="23">
        <f t="shared" si="60"/>
        <v>3.0764904757231564E-12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296.83680000000004</v>
      </c>
      <c r="BF118" s="14">
        <f t="shared" si="91"/>
        <v>70.512926714351181</v>
      </c>
      <c r="BG118" s="22">
        <f t="shared" si="61"/>
        <v>639.80077402749509</v>
      </c>
      <c r="BH118" s="62">
        <f t="shared" si="62"/>
        <v>933.13410736082847</v>
      </c>
      <c r="BI118" s="62">
        <f ca="1">AVERAGE(OFFSET($BH$3,0,0,'Données projet'!$E$11+1,1))-AVERAGE(OFFSET($H$3,0,0,'Données projet'!$E$11+1,1))</f>
        <v>423.40903481736001</v>
      </c>
      <c r="BJ118" s="62">
        <f t="shared" si="92"/>
        <v>263.03039552465799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3.5538769288526366E-12</v>
      </c>
      <c r="BS118" s="24">
        <f t="shared" si="63"/>
        <v>3.5538769288526366E-12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338</v>
      </c>
      <c r="BW118" s="13">
        <f>VLOOKUP(A118,'Données projet'!$A$113:$I$133,9,0)</f>
        <v>4.882352941176471</v>
      </c>
      <c r="BX118" s="13">
        <f t="array" ref="BX118">INDEX(BW:BW,MIN(IF(ISNUMBER(BW118:BW314),ROW(BW118:BW314),"")))</f>
        <v>4.882352941176471</v>
      </c>
      <c r="BY118" s="13">
        <f>IF('Données projet'!$A$114&gt;35,BY117+BX118-CG117,IF(A118&lt;'Données projet'!$A$114,$BV$205^A118,IF(A118='Données projet'!$A$114,'Données projet'!$B$114,BY117+BX118-CG117)))</f>
        <v>337.99999999999983</v>
      </c>
      <c r="BZ118" s="14">
        <f>BY118*VLOOKUP('Données projet'!$B$12,Paramètres!$A$1:$I$89,3,0)*VLOOKUP('Données projet'!$B$12,Paramètres!$A$1:$I$89,5,0)</f>
        <v>158.18399999999991</v>
      </c>
      <c r="CA118" s="14">
        <f t="shared" si="93"/>
        <v>40.432639815875881</v>
      </c>
      <c r="CB118" s="22">
        <f t="shared" si="64"/>
        <v>345.92398101265036</v>
      </c>
      <c r="CC118" s="62">
        <f t="shared" si="65"/>
        <v>639.25731434598367</v>
      </c>
      <c r="CD118" s="62">
        <f ca="1">AVERAGE(OFFSET($CC$3,0,0,'Données projet'!$E$12+1,1))-AVERAGE(OFFSET($H$3,0,0,'Données projet'!$E$12+1,1))</f>
        <v>264.88170274686757</v>
      </c>
      <c r="CE118" s="62">
        <f t="shared" si="94"/>
        <v>160.81140876142001</v>
      </c>
      <c r="CF118" s="16">
        <f>IF(ISNA(VLOOKUP(A118,'Données projet'!$A$113:$I$133,3,0)),0,VLOOKUP(A118,'Données projet'!$A$113:$I$133,3,0))</f>
        <v>3</v>
      </c>
      <c r="CG118" s="16">
        <f>IF(ISNA(VLOOKUP(A118,'Données projet'!$A$113:$I$133,4,0)),0,VLOOKUP(A118,'Données projet'!$A$113:$I$133,4,0))</f>
        <v>64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277.99200000000002</v>
      </c>
      <c r="CV118" s="14">
        <f t="shared" si="95"/>
        <v>66.542483170264177</v>
      </c>
      <c r="CW118" s="22">
        <f t="shared" si="67"/>
        <v>600.06422485487678</v>
      </c>
      <c r="CX118" s="62">
        <f t="shared" si="68"/>
        <v>893.39755818821004</v>
      </c>
      <c r="CY118" s="62">
        <f ca="1">AVERAGE(OFFSET($CX$3,0,0,'Données projet'!$E$13+1,1))-AVERAGE(OFFSET($H$3,0,0,'Données projet'!$E$13+1,1))</f>
        <v>411.60020200960821</v>
      </c>
      <c r="CZ118" s="62">
        <f t="shared" si="96"/>
        <v>261.95434270986397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6.5649031341248921E-13</v>
      </c>
      <c r="DI118" s="24">
        <f t="shared" si="69"/>
        <v>6.5649031341248921E-13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1.4210854715202004E-13</v>
      </c>
      <c r="DP118" s="18">
        <f>DO118*VLOOKUP('Données projet'!$B$14,Paramètres!$A$1:$I$89,3,0)*VLOOKUP('Données projet'!$B$14,Paramètres!$A$1:$I$89,5,0)</f>
        <v>9.3109520094003535E-14</v>
      </c>
      <c r="DQ118" s="14">
        <f t="shared" si="97"/>
        <v>1.4104420303656732E-12</v>
      </c>
      <c r="DR118" s="22">
        <f t="shared" si="70"/>
        <v>2.6186856170506036E-12</v>
      </c>
      <c r="DS118" s="62">
        <f t="shared" si="71"/>
        <v>293.33333333333593</v>
      </c>
      <c r="DT118" s="62">
        <f ca="1">AVERAGE(OFFSET($DS$3,0,0,'Données projet'!$E$14+1,1))-AVERAGE(OFFSET($H$3,0,0,'Données projet'!$E$14+1,1))</f>
        <v>240.134073924311</v>
      </c>
      <c r="DU118" s="62">
        <f t="shared" si="98"/>
        <v>237.10378497981156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0.24309425296562079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2.6883552985390865E-12</v>
      </c>
      <c r="ED118" s="24">
        <f t="shared" si="72"/>
        <v>0.24309425296830914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4.4337866711430253E-14</v>
      </c>
      <c r="P119" s="14">
        <f t="shared" si="87"/>
        <v>7.3222115536967035E-13</v>
      </c>
      <c r="Q119" s="22">
        <f t="shared" si="107"/>
        <v>1.3525069634579169E-12</v>
      </c>
      <c r="R119" s="62">
        <f t="shared" si="55"/>
        <v>293.33333333333468</v>
      </c>
      <c r="S119" s="62">
        <f ca="1">AVERAGE(OFFSET($R$3,0,0,'Données projet'!$E$9+1,1))-AVERAGE(OFFSET($H$3,0,0,'Données projet'!$E$9+1,1))</f>
        <v>288.82868507674738</v>
      </c>
      <c r="T119" s="62">
        <f t="shared" si="88"/>
        <v>283.48738729114024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0.15997104658691164</v>
      </c>
      <c r="AB119" s="23">
        <f>EXP(-LN(2)/2)*AB118+(1-EXP(-LN(2)/2))/(LN(2)/2)*V119*Y119*VLOOKUP('Données projet'!$B$9,Paramètres!$A$1:$I$89,3,0)*0.475*44/12</f>
        <v>3.862279025779716E-13</v>
      </c>
      <c r="AC119" s="24">
        <f t="shared" si="57"/>
        <v>0.15997104658729785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243.93407999999999</v>
      </c>
      <c r="AK119" s="14">
        <f t="shared" si="89"/>
        <v>59.285164329617594</v>
      </c>
      <c r="AL119" s="22">
        <f t="shared" si="58"/>
        <v>528.10685054075066</v>
      </c>
      <c r="AM119" s="62">
        <f t="shared" si="59"/>
        <v>821.44018387408391</v>
      </c>
      <c r="AN119" s="62">
        <f ca="1">AVERAGE(OFFSET($AM$3,0,0,'Données projet'!$E$10+1,1))-AVERAGE(OFFSET($H$3,0,0,'Données projet'!$E$10+1,1))</f>
        <v>371.95849973474657</v>
      </c>
      <c r="AO119" s="62">
        <f t="shared" si="90"/>
        <v>233.32640143610547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2.1754072776396714E-12</v>
      </c>
      <c r="AX119" s="23">
        <f t="shared" si="60"/>
        <v>2.1754072776396714E-12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281.78592000000009</v>
      </c>
      <c r="BF119" s="14">
        <f t="shared" si="91"/>
        <v>67.344285344627252</v>
      </c>
      <c r="BG119" s="22">
        <f t="shared" si="61"/>
        <v>608.06844097522594</v>
      </c>
      <c r="BH119" s="62">
        <f t="shared" si="62"/>
        <v>901.4017743085592</v>
      </c>
      <c r="BI119" s="62">
        <f ca="1">AVERAGE(OFFSET($BH$3,0,0,'Données projet'!$E$11+1,1))-AVERAGE(OFFSET($H$3,0,0,'Données projet'!$E$11+1,1))</f>
        <v>423.40903481736001</v>
      </c>
      <c r="BJ119" s="62">
        <f t="shared" si="92"/>
        <v>263.03039552465799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2.5129704758941211E-12</v>
      </c>
      <c r="BS119" s="24">
        <f t="shared" si="63"/>
        <v>2.5129704758941211E-12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4.1500000000000004</v>
      </c>
      <c r="BY119" s="13">
        <f>IF('Données projet'!$A$114&gt;35,BY118+BX119-CG118,IF(A119&lt;'Données projet'!$A$114,$BV$205^A119,IF(A119='Données projet'!$A$114,'Données projet'!$B$114,BY118+BX119-CG118)))</f>
        <v>278.14999999999981</v>
      </c>
      <c r="BZ119" s="14">
        <f>BY119*VLOOKUP('Données projet'!$B$12,Paramètres!$A$1:$I$89,3,0)*VLOOKUP('Données projet'!$B$12,Paramètres!$A$1:$I$89,5,0)</f>
        <v>130.1741999999999</v>
      </c>
      <c r="CA119" s="14">
        <f t="shared" si="93"/>
        <v>34.036608700063766</v>
      </c>
      <c r="CB119" s="22">
        <f t="shared" si="64"/>
        <v>286.00049181927756</v>
      </c>
      <c r="CC119" s="62">
        <f t="shared" si="65"/>
        <v>579.33382515261087</v>
      </c>
      <c r="CD119" s="62">
        <f ca="1">AVERAGE(OFFSET($CC$3,0,0,'Données projet'!$E$12+1,1))-AVERAGE(OFFSET($H$3,0,0,'Données projet'!$E$12+1,1))</f>
        <v>264.88170274686757</v>
      </c>
      <c r="CE119" s="62">
        <f t="shared" si="94"/>
        <v>160.81140876142001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411.60020200960821</v>
      </c>
      <c r="CZ119" s="62">
        <f t="shared" si="96"/>
        <v>261.95434270986397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4.6420875239725301E-13</v>
      </c>
      <c r="DI119" s="24">
        <f t="shared" si="69"/>
        <v>4.6420875239725301E-13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1.4210854715202004E-13</v>
      </c>
      <c r="DP119" s="18">
        <f>DO119*VLOOKUP('Données projet'!$B$14,Paramètres!$A$1:$I$89,3,0)*VLOOKUP('Données projet'!$B$14,Paramètres!$A$1:$I$89,5,0)</f>
        <v>9.3109520094003535E-14</v>
      </c>
      <c r="DQ119" s="14">
        <f t="shared" si="97"/>
        <v>1.4104420303656732E-12</v>
      </c>
      <c r="DR119" s="22">
        <f t="shared" si="70"/>
        <v>2.6186856170506036E-12</v>
      </c>
      <c r="DS119" s="62">
        <f t="shared" si="71"/>
        <v>293.33333333333593</v>
      </c>
      <c r="DT119" s="62">
        <f ca="1">AVERAGE(OFFSET($DS$3,0,0,'Données projet'!$E$14+1,1))-AVERAGE(OFFSET($H$3,0,0,'Données projet'!$E$14+1,1))</f>
        <v>240.134073924311</v>
      </c>
      <c r="DU119" s="62">
        <f t="shared" si="98"/>
        <v>237.10378497981156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0.23832732293781855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1.9009542618357735E-12</v>
      </c>
      <c r="ED119" s="24">
        <f t="shared" si="72"/>
        <v>0.2383273229397195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4.4337866711430253E-14</v>
      </c>
      <c r="P120" s="14">
        <f t="shared" si="87"/>
        <v>7.3222115536967035E-13</v>
      </c>
      <c r="Q120" s="22">
        <f t="shared" si="107"/>
        <v>1.3525069634579169E-12</v>
      </c>
      <c r="R120" s="62">
        <f t="shared" si="55"/>
        <v>293.33333333333468</v>
      </c>
      <c r="S120" s="62">
        <f ca="1">AVERAGE(OFFSET($R$3,0,0,'Données projet'!$E$9+1,1))-AVERAGE(OFFSET($H$3,0,0,'Données projet'!$E$9+1,1))</f>
        <v>288.82868507674738</v>
      </c>
      <c r="T120" s="62">
        <f t="shared" si="88"/>
        <v>283.48738729114024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0.15559662990548082</v>
      </c>
      <c r="AB120" s="23">
        <f>EXP(-LN(2)/2)*AB119+(1-EXP(-LN(2)/2))/(LN(2)/2)*V120*Y120*VLOOKUP('Données projet'!$B$9,Paramètres!$A$1:$I$89,3,0)*0.475*44/12</f>
        <v>2.7310436899634095E-13</v>
      </c>
      <c r="AC120" s="24">
        <f t="shared" si="57"/>
        <v>0.15559662990575393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247.19136000000003</v>
      </c>
      <c r="AK120" s="14">
        <f t="shared" si="89"/>
        <v>59.984117969781565</v>
      </c>
      <c r="AL120" s="22">
        <f t="shared" si="58"/>
        <v>534.99729079736949</v>
      </c>
      <c r="AM120" s="62">
        <f t="shared" si="59"/>
        <v>828.33062413070274</v>
      </c>
      <c r="AN120" s="62">
        <f ca="1">AVERAGE(OFFSET($AM$3,0,0,'Données projet'!$E$10+1,1))-AVERAGE(OFFSET($H$3,0,0,'Données projet'!$E$10+1,1))</f>
        <v>371.95849973474657</v>
      </c>
      <c r="AO120" s="62">
        <f t="shared" si="90"/>
        <v>233.32640143610547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1.5382452378615782E-12</v>
      </c>
      <c r="AX120" s="23">
        <f t="shared" si="60"/>
        <v>1.5382452378615782E-12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285.54864000000009</v>
      </c>
      <c r="BF120" s="14">
        <f t="shared" si="91"/>
        <v>68.138253513867127</v>
      </c>
      <c r="BG120" s="22">
        <f t="shared" si="61"/>
        <v>616.00467286998548</v>
      </c>
      <c r="BH120" s="62">
        <f t="shared" si="62"/>
        <v>909.33800620331886</v>
      </c>
      <c r="BI120" s="62">
        <f ca="1">AVERAGE(OFFSET($BH$3,0,0,'Données projet'!$E$11+1,1))-AVERAGE(OFFSET($H$3,0,0,'Données projet'!$E$11+1,1))</f>
        <v>423.40903481736001</v>
      </c>
      <c r="BJ120" s="62">
        <f t="shared" si="92"/>
        <v>263.03039552465799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1.7769384644263187E-12</v>
      </c>
      <c r="BS120" s="24">
        <f t="shared" si="63"/>
        <v>1.7769384644263187E-12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4.1500000000000004</v>
      </c>
      <c r="BY120" s="13">
        <f>IF('Données projet'!$A$114&gt;35,BY119+BX120-CG119,IF(A120&lt;'Données projet'!$A$114,$BV$205^A120,IF(A120='Données projet'!$A$114,'Données projet'!$B$114,BY119+BX120-CG119)))</f>
        <v>282.29999999999978</v>
      </c>
      <c r="BZ120" s="14">
        <f>BY120*VLOOKUP('Données projet'!$B$12,Paramètres!$A$1:$I$89,3,0)*VLOOKUP('Données projet'!$B$12,Paramètres!$A$1:$I$89,5,0)</f>
        <v>132.11639999999989</v>
      </c>
      <c r="CA120" s="14">
        <f t="shared" si="93"/>
        <v>34.484936655120521</v>
      </c>
      <c r="CB120" s="22">
        <f t="shared" si="64"/>
        <v>290.16399467433467</v>
      </c>
      <c r="CC120" s="62">
        <f t="shared" si="65"/>
        <v>583.49732800766799</v>
      </c>
      <c r="CD120" s="62">
        <f ca="1">AVERAGE(OFFSET($CC$3,0,0,'Données projet'!$E$12+1,1))-AVERAGE(OFFSET($H$3,0,0,'Données projet'!$E$12+1,1))</f>
        <v>264.88170274686757</v>
      </c>
      <c r="CE120" s="62">
        <f t="shared" si="94"/>
        <v>160.81140876142001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411.60020200960821</v>
      </c>
      <c r="CZ120" s="62">
        <f t="shared" si="96"/>
        <v>261.95434270986397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3.282451567062446E-13</v>
      </c>
      <c r="DI120" s="24">
        <f t="shared" si="69"/>
        <v>3.282451567062446E-13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1.4210854715202004E-13</v>
      </c>
      <c r="DP120" s="18">
        <f>DO120*VLOOKUP('Données projet'!$B$14,Paramètres!$A$1:$I$89,3,0)*VLOOKUP('Données projet'!$B$14,Paramètres!$A$1:$I$89,5,0)</f>
        <v>9.3109520094003535E-14</v>
      </c>
      <c r="DQ120" s="14">
        <f t="shared" si="97"/>
        <v>1.4104420303656732E-12</v>
      </c>
      <c r="DR120" s="22">
        <f t="shared" si="70"/>
        <v>2.6186856170506036E-12</v>
      </c>
      <c r="DS120" s="62">
        <f t="shared" si="71"/>
        <v>293.33333333333593</v>
      </c>
      <c r="DT120" s="62">
        <f ca="1">AVERAGE(OFFSET($DS$3,0,0,'Données projet'!$E$14+1,1))-AVERAGE(OFFSET($H$3,0,0,'Données projet'!$E$14+1,1))</f>
        <v>240.134073924311</v>
      </c>
      <c r="DU120" s="62">
        <f t="shared" si="98"/>
        <v>237.10378497981156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0.2336538695003213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1.3441776492695433E-12</v>
      </c>
      <c r="ED120" s="24">
        <f t="shared" si="72"/>
        <v>0.23365386950166547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4.4337866711430253E-14</v>
      </c>
      <c r="P121" s="14">
        <f t="shared" si="87"/>
        <v>7.3222115536967035E-13</v>
      </c>
      <c r="Q121" s="22">
        <f t="shared" si="107"/>
        <v>1.3525069634579169E-12</v>
      </c>
      <c r="R121" s="62">
        <f t="shared" si="55"/>
        <v>293.33333333333468</v>
      </c>
      <c r="S121" s="62">
        <f ca="1">AVERAGE(OFFSET($R$3,0,0,'Données projet'!$E$9+1,1))-AVERAGE(OFFSET($H$3,0,0,'Données projet'!$E$9+1,1))</f>
        <v>288.82868507674738</v>
      </c>
      <c r="T121" s="62">
        <f t="shared" si="88"/>
        <v>283.48738729114024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0.15134183187824429</v>
      </c>
      <c r="AB121" s="23">
        <f>EXP(-LN(2)/2)*AB120+(1-EXP(-LN(2)/2))/(LN(2)/2)*V121*Y121*VLOOKUP('Données projet'!$B$9,Paramètres!$A$1:$I$89,3,0)*0.475*44/12</f>
        <v>1.931139512889858E-13</v>
      </c>
      <c r="AC121" s="24">
        <f t="shared" si="57"/>
        <v>0.15134183187843742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250.44864000000007</v>
      </c>
      <c r="AK121" s="14">
        <f t="shared" si="89"/>
        <v>60.682000328890055</v>
      </c>
      <c r="AL121" s="22">
        <f t="shared" si="58"/>
        <v>541.88586523948368</v>
      </c>
      <c r="AM121" s="62">
        <f t="shared" si="59"/>
        <v>835.21919857281705</v>
      </c>
      <c r="AN121" s="62">
        <f ca="1">AVERAGE(OFFSET($AM$3,0,0,'Données projet'!$E$10+1,1))-AVERAGE(OFFSET($H$3,0,0,'Données projet'!$E$10+1,1))</f>
        <v>371.95849973474657</v>
      </c>
      <c r="AO121" s="62">
        <f t="shared" si="90"/>
        <v>233.32640143610547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1.0877036388198357E-12</v>
      </c>
      <c r="AX121" s="23">
        <f t="shared" si="60"/>
        <v>1.0877036388198357E-12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289.31136000000009</v>
      </c>
      <c r="BF121" s="14">
        <f t="shared" si="91"/>
        <v>68.93100477398805</v>
      </c>
      <c r="BG121" s="22">
        <f t="shared" si="61"/>
        <v>623.93878531469602</v>
      </c>
      <c r="BH121" s="62">
        <f t="shared" si="62"/>
        <v>917.27211864802939</v>
      </c>
      <c r="BI121" s="62">
        <f ca="1">AVERAGE(OFFSET($BH$3,0,0,'Données projet'!$E$11+1,1))-AVERAGE(OFFSET($H$3,0,0,'Données projet'!$E$11+1,1))</f>
        <v>423.40903481736001</v>
      </c>
      <c r="BJ121" s="62">
        <f t="shared" si="92"/>
        <v>263.03039552465799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1.2564852379470607E-12</v>
      </c>
      <c r="BS121" s="24">
        <f t="shared" si="63"/>
        <v>1.2564852379470607E-12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4.1500000000000004</v>
      </c>
      <c r="BY121" s="13">
        <f>IF('Données projet'!$A$114&gt;35,BY120+BX121-CG120,IF(A121&lt;'Données projet'!$A$114,$BV$205^A121,IF(A121='Données projet'!$A$114,'Données projet'!$B$114,BY120+BX121-CG120)))</f>
        <v>286.44999999999976</v>
      </c>
      <c r="BZ121" s="14">
        <f>BY121*VLOOKUP('Données projet'!$B$12,Paramètres!$A$1:$I$89,3,0)*VLOOKUP('Données projet'!$B$12,Paramètres!$A$1:$I$89,5,0)</f>
        <v>134.0585999999999</v>
      </c>
      <c r="CA121" s="14">
        <f t="shared" si="93"/>
        <v>34.932498076856326</v>
      </c>
      <c r="CB121" s="22">
        <f t="shared" si="64"/>
        <v>294.3261624838579</v>
      </c>
      <c r="CC121" s="62">
        <f t="shared" si="65"/>
        <v>587.65949581719121</v>
      </c>
      <c r="CD121" s="62">
        <f ca="1">AVERAGE(OFFSET($CC$3,0,0,'Données projet'!$E$12+1,1))-AVERAGE(OFFSET($H$3,0,0,'Données projet'!$E$12+1,1))</f>
        <v>264.88170274686757</v>
      </c>
      <c r="CE121" s="62">
        <f t="shared" si="94"/>
        <v>160.81140876142001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411.60020200960821</v>
      </c>
      <c r="CZ121" s="62">
        <f t="shared" si="96"/>
        <v>261.95434270986397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2.321043761986265E-13</v>
      </c>
      <c r="DI121" s="24">
        <f t="shared" si="69"/>
        <v>2.321043761986265E-13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1.4210854715202004E-13</v>
      </c>
      <c r="DP121" s="18">
        <f>DO121*VLOOKUP('Données projet'!$B$14,Paramètres!$A$1:$I$89,3,0)*VLOOKUP('Données projet'!$B$14,Paramètres!$A$1:$I$89,5,0)</f>
        <v>9.3109520094003535E-14</v>
      </c>
      <c r="DQ121" s="14">
        <f t="shared" si="97"/>
        <v>1.4104420303656732E-12</v>
      </c>
      <c r="DR121" s="22">
        <f t="shared" si="70"/>
        <v>2.6186856170506036E-12</v>
      </c>
      <c r="DS121" s="62">
        <f t="shared" si="71"/>
        <v>293.33333333333593</v>
      </c>
      <c r="DT121" s="62">
        <f ca="1">AVERAGE(OFFSET($DS$3,0,0,'Données projet'!$E$14+1,1))-AVERAGE(OFFSET($H$3,0,0,'Données projet'!$E$14+1,1))</f>
        <v>240.134073924311</v>
      </c>
      <c r="DU121" s="62">
        <f t="shared" si="98"/>
        <v>237.10378497981156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0.22907205963420824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9.5047713091788675E-13</v>
      </c>
      <c r="ED121" s="24">
        <f t="shared" si="72"/>
        <v>0.22907205963515873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4.4337866711430253E-14</v>
      </c>
      <c r="P122" s="14">
        <f t="shared" si="87"/>
        <v>7.3222115536967035E-13</v>
      </c>
      <c r="Q122" s="22">
        <f t="shared" si="107"/>
        <v>1.3525069634579169E-12</v>
      </c>
      <c r="R122" s="62">
        <f t="shared" si="55"/>
        <v>293.33333333333468</v>
      </c>
      <c r="S122" s="62">
        <f ca="1">AVERAGE(OFFSET($R$3,0,0,'Données projet'!$E$9+1,1))-AVERAGE(OFFSET($H$3,0,0,'Données projet'!$E$9+1,1))</f>
        <v>288.82868507674738</v>
      </c>
      <c r="T122" s="62">
        <f t="shared" si="88"/>
        <v>283.48738729114024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0.14720338152681267</v>
      </c>
      <c r="AB122" s="23">
        <f>EXP(-LN(2)/2)*AB121+(1-EXP(-LN(2)/2))/(LN(2)/2)*V122*Y122*VLOOKUP('Données projet'!$B$9,Paramètres!$A$1:$I$89,3,0)*0.475*44/12</f>
        <v>1.3655218449817048E-13</v>
      </c>
      <c r="AC122" s="24">
        <f t="shared" si="57"/>
        <v>0.14720338152694923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253.70592000000005</v>
      </c>
      <c r="AK122" s="14">
        <f t="shared" si="89"/>
        <v>61.378826950685919</v>
      </c>
      <c r="AL122" s="22">
        <f t="shared" si="58"/>
        <v>548.77260093911138</v>
      </c>
      <c r="AM122" s="62">
        <f t="shared" si="59"/>
        <v>842.10593427244476</v>
      </c>
      <c r="AN122" s="62">
        <f ca="1">AVERAGE(OFFSET($AM$3,0,0,'Données projet'!$E$10+1,1))-AVERAGE(OFFSET($H$3,0,0,'Données projet'!$E$10+1,1))</f>
        <v>371.95849973474657</v>
      </c>
      <c r="AO122" s="62">
        <f t="shared" si="90"/>
        <v>233.32640143610547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7.691226189307891E-13</v>
      </c>
      <c r="AX122" s="23">
        <f t="shared" si="60"/>
        <v>7.691226189307891E-13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293.07408000000015</v>
      </c>
      <c r="BF122" s="14">
        <f t="shared" si="91"/>
        <v>69.72255678172219</v>
      </c>
      <c r="BG122" s="22">
        <f t="shared" si="61"/>
        <v>631.8708090614997</v>
      </c>
      <c r="BH122" s="62">
        <f t="shared" si="62"/>
        <v>925.20414239483307</v>
      </c>
      <c r="BI122" s="62">
        <f ca="1">AVERAGE(OFFSET($BH$3,0,0,'Données projet'!$E$11+1,1))-AVERAGE(OFFSET($H$3,0,0,'Données projet'!$E$11+1,1))</f>
        <v>423.40903481736001</v>
      </c>
      <c r="BJ122" s="62">
        <f t="shared" si="92"/>
        <v>263.03039552465799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8.8846923221315944E-13</v>
      </c>
      <c r="BS122" s="24">
        <f t="shared" si="63"/>
        <v>8.8846923221315944E-13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4.1500000000000004</v>
      </c>
      <c r="BY122" s="13">
        <f>IF('Données projet'!$A$114&gt;35,BY121+BX122-CG121,IF(A122&lt;'Données projet'!$A$114,$BV$205^A122,IF(A122='Données projet'!$A$114,'Données projet'!$B$114,BY121+BX122-CG121)))</f>
        <v>290.59999999999974</v>
      </c>
      <c r="BZ122" s="14">
        <f>BY122*VLOOKUP('Données projet'!$B$12,Paramètres!$A$1:$I$89,3,0)*VLOOKUP('Données projet'!$B$12,Paramètres!$A$1:$I$89,5,0)</f>
        <v>136.00079999999988</v>
      </c>
      <c r="CA122" s="14">
        <f t="shared" si="93"/>
        <v>35.37930535365301</v>
      </c>
      <c r="CB122" s="22">
        <f t="shared" si="64"/>
        <v>298.48701682427873</v>
      </c>
      <c r="CC122" s="62">
        <f t="shared" si="65"/>
        <v>591.82035015761198</v>
      </c>
      <c r="CD122" s="62">
        <f ca="1">AVERAGE(OFFSET($CC$3,0,0,'Données projet'!$E$12+1,1))-AVERAGE(OFFSET($H$3,0,0,'Données projet'!$E$12+1,1))</f>
        <v>264.88170274686757</v>
      </c>
      <c r="CE122" s="62">
        <f t="shared" si="94"/>
        <v>160.81140876142001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411.60020200960821</v>
      </c>
      <c r="CZ122" s="62">
        <f t="shared" si="96"/>
        <v>261.95434270986397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1.641225783531223E-13</v>
      </c>
      <c r="DI122" s="24">
        <f t="shared" si="69"/>
        <v>1.641225783531223E-13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1.4210854715202004E-13</v>
      </c>
      <c r="DP122" s="18">
        <f>DO122*VLOOKUP('Données projet'!$B$14,Paramètres!$A$1:$I$89,3,0)*VLOOKUP('Données projet'!$B$14,Paramètres!$A$1:$I$89,5,0)</f>
        <v>9.3109520094003535E-14</v>
      </c>
      <c r="DQ122" s="14">
        <f t="shared" si="97"/>
        <v>1.4104420303656732E-12</v>
      </c>
      <c r="DR122" s="22">
        <f t="shared" si="70"/>
        <v>2.6186856170506036E-12</v>
      </c>
      <c r="DS122" s="62">
        <f t="shared" si="71"/>
        <v>293.33333333333593</v>
      </c>
      <c r="DT122" s="62">
        <f ca="1">AVERAGE(OFFSET($DS$3,0,0,'Données projet'!$E$14+1,1))-AVERAGE(OFFSET($H$3,0,0,'Données projet'!$E$14+1,1))</f>
        <v>240.134073924311</v>
      </c>
      <c r="DU122" s="62">
        <f t="shared" si="98"/>
        <v>237.10378497981156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0.22458009626494158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6.7208882463477163E-13</v>
      </c>
      <c r="ED122" s="24">
        <f t="shared" si="72"/>
        <v>0.22458009626561368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4.4337866711430253E-14</v>
      </c>
      <c r="P123" s="14">
        <f t="shared" si="87"/>
        <v>7.3222115536967035E-13</v>
      </c>
      <c r="Q123" s="22">
        <f t="shared" si="107"/>
        <v>1.3525069634579169E-12</v>
      </c>
      <c r="R123" s="62">
        <f t="shared" si="55"/>
        <v>293.33333333333468</v>
      </c>
      <c r="S123" s="62">
        <f ca="1">AVERAGE(OFFSET($R$3,0,0,'Données projet'!$E$9+1,1))-AVERAGE(OFFSET($H$3,0,0,'Données projet'!$E$9+1,1))</f>
        <v>288.82868507674738</v>
      </c>
      <c r="T123" s="62">
        <f t="shared" si="88"/>
        <v>283.48738729114024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0.14317809731787259</v>
      </c>
      <c r="AB123" s="23">
        <f>EXP(-LN(2)/2)*AB122+(1-EXP(-LN(2)/2))/(LN(2)/2)*V123*Y123*VLOOKUP('Données projet'!$B$9,Paramètres!$A$1:$I$89,3,0)*0.475*44/12</f>
        <v>9.65569756444929E-14</v>
      </c>
      <c r="AC123" s="24">
        <f t="shared" si="57"/>
        <v>0.14317809731796916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256.96320000000009</v>
      </c>
      <c r="AK123" s="14">
        <f t="shared" si="89"/>
        <v>62.074612956838024</v>
      </c>
      <c r="AL123" s="22">
        <f t="shared" si="58"/>
        <v>555.65752423315973</v>
      </c>
      <c r="AM123" s="62">
        <f t="shared" si="59"/>
        <v>848.9908575664931</v>
      </c>
      <c r="AN123" s="62">
        <f ca="1">AVERAGE(OFFSET($AM$3,0,0,'Données projet'!$E$10+1,1))-AVERAGE(OFFSET($H$3,0,0,'Données projet'!$E$10+1,1))</f>
        <v>371.95849973474657</v>
      </c>
      <c r="AO123" s="62">
        <f t="shared" si="90"/>
        <v>233.32640143610547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5.4385181940991786E-13</v>
      </c>
      <c r="AX123" s="23">
        <f t="shared" si="60"/>
        <v>5.4385181940991786E-13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296.83680000000015</v>
      </c>
      <c r="BF123" s="14">
        <f t="shared" si="91"/>
        <v>70.512926714351252</v>
      </c>
      <c r="BG123" s="22">
        <f t="shared" si="61"/>
        <v>639.80077402749532</v>
      </c>
      <c r="BH123" s="62">
        <f t="shared" si="62"/>
        <v>933.13410736082869</v>
      </c>
      <c r="BI123" s="62">
        <f ca="1">AVERAGE(OFFSET($BH$3,0,0,'Données projet'!$E$11+1,1))-AVERAGE(OFFSET($H$3,0,0,'Données projet'!$E$11+1,1))</f>
        <v>423.40903481736001</v>
      </c>
      <c r="BJ123" s="62">
        <f t="shared" si="92"/>
        <v>263.03039552465799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6.2824261897353047E-13</v>
      </c>
      <c r="BS123" s="24">
        <f t="shared" si="63"/>
        <v>6.2824261897353047E-13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4.1500000000000004</v>
      </c>
      <c r="BY123" s="13">
        <f>IF('Données projet'!$A$114&gt;35,BY122+BX123-CG122,IF(A123&lt;'Données projet'!$A$114,$BV$205^A123,IF(A123='Données projet'!$A$114,'Données projet'!$B$114,BY122+BX123-CG122)))</f>
        <v>294.74999999999972</v>
      </c>
      <c r="BZ123" s="14">
        <f>BY123*VLOOKUP('Données projet'!$B$12,Paramètres!$A$1:$I$89,3,0)*VLOOKUP('Données projet'!$B$12,Paramètres!$A$1:$I$89,5,0)</f>
        <v>137.94299999999987</v>
      </c>
      <c r="CA123" s="14">
        <f t="shared" si="93"/>
        <v>35.825370499740522</v>
      </c>
      <c r="CB123" s="22">
        <f t="shared" si="64"/>
        <v>302.64657862038121</v>
      </c>
      <c r="CC123" s="62">
        <f t="shared" si="65"/>
        <v>595.97991195371446</v>
      </c>
      <c r="CD123" s="62">
        <f ca="1">AVERAGE(OFFSET($CC$3,0,0,'Données projet'!$E$12+1,1))-AVERAGE(OFFSET($H$3,0,0,'Données projet'!$E$12+1,1))</f>
        <v>264.88170274686757</v>
      </c>
      <c r="CE123" s="62">
        <f t="shared" si="94"/>
        <v>160.81140876142001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411.60020200960821</v>
      </c>
      <c r="CZ123" s="62">
        <f t="shared" si="96"/>
        <v>261.95434270986397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1.1605218809931325E-13</v>
      </c>
      <c r="DI123" s="24">
        <f t="shared" si="69"/>
        <v>1.1605218809931325E-13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1.4210854715202004E-13</v>
      </c>
      <c r="DP123" s="18">
        <f>DO123*VLOOKUP('Données projet'!$B$14,Paramètres!$A$1:$I$89,3,0)*VLOOKUP('Données projet'!$B$14,Paramètres!$A$1:$I$89,5,0)</f>
        <v>9.3109520094003535E-14</v>
      </c>
      <c r="DQ123" s="14">
        <f t="shared" si="97"/>
        <v>1.4104420303656732E-12</v>
      </c>
      <c r="DR123" s="22">
        <f t="shared" si="70"/>
        <v>2.6186856170506036E-12</v>
      </c>
      <c r="DS123" s="62">
        <f t="shared" si="71"/>
        <v>293.33333333333593</v>
      </c>
      <c r="DT123" s="62">
        <f ca="1">AVERAGE(OFFSET($DS$3,0,0,'Données projet'!$E$14+1,1))-AVERAGE(OFFSET($H$3,0,0,'Données projet'!$E$14+1,1))</f>
        <v>240.134073924311</v>
      </c>
      <c r="DU123" s="62">
        <f t="shared" si="98"/>
        <v>237.10378497981156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0.22017621755751912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4.7523856545894337E-13</v>
      </c>
      <c r="ED123" s="24">
        <f t="shared" si="72"/>
        <v>0.22017621755799435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4.4337866711430253E-14</v>
      </c>
      <c r="P124" s="14">
        <f t="shared" si="87"/>
        <v>7.3222115536967035E-13</v>
      </c>
      <c r="Q124" s="22">
        <f t="shared" si="107"/>
        <v>1.3525069634579169E-12</v>
      </c>
      <c r="R124" s="62">
        <f t="shared" si="55"/>
        <v>293.33333333333468</v>
      </c>
      <c r="S124" s="62">
        <f ca="1">AVERAGE(OFFSET($R$3,0,0,'Données projet'!$E$9+1,1))-AVERAGE(OFFSET($H$3,0,0,'Données projet'!$E$9+1,1))</f>
        <v>288.82868507674738</v>
      </c>
      <c r="T124" s="62">
        <f t="shared" si="88"/>
        <v>283.48738729114024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0.13926288471730647</v>
      </c>
      <c r="AB124" s="23">
        <f>EXP(-LN(2)/2)*AB123+(1-EXP(-LN(2)/2))/(LN(2)/2)*V124*Y124*VLOOKUP('Données projet'!$B$9,Paramètres!$A$1:$I$89,3,0)*0.475*44/12</f>
        <v>6.8276092249085239E-14</v>
      </c>
      <c r="AC124" s="24">
        <f t="shared" si="57"/>
        <v>0.13926288471737475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293.33333333333616</v>
      </c>
      <c r="AN124" s="62">
        <f ca="1">AVERAGE(OFFSET($AM$3,0,0,'Données projet'!$E$10+1,1))-AVERAGE(OFFSET($H$3,0,0,'Données projet'!$E$10+1,1))</f>
        <v>371.95849973474657</v>
      </c>
      <c r="AO124" s="62">
        <f t="shared" si="90"/>
        <v>233.32640143610547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3.8456130946539455E-13</v>
      </c>
      <c r="AX124" s="23">
        <f t="shared" si="60"/>
        <v>3.8456130946539455E-13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1.1882548278663309E-13</v>
      </c>
      <c r="BF124" s="14">
        <f t="shared" si="91"/>
        <v>1.7496137229198366E-12</v>
      </c>
      <c r="BG124" s="22">
        <f t="shared" si="61"/>
        <v>3.2541982832721012E-12</v>
      </c>
      <c r="BH124" s="62">
        <f t="shared" si="62"/>
        <v>293.33333333333655</v>
      </c>
      <c r="BI124" s="62">
        <f ca="1">AVERAGE(OFFSET($BH$3,0,0,'Données projet'!$E$11+1,1))-AVERAGE(OFFSET($H$3,0,0,'Données projet'!$E$11+1,1))</f>
        <v>423.40903481736001</v>
      </c>
      <c r="BJ124" s="62">
        <f t="shared" si="92"/>
        <v>263.03039552465799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4.4423461610657977E-13</v>
      </c>
      <c r="BS124" s="24">
        <f t="shared" si="63"/>
        <v>4.4423461610657977E-13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4.1500000000000004</v>
      </c>
      <c r="BY124" s="13">
        <f>IF('Données projet'!$A$114&gt;35,BY123+BX124-CG123,IF(A124&lt;'Données projet'!$A$114,$BV$205^A124,IF(A124='Données projet'!$A$114,'Données projet'!$B$114,BY123+BX124-CG123)))</f>
        <v>298.89999999999969</v>
      </c>
      <c r="BZ124" s="14">
        <f>BY124*VLOOKUP('Données projet'!$B$12,Paramètres!$A$1:$I$89,3,0)*VLOOKUP('Données projet'!$B$12,Paramètres!$A$1:$I$89,5,0)</f>
        <v>139.88519999999986</v>
      </c>
      <c r="CA124" s="14">
        <f t="shared" si="93"/>
        <v>36.270705171602664</v>
      </c>
      <c r="CB124" s="22">
        <f t="shared" si="64"/>
        <v>306.80486817387435</v>
      </c>
      <c r="CC124" s="62">
        <f t="shared" si="65"/>
        <v>600.13820150720767</v>
      </c>
      <c r="CD124" s="62">
        <f ca="1">AVERAGE(OFFSET($CC$3,0,0,'Données projet'!$E$12+1,1))-AVERAGE(OFFSET($H$3,0,0,'Données projet'!$E$12+1,1))</f>
        <v>264.88170274686757</v>
      </c>
      <c r="CE124" s="62">
        <f t="shared" si="94"/>
        <v>160.81140876142001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411.60020200960821</v>
      </c>
      <c r="CZ124" s="62">
        <f t="shared" si="96"/>
        <v>261.95434270986397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8.2061289176561151E-14</v>
      </c>
      <c r="DI124" s="24">
        <f t="shared" si="69"/>
        <v>8.2061289176561151E-14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1.4210854715202004E-13</v>
      </c>
      <c r="DP124" s="18">
        <f>DO124*VLOOKUP('Données projet'!$B$14,Paramètres!$A$1:$I$89,3,0)*VLOOKUP('Données projet'!$B$14,Paramètres!$A$1:$I$89,5,0)</f>
        <v>9.3109520094003535E-14</v>
      </c>
      <c r="DQ124" s="14">
        <f t="shared" si="97"/>
        <v>1.4104420303656732E-12</v>
      </c>
      <c r="DR124" s="22">
        <f t="shared" si="70"/>
        <v>2.6186856170506036E-12</v>
      </c>
      <c r="DS124" s="62">
        <f t="shared" si="71"/>
        <v>293.33333333333593</v>
      </c>
      <c r="DT124" s="62">
        <f ca="1">AVERAGE(OFFSET($DS$3,0,0,'Données projet'!$E$14+1,1))-AVERAGE(OFFSET($H$3,0,0,'Données projet'!$E$14+1,1))</f>
        <v>240.134073924311</v>
      </c>
      <c r="DU124" s="62">
        <f t="shared" si="98"/>
        <v>237.10378497981156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0.21585869622544843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3.3604441231738582E-13</v>
      </c>
      <c r="ED124" s="24">
        <f t="shared" si="72"/>
        <v>0.21585869622578446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4.4337866711430253E-14</v>
      </c>
      <c r="P125" s="14">
        <f t="shared" si="87"/>
        <v>7.3222115536967035E-13</v>
      </c>
      <c r="Q125" s="22">
        <f t="shared" si="107"/>
        <v>1.3525069634579169E-12</v>
      </c>
      <c r="R125" s="62">
        <f t="shared" si="55"/>
        <v>293.33333333333468</v>
      </c>
      <c r="S125" s="62">
        <f ca="1">AVERAGE(OFFSET($R$3,0,0,'Données projet'!$E$9+1,1))-AVERAGE(OFFSET($H$3,0,0,'Données projet'!$E$9+1,1))</f>
        <v>288.82868507674738</v>
      </c>
      <c r="T125" s="62">
        <f t="shared" si="88"/>
        <v>283.48738729114024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0.13545473381119491</v>
      </c>
      <c r="AB125" s="23">
        <f>EXP(-LN(2)/2)*AB124+(1-EXP(-LN(2)/2))/(LN(2)/2)*V125*Y125*VLOOKUP('Données projet'!$B$9,Paramètres!$A$1:$I$89,3,0)*0.475*44/12</f>
        <v>4.827848782224645E-14</v>
      </c>
      <c r="AC125" s="24">
        <f t="shared" si="57"/>
        <v>0.13545473381124318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293.33333333333616</v>
      </c>
      <c r="AN125" s="62">
        <f ca="1">AVERAGE(OFFSET($AM$3,0,0,'Données projet'!$E$10+1,1))-AVERAGE(OFFSET($H$3,0,0,'Données projet'!$E$10+1,1))</f>
        <v>371.95849973474657</v>
      </c>
      <c r="AO125" s="62">
        <f t="shared" si="90"/>
        <v>233.32640143610547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2.7192590970495893E-13</v>
      </c>
      <c r="AX125" s="23">
        <f t="shared" si="60"/>
        <v>2.7192590970495893E-13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1.1882548278663309E-13</v>
      </c>
      <c r="BF125" s="14">
        <f t="shared" si="91"/>
        <v>1.7496137229198366E-12</v>
      </c>
      <c r="BG125" s="22">
        <f t="shared" si="61"/>
        <v>3.2541982832721012E-12</v>
      </c>
      <c r="BH125" s="62">
        <f t="shared" si="62"/>
        <v>293.33333333333655</v>
      </c>
      <c r="BI125" s="62">
        <f ca="1">AVERAGE(OFFSET($BH$3,0,0,'Données projet'!$E$11+1,1))-AVERAGE(OFFSET($H$3,0,0,'Données projet'!$E$11+1,1))</f>
        <v>423.40903481736001</v>
      </c>
      <c r="BJ125" s="62">
        <f t="shared" si="92"/>
        <v>263.03039552465799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3.1412130948676528E-13</v>
      </c>
      <c r="BS125" s="24">
        <f t="shared" si="63"/>
        <v>3.1412130948676528E-13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4.1500000000000004</v>
      </c>
      <c r="BY125" s="13">
        <f>IF('Données projet'!$A$114&gt;35,BY124+BX125-CG124,IF(A125&lt;'Données projet'!$A$114,$BV$205^A125,IF(A125='Données projet'!$A$114,'Données projet'!$B$114,BY124+BX125-CG124)))</f>
        <v>303.04999999999967</v>
      </c>
      <c r="BZ125" s="14">
        <f>BY125*VLOOKUP('Données projet'!$B$12,Paramètres!$A$1:$I$89,3,0)*VLOOKUP('Données projet'!$B$12,Paramètres!$A$1:$I$89,5,0)</f>
        <v>141.82739999999984</v>
      </c>
      <c r="CA125" s="14">
        <f t="shared" si="93"/>
        <v>36.715320683445889</v>
      </c>
      <c r="CB125" s="22">
        <f t="shared" si="64"/>
        <v>310.96190519033468</v>
      </c>
      <c r="CC125" s="62">
        <f t="shared" si="65"/>
        <v>604.29523852366799</v>
      </c>
      <c r="CD125" s="62">
        <f ca="1">AVERAGE(OFFSET($CC$3,0,0,'Données projet'!$E$12+1,1))-AVERAGE(OFFSET($H$3,0,0,'Données projet'!$E$12+1,1))</f>
        <v>264.88170274686757</v>
      </c>
      <c r="CE125" s="62">
        <f t="shared" si="94"/>
        <v>160.81140876142001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411.60020200960821</v>
      </c>
      <c r="CZ125" s="62">
        <f t="shared" si="96"/>
        <v>261.95434270986397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5.8026094049656626E-14</v>
      </c>
      <c r="DI125" s="24">
        <f t="shared" si="69"/>
        <v>5.8026094049656626E-14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1.4210854715202004E-13</v>
      </c>
      <c r="DP125" s="18">
        <f>DO125*VLOOKUP('Données projet'!$B$14,Paramètres!$A$1:$I$89,3,0)*VLOOKUP('Données projet'!$B$14,Paramètres!$A$1:$I$89,5,0)</f>
        <v>9.3109520094003535E-14</v>
      </c>
      <c r="DQ125" s="14">
        <f t="shared" si="97"/>
        <v>1.4104420303656732E-12</v>
      </c>
      <c r="DR125" s="22">
        <f t="shared" si="70"/>
        <v>2.6186856170506036E-12</v>
      </c>
      <c r="DS125" s="62">
        <f t="shared" si="71"/>
        <v>293.33333333333593</v>
      </c>
      <c r="DT125" s="62">
        <f ca="1">AVERAGE(OFFSET($DS$3,0,0,'Données projet'!$E$14+1,1))-AVERAGE(OFFSET($H$3,0,0,'Données projet'!$E$14+1,1))</f>
        <v>240.134073924311</v>
      </c>
      <c r="DU125" s="62">
        <f t="shared" si="98"/>
        <v>237.10378497981156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0.21162583885327166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2.3761928272947169E-13</v>
      </c>
      <c r="ED125" s="24">
        <f t="shared" si="72"/>
        <v>0.21162583885350927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4.4337866711430253E-14</v>
      </c>
      <c r="P126" s="14">
        <f t="shared" si="87"/>
        <v>7.3222115536967035E-13</v>
      </c>
      <c r="Q126" s="22">
        <f t="shared" si="107"/>
        <v>1.3525069634579169E-12</v>
      </c>
      <c r="R126" s="62">
        <f t="shared" si="55"/>
        <v>293.33333333333468</v>
      </c>
      <c r="S126" s="62">
        <f ca="1">AVERAGE(OFFSET($R$3,0,0,'Données projet'!$E$9+1,1))-AVERAGE(OFFSET($H$3,0,0,'Données projet'!$E$9+1,1))</f>
        <v>288.82868507674738</v>
      </c>
      <c r="T126" s="62">
        <f t="shared" si="88"/>
        <v>283.48738729114024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0.13175071699187291</v>
      </c>
      <c r="AB126" s="23">
        <f>EXP(-LN(2)/2)*AB125+(1-EXP(-LN(2)/2))/(LN(2)/2)*V126*Y126*VLOOKUP('Données projet'!$B$9,Paramètres!$A$1:$I$89,3,0)*0.475*44/12</f>
        <v>3.4138046124542619E-14</v>
      </c>
      <c r="AC126" s="24">
        <f t="shared" si="57"/>
        <v>0.13175071699190705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293.33333333333616</v>
      </c>
      <c r="AN126" s="62">
        <f ca="1">AVERAGE(OFFSET($AM$3,0,0,'Données projet'!$E$10+1,1))-AVERAGE(OFFSET($H$3,0,0,'Données projet'!$E$10+1,1))</f>
        <v>371.95849973474657</v>
      </c>
      <c r="AO126" s="62">
        <f t="shared" si="90"/>
        <v>233.32640143610547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1.9228065473269728E-13</v>
      </c>
      <c r="AX126" s="23">
        <f t="shared" si="60"/>
        <v>1.9228065473269728E-13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1.1882548278663309E-13</v>
      </c>
      <c r="BF126" s="14">
        <f t="shared" si="91"/>
        <v>1.7496137229198366E-12</v>
      </c>
      <c r="BG126" s="22">
        <f t="shared" si="61"/>
        <v>3.2541982832721012E-12</v>
      </c>
      <c r="BH126" s="62">
        <f t="shared" si="62"/>
        <v>293.33333333333655</v>
      </c>
      <c r="BI126" s="62">
        <f ca="1">AVERAGE(OFFSET($BH$3,0,0,'Données projet'!$E$11+1,1))-AVERAGE(OFFSET($H$3,0,0,'Données projet'!$E$11+1,1))</f>
        <v>423.40903481736001</v>
      </c>
      <c r="BJ126" s="62">
        <f t="shared" si="92"/>
        <v>263.03039552465799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2.2211730805328994E-13</v>
      </c>
      <c r="BS126" s="24">
        <f t="shared" si="63"/>
        <v>2.2211730805328994E-13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4.1500000000000004</v>
      </c>
      <c r="BY126" s="13">
        <f>IF('Données projet'!$A$114&gt;35,BY125+BX126-CG125,IF(A126&lt;'Données projet'!$A$114,$BV$205^A126,IF(A126='Données projet'!$A$114,'Données projet'!$B$114,BY125+BX126-CG125)))</f>
        <v>307.19999999999965</v>
      </c>
      <c r="BZ126" s="14">
        <f>BY126*VLOOKUP('Données projet'!$B$12,Paramètres!$A$1:$I$89,3,0)*VLOOKUP('Données projet'!$B$12,Paramètres!$A$1:$I$89,5,0)</f>
        <v>143.76959999999983</v>
      </c>
      <c r="CA126" s="14">
        <f t="shared" si="93"/>
        <v>37.159228021796558</v>
      </c>
      <c r="CB126" s="22">
        <f t="shared" si="64"/>
        <v>315.11770880462871</v>
      </c>
      <c r="CC126" s="62">
        <f t="shared" si="65"/>
        <v>608.45104213796208</v>
      </c>
      <c r="CD126" s="62">
        <f ca="1">AVERAGE(OFFSET($CC$3,0,0,'Données projet'!$E$12+1,1))-AVERAGE(OFFSET($H$3,0,0,'Données projet'!$E$12+1,1))</f>
        <v>264.88170274686757</v>
      </c>
      <c r="CE126" s="62">
        <f t="shared" si="94"/>
        <v>160.81140876142001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411.60020200960821</v>
      </c>
      <c r="CZ126" s="62">
        <f t="shared" si="96"/>
        <v>261.95434270986397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4.1030644588280576E-14</v>
      </c>
      <c r="DI126" s="24">
        <f t="shared" si="69"/>
        <v>4.1030644588280576E-14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1.4210854715202004E-13</v>
      </c>
      <c r="DP126" s="18">
        <f>DO126*VLOOKUP('Données projet'!$B$14,Paramètres!$A$1:$I$89,3,0)*VLOOKUP('Données projet'!$B$14,Paramètres!$A$1:$I$89,5,0)</f>
        <v>9.3109520094003535E-14</v>
      </c>
      <c r="DQ126" s="14">
        <f t="shared" si="97"/>
        <v>1.4104420303656732E-12</v>
      </c>
      <c r="DR126" s="22">
        <f t="shared" si="70"/>
        <v>2.6186856170506036E-12</v>
      </c>
      <c r="DS126" s="62">
        <f t="shared" si="71"/>
        <v>293.33333333333593</v>
      </c>
      <c r="DT126" s="62">
        <f ca="1">AVERAGE(OFFSET($DS$3,0,0,'Données projet'!$E$14+1,1))-AVERAGE(OFFSET($H$3,0,0,'Données projet'!$E$14+1,1))</f>
        <v>240.134073924311</v>
      </c>
      <c r="DU126" s="62">
        <f t="shared" si="98"/>
        <v>237.10378497981156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0.2074759852323752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1.6802220615869291E-13</v>
      </c>
      <c r="ED126" s="24">
        <f t="shared" si="72"/>
        <v>0.20747598523254324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4.4337866711430253E-14</v>
      </c>
      <c r="P127" s="14">
        <f t="shared" si="87"/>
        <v>7.3222115536967035E-13</v>
      </c>
      <c r="Q127" s="22">
        <f t="shared" si="107"/>
        <v>1.3525069634579169E-12</v>
      </c>
      <c r="R127" s="62">
        <f t="shared" si="55"/>
        <v>293.33333333333468</v>
      </c>
      <c r="S127" s="62">
        <f ca="1">AVERAGE(OFFSET($R$3,0,0,'Données projet'!$E$9+1,1))-AVERAGE(OFFSET($H$3,0,0,'Données projet'!$E$9+1,1))</f>
        <v>288.82868507674738</v>
      </c>
      <c r="T127" s="62">
        <f t="shared" si="88"/>
        <v>283.48738729114024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0.12814798670726105</v>
      </c>
      <c r="AB127" s="23">
        <f>EXP(-LN(2)/2)*AB126+(1-EXP(-LN(2)/2))/(LN(2)/2)*V127*Y127*VLOOKUP('Données projet'!$B$9,Paramètres!$A$1:$I$89,3,0)*0.475*44/12</f>
        <v>2.4139243911123225E-14</v>
      </c>
      <c r="AC127" s="24">
        <f t="shared" si="57"/>
        <v>0.12814798670728519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293.33333333333616</v>
      </c>
      <c r="AN127" s="62">
        <f ca="1">AVERAGE(OFFSET($AM$3,0,0,'Données projet'!$E$10+1,1))-AVERAGE(OFFSET($H$3,0,0,'Données projet'!$E$10+1,1))</f>
        <v>371.95849973474657</v>
      </c>
      <c r="AO127" s="62">
        <f t="shared" si="90"/>
        <v>233.32640143610547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1.3596295485247946E-13</v>
      </c>
      <c r="AX127" s="23">
        <f t="shared" si="60"/>
        <v>1.3596295485247946E-13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1.1882548278663309E-13</v>
      </c>
      <c r="BF127" s="14">
        <f t="shared" si="91"/>
        <v>1.7496137229198366E-12</v>
      </c>
      <c r="BG127" s="22">
        <f t="shared" si="61"/>
        <v>3.2541982832721012E-12</v>
      </c>
      <c r="BH127" s="62">
        <f t="shared" si="62"/>
        <v>293.33333333333655</v>
      </c>
      <c r="BI127" s="62">
        <f ca="1">AVERAGE(OFFSET($BH$3,0,0,'Données projet'!$E$11+1,1))-AVERAGE(OFFSET($H$3,0,0,'Données projet'!$E$11+1,1))</f>
        <v>423.40903481736001</v>
      </c>
      <c r="BJ127" s="62">
        <f t="shared" si="92"/>
        <v>263.03039552465799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1.5706065474338267E-13</v>
      </c>
      <c r="BS127" s="24">
        <f t="shared" si="63"/>
        <v>1.5706065474338267E-13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4.1500000000000004</v>
      </c>
      <c r="BY127" s="13">
        <f>IF('Données projet'!$A$114&gt;35,BY126+BX127-CG126,IF(A127&lt;'Données projet'!$A$114,$BV$205^A127,IF(A127='Données projet'!$A$114,'Données projet'!$B$114,BY126+BX127-CG126)))</f>
        <v>311.34999999999962</v>
      </c>
      <c r="BZ127" s="14">
        <f>BY127*VLOOKUP('Données projet'!$B$12,Paramètres!$A$1:$I$89,3,0)*VLOOKUP('Données projet'!$B$12,Paramètres!$A$1:$I$89,5,0)</f>
        <v>145.71179999999981</v>
      </c>
      <c r="CA127" s="14">
        <f t="shared" si="93"/>
        <v>37.602437859287022</v>
      </c>
      <c r="CB127" s="22">
        <f t="shared" si="64"/>
        <v>319.27229760492457</v>
      </c>
      <c r="CC127" s="62">
        <f t="shared" si="65"/>
        <v>612.60563093825795</v>
      </c>
      <c r="CD127" s="62">
        <f ca="1">AVERAGE(OFFSET($CC$3,0,0,'Données projet'!$E$12+1,1))-AVERAGE(OFFSET($H$3,0,0,'Données projet'!$E$12+1,1))</f>
        <v>264.88170274686757</v>
      </c>
      <c r="CE127" s="62">
        <f t="shared" si="94"/>
        <v>160.81140876142001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411.60020200960821</v>
      </c>
      <c r="CZ127" s="62">
        <f t="shared" si="96"/>
        <v>261.95434270986397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2.9013047024828313E-14</v>
      </c>
      <c r="DI127" s="24">
        <f t="shared" si="69"/>
        <v>2.9013047024828313E-14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1.4210854715202004E-13</v>
      </c>
      <c r="DP127" s="18">
        <f>DO127*VLOOKUP('Données projet'!$B$14,Paramètres!$A$1:$I$89,3,0)*VLOOKUP('Données projet'!$B$14,Paramètres!$A$1:$I$89,5,0)</f>
        <v>9.3109520094003535E-14</v>
      </c>
      <c r="DQ127" s="14">
        <f t="shared" si="97"/>
        <v>1.4104420303656732E-12</v>
      </c>
      <c r="DR127" s="22">
        <f t="shared" si="70"/>
        <v>2.6186856170506036E-12</v>
      </c>
      <c r="DS127" s="62">
        <f t="shared" si="71"/>
        <v>293.33333333333593</v>
      </c>
      <c r="DT127" s="62">
        <f ca="1">AVERAGE(OFFSET($DS$3,0,0,'Données projet'!$E$14+1,1))-AVERAGE(OFFSET($H$3,0,0,'Données projet'!$E$14+1,1))</f>
        <v>240.134073924311</v>
      </c>
      <c r="DU127" s="62">
        <f t="shared" si="98"/>
        <v>237.10378497981156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0.20340750770982374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1.1880964136473584E-13</v>
      </c>
      <c r="ED127" s="24">
        <f t="shared" si="72"/>
        <v>0.20340750770994256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4.4337866711430253E-14</v>
      </c>
      <c r="P128" s="14">
        <f t="shared" si="87"/>
        <v>7.3222115536967035E-13</v>
      </c>
      <c r="Q128" s="22">
        <f t="shared" si="107"/>
        <v>1.3525069634579169E-12</v>
      </c>
      <c r="R128" s="62">
        <f t="shared" si="55"/>
        <v>293.33333333333468</v>
      </c>
      <c r="S128" s="62">
        <f ca="1">AVERAGE(OFFSET($R$3,0,0,'Données projet'!$E$9+1,1))-AVERAGE(OFFSET($H$3,0,0,'Données projet'!$E$9+1,1))</f>
        <v>288.82868507674738</v>
      </c>
      <c r="T128" s="62">
        <f t="shared" si="88"/>
        <v>283.48738729114024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0.12464377327174125</v>
      </c>
      <c r="AB128" s="23">
        <f>EXP(-LN(2)/2)*AB127+(1-EXP(-LN(2)/2))/(LN(2)/2)*V128*Y128*VLOOKUP('Données projet'!$B$9,Paramètres!$A$1:$I$89,3,0)*0.475*44/12</f>
        <v>1.706902306227131E-14</v>
      </c>
      <c r="AC128" s="24">
        <f t="shared" si="57"/>
        <v>0.12464377327175832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293.33333333333616</v>
      </c>
      <c r="AN128" s="62">
        <f ca="1">AVERAGE(OFFSET($AM$3,0,0,'Données projet'!$E$10+1,1))-AVERAGE(OFFSET($H$3,0,0,'Données projet'!$E$10+1,1))</f>
        <v>371.95849973474657</v>
      </c>
      <c r="AO128" s="62">
        <f t="shared" si="90"/>
        <v>233.32640143610547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9.6140327366348638E-14</v>
      </c>
      <c r="AX128" s="23">
        <f t="shared" si="60"/>
        <v>9.6140327366348638E-14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1.1882548278663309E-13</v>
      </c>
      <c r="BF128" s="14">
        <f t="shared" si="91"/>
        <v>1.7496137229198366E-12</v>
      </c>
      <c r="BG128" s="22">
        <f t="shared" si="61"/>
        <v>3.2541982832721012E-12</v>
      </c>
      <c r="BH128" s="62">
        <f t="shared" si="62"/>
        <v>293.33333333333655</v>
      </c>
      <c r="BI128" s="62">
        <f ca="1">AVERAGE(OFFSET($BH$3,0,0,'Données projet'!$E$11+1,1))-AVERAGE(OFFSET($H$3,0,0,'Données projet'!$E$11+1,1))</f>
        <v>423.40903481736001</v>
      </c>
      <c r="BJ128" s="62">
        <f t="shared" si="92"/>
        <v>263.03039552465799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1.1105865402664498E-13</v>
      </c>
      <c r="BS128" s="24">
        <f t="shared" si="63"/>
        <v>1.1105865402664498E-13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4.1500000000000004</v>
      </c>
      <c r="BY128" s="13">
        <f>IF('Données projet'!$A$114&gt;35,BY127+BX128-CG127,IF(A128&lt;'Données projet'!$A$114,$BV$205^A128,IF(A128='Données projet'!$A$114,'Données projet'!$B$114,BY127+BX128-CG127)))</f>
        <v>315.4999999999996</v>
      </c>
      <c r="BZ128" s="14">
        <f>BY128*VLOOKUP('Données projet'!$B$12,Paramètres!$A$1:$I$89,3,0)*VLOOKUP('Données projet'!$B$12,Paramètres!$A$1:$I$89,5,0)</f>
        <v>147.65399999999983</v>
      </c>
      <c r="CA128" s="14">
        <f t="shared" si="93"/>
        <v>38.044960567685848</v>
      </c>
      <c r="CB128" s="22">
        <f t="shared" si="64"/>
        <v>323.42568965538584</v>
      </c>
      <c r="CC128" s="62">
        <f t="shared" si="65"/>
        <v>616.75902298871915</v>
      </c>
      <c r="CD128" s="62">
        <f ca="1">AVERAGE(OFFSET($CC$3,0,0,'Données projet'!$E$12+1,1))-AVERAGE(OFFSET($H$3,0,0,'Données projet'!$E$12+1,1))</f>
        <v>264.88170274686757</v>
      </c>
      <c r="CE128" s="62">
        <f t="shared" si="94"/>
        <v>160.81140876142001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411.60020200960821</v>
      </c>
      <c r="CZ128" s="62">
        <f t="shared" si="96"/>
        <v>261.95434270986397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2.0515322294140288E-14</v>
      </c>
      <c r="DI128" s="24">
        <f t="shared" si="69"/>
        <v>2.0515322294140288E-14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1.4210854715202004E-13</v>
      </c>
      <c r="DP128" s="18">
        <f>DO128*VLOOKUP('Données projet'!$B$14,Paramètres!$A$1:$I$89,3,0)*VLOOKUP('Données projet'!$B$14,Paramètres!$A$1:$I$89,5,0)</f>
        <v>9.3109520094003535E-14</v>
      </c>
      <c r="DQ128" s="14">
        <f t="shared" si="97"/>
        <v>1.4104420303656732E-12</v>
      </c>
      <c r="DR128" s="22">
        <f t="shared" si="70"/>
        <v>2.6186856170506036E-12</v>
      </c>
      <c r="DS128" s="62">
        <f t="shared" si="71"/>
        <v>293.33333333333593</v>
      </c>
      <c r="DT128" s="62">
        <f ca="1">AVERAGE(OFFSET($DS$3,0,0,'Données projet'!$E$14+1,1))-AVERAGE(OFFSET($H$3,0,0,'Données projet'!$E$14+1,1))</f>
        <v>240.134073924311</v>
      </c>
      <c r="DU128" s="62">
        <f t="shared" si="98"/>
        <v>237.10378497981156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0.19941881054996327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8.4011103079346454E-14</v>
      </c>
      <c r="ED128" s="24">
        <f t="shared" si="72"/>
        <v>0.19941881055004729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4.4337866711430253E-14</v>
      </c>
      <c r="P129" s="14">
        <f t="shared" si="87"/>
        <v>7.3222115536967035E-13</v>
      </c>
      <c r="Q129" s="22">
        <f t="shared" si="107"/>
        <v>1.3525069634579169E-12</v>
      </c>
      <c r="R129" s="62">
        <f t="shared" si="55"/>
        <v>293.33333333333468</v>
      </c>
      <c r="S129" s="62">
        <f ca="1">AVERAGE(OFFSET($R$3,0,0,'Données projet'!$E$9+1,1))-AVERAGE(OFFSET($H$3,0,0,'Données projet'!$E$9+1,1))</f>
        <v>288.82868507674738</v>
      </c>
      <c r="T129" s="62">
        <f t="shared" si="88"/>
        <v>283.48738729114024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0.12123538273689433</v>
      </c>
      <c r="AB129" s="23">
        <f>EXP(-LN(2)/2)*AB128+(1-EXP(-LN(2)/2))/(LN(2)/2)*V129*Y129*VLOOKUP('Données projet'!$B$9,Paramètres!$A$1:$I$89,3,0)*0.475*44/12</f>
        <v>1.2069621955561612E-14</v>
      </c>
      <c r="AC129" s="24">
        <f t="shared" si="57"/>
        <v>0.1212353827369064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293.33333333333616</v>
      </c>
      <c r="AN129" s="62">
        <f ca="1">AVERAGE(OFFSET($AM$3,0,0,'Données projet'!$E$10+1,1))-AVERAGE(OFFSET($H$3,0,0,'Données projet'!$E$10+1,1))</f>
        <v>371.95849973474657</v>
      </c>
      <c r="AO129" s="62">
        <f t="shared" si="90"/>
        <v>233.32640143610547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6.7981477426239732E-14</v>
      </c>
      <c r="AX129" s="23">
        <f t="shared" si="60"/>
        <v>6.7981477426239732E-14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1.1882548278663309E-13</v>
      </c>
      <c r="BF129" s="14">
        <f t="shared" si="91"/>
        <v>1.7496137229198366E-12</v>
      </c>
      <c r="BG129" s="22">
        <f t="shared" si="61"/>
        <v>3.2541982832721012E-12</v>
      </c>
      <c r="BH129" s="62">
        <f t="shared" si="62"/>
        <v>293.33333333333655</v>
      </c>
      <c r="BI129" s="62">
        <f ca="1">AVERAGE(OFFSET($BH$3,0,0,'Données projet'!$E$11+1,1))-AVERAGE(OFFSET($H$3,0,0,'Données projet'!$E$11+1,1))</f>
        <v>423.40903481736001</v>
      </c>
      <c r="BJ129" s="62">
        <f t="shared" si="92"/>
        <v>263.03039552465799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7.8530327371691346E-14</v>
      </c>
      <c r="BS129" s="24">
        <f t="shared" si="63"/>
        <v>7.8530327371691346E-14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4.1500000000000004</v>
      </c>
      <c r="BY129" s="13">
        <f>IF('Données projet'!$A$114&gt;35,BY128+BX129-CG128,IF(A129&lt;'Données projet'!$A$114,$BV$205^A129,IF(A129='Données projet'!$A$114,'Données projet'!$B$114,BY128+BX129-CG128)))</f>
        <v>319.64999999999958</v>
      </c>
      <c r="BZ129" s="14">
        <f>BY129*VLOOKUP('Données projet'!$B$12,Paramètres!$A$1:$I$89,3,0)*VLOOKUP('Données projet'!$B$12,Paramètres!$A$1:$I$89,5,0)</f>
        <v>149.59619999999981</v>
      </c>
      <c r="CA129" s="14">
        <f t="shared" si="93"/>
        <v>38.486806230222719</v>
      </c>
      <c r="CB129" s="22">
        <f t="shared" si="64"/>
        <v>327.5779025176376</v>
      </c>
      <c r="CC129" s="62">
        <f t="shared" si="65"/>
        <v>620.91123585097091</v>
      </c>
      <c r="CD129" s="62">
        <f ca="1">AVERAGE(OFFSET($CC$3,0,0,'Données projet'!$E$12+1,1))-AVERAGE(OFFSET($H$3,0,0,'Données projet'!$E$12+1,1))</f>
        <v>264.88170274686757</v>
      </c>
      <c r="CE129" s="62">
        <f t="shared" si="94"/>
        <v>160.81140876142001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411.60020200960821</v>
      </c>
      <c r="CZ129" s="62">
        <f t="shared" si="96"/>
        <v>261.95434270986397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1.4506523512414156E-14</v>
      </c>
      <c r="DI129" s="24">
        <f t="shared" si="69"/>
        <v>1.4506523512414156E-14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1.4210854715202004E-13</v>
      </c>
      <c r="DP129" s="18">
        <f>DO129*VLOOKUP('Données projet'!$B$14,Paramètres!$A$1:$I$89,3,0)*VLOOKUP('Données projet'!$B$14,Paramètres!$A$1:$I$89,5,0)</f>
        <v>9.3109520094003535E-14</v>
      </c>
      <c r="DQ129" s="14">
        <f t="shared" si="97"/>
        <v>1.4104420303656732E-12</v>
      </c>
      <c r="DR129" s="22">
        <f t="shared" si="70"/>
        <v>2.6186856170506036E-12</v>
      </c>
      <c r="DS129" s="62">
        <f t="shared" si="71"/>
        <v>293.33333333333593</v>
      </c>
      <c r="DT129" s="62">
        <f ca="1">AVERAGE(OFFSET($DS$3,0,0,'Données projet'!$E$14+1,1))-AVERAGE(OFFSET($H$3,0,0,'Données projet'!$E$14+1,1))</f>
        <v>240.134073924311</v>
      </c>
      <c r="DU129" s="62">
        <f t="shared" si="98"/>
        <v>237.10378497981156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0.19550832930854262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5.9404820682367922E-14</v>
      </c>
      <c r="ED129" s="24">
        <f t="shared" si="72"/>
        <v>0.19550832930860201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4.4337866711430253E-14</v>
      </c>
      <c r="P130" s="14">
        <f t="shared" si="87"/>
        <v>7.3222115536967035E-13</v>
      </c>
      <c r="Q130" s="22">
        <f t="shared" si="107"/>
        <v>1.3525069634579169E-12</v>
      </c>
      <c r="R130" s="62">
        <f t="shared" si="55"/>
        <v>293.33333333333468</v>
      </c>
      <c r="S130" s="62">
        <f ca="1">AVERAGE(OFFSET($R$3,0,0,'Données projet'!$E$9+1,1))-AVERAGE(OFFSET($H$3,0,0,'Données projet'!$E$9+1,1))</f>
        <v>288.82868507674738</v>
      </c>
      <c r="T130" s="62">
        <f t="shared" si="88"/>
        <v>283.48738729114024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0.11792019482046226</v>
      </c>
      <c r="AB130" s="23">
        <f>EXP(-LN(2)/2)*AB129+(1-EXP(-LN(2)/2))/(LN(2)/2)*V130*Y130*VLOOKUP('Données projet'!$B$9,Paramètres!$A$1:$I$89,3,0)*0.475*44/12</f>
        <v>8.5345115311356548E-15</v>
      </c>
      <c r="AC130" s="24">
        <f t="shared" si="57"/>
        <v>0.11792019482047079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293.33333333333616</v>
      </c>
      <c r="AN130" s="62">
        <f ca="1">AVERAGE(OFFSET($AM$3,0,0,'Données projet'!$E$10+1,1))-AVERAGE(OFFSET($H$3,0,0,'Données projet'!$E$10+1,1))</f>
        <v>371.95849973474657</v>
      </c>
      <c r="AO130" s="62">
        <f t="shared" si="90"/>
        <v>233.32640143610547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4.8070163683174319E-14</v>
      </c>
      <c r="AX130" s="23">
        <f t="shared" si="60"/>
        <v>4.8070163683174319E-14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1.1882548278663309E-13</v>
      </c>
      <c r="BF130" s="14">
        <f t="shared" si="91"/>
        <v>1.7496137229198366E-12</v>
      </c>
      <c r="BG130" s="22">
        <f t="shared" si="61"/>
        <v>3.2541982832721012E-12</v>
      </c>
      <c r="BH130" s="62">
        <f t="shared" si="62"/>
        <v>293.33333333333655</v>
      </c>
      <c r="BI130" s="62">
        <f ca="1">AVERAGE(OFFSET($BH$3,0,0,'Données projet'!$E$11+1,1))-AVERAGE(OFFSET($H$3,0,0,'Données projet'!$E$11+1,1))</f>
        <v>423.40903481736001</v>
      </c>
      <c r="BJ130" s="62">
        <f t="shared" si="92"/>
        <v>263.03039552465799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5.5529327013322503E-14</v>
      </c>
      <c r="BS130" s="24">
        <f t="shared" si="63"/>
        <v>5.5529327013322503E-14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4.1500000000000004</v>
      </c>
      <c r="BY130" s="13">
        <f>IF('Données projet'!$A$114&gt;35,BY129+BX130-CG129,IF(A130&lt;'Données projet'!$A$114,$BV$205^A130,IF(A130='Données projet'!$A$114,'Données projet'!$B$114,BY129+BX130-CG129)))</f>
        <v>323.79999999999956</v>
      </c>
      <c r="BZ130" s="14">
        <f>BY130*VLOOKUP('Données projet'!$B$12,Paramètres!$A$1:$I$89,3,0)*VLOOKUP('Données projet'!$B$12,Paramètres!$A$1:$I$89,5,0)</f>
        <v>151.5383999999998</v>
      </c>
      <c r="CA130" s="14">
        <f t="shared" si="93"/>
        <v>38.927984653255479</v>
      </c>
      <c r="CB130" s="22">
        <f t="shared" si="64"/>
        <v>331.72895327108625</v>
      </c>
      <c r="CC130" s="62">
        <f t="shared" si="65"/>
        <v>625.06228660441957</v>
      </c>
      <c r="CD130" s="62">
        <f ca="1">AVERAGE(OFFSET($CC$3,0,0,'Données projet'!$E$12+1,1))-AVERAGE(OFFSET($H$3,0,0,'Données projet'!$E$12+1,1))</f>
        <v>264.88170274686757</v>
      </c>
      <c r="CE130" s="62">
        <f t="shared" si="94"/>
        <v>160.81140876142001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411.60020200960821</v>
      </c>
      <c r="CZ130" s="62">
        <f t="shared" si="96"/>
        <v>261.95434270986397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1.0257661147070144E-14</v>
      </c>
      <c r="DI130" s="24">
        <f t="shared" si="69"/>
        <v>1.0257661147070144E-14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1.4210854715202004E-13</v>
      </c>
      <c r="DP130" s="18">
        <f>DO130*VLOOKUP('Données projet'!$B$14,Paramètres!$A$1:$I$89,3,0)*VLOOKUP('Données projet'!$B$14,Paramètres!$A$1:$I$89,5,0)</f>
        <v>9.3109520094003535E-14</v>
      </c>
      <c r="DQ130" s="14">
        <f t="shared" si="97"/>
        <v>1.4104420303656732E-12</v>
      </c>
      <c r="DR130" s="22">
        <f t="shared" si="70"/>
        <v>2.6186856170506036E-12</v>
      </c>
      <c r="DS130" s="62">
        <f t="shared" si="71"/>
        <v>293.33333333333593</v>
      </c>
      <c r="DT130" s="62">
        <f ca="1">AVERAGE(OFFSET($DS$3,0,0,'Données projet'!$E$14+1,1))-AVERAGE(OFFSET($H$3,0,0,'Données projet'!$E$14+1,1))</f>
        <v>240.134073924311</v>
      </c>
      <c r="DU130" s="62">
        <f t="shared" si="98"/>
        <v>237.10378497981156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0.19167453021910819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4.2005551539673227E-14</v>
      </c>
      <c r="ED130" s="24">
        <f t="shared" si="72"/>
        <v>0.19167453021915018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4.4337866711430253E-14</v>
      </c>
      <c r="P131" s="14">
        <f t="shared" si="87"/>
        <v>7.3222115536967035E-13</v>
      </c>
      <c r="Q131" s="22">
        <f t="shared" ref="Q131:Q153" si="108">(O131+P131)*0.475*44/12</f>
        <v>1.3525069634579169E-12</v>
      </c>
      <c r="R131" s="62">
        <f t="shared" ref="R131:R194" si="109">Q131+(I131+J131)*44/12</f>
        <v>293.33333333333468</v>
      </c>
      <c r="S131" s="62">
        <f ca="1">AVERAGE(OFFSET($R$3,0,0,'Données projet'!$E$9+1,1))-AVERAGE(OFFSET($H$3,0,0,'Données projet'!$E$9+1,1))</f>
        <v>288.82868507674738</v>
      </c>
      <c r="T131" s="62">
        <f t="shared" si="88"/>
        <v>283.48738729114024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0.11469566089194318</v>
      </c>
      <c r="AB131" s="23">
        <f>EXP(-LN(2)/2)*AB130+(1-EXP(-LN(2)/2))/(LN(2)/2)*V131*Y131*VLOOKUP('Données projet'!$B$9,Paramètres!$A$1:$I$89,3,0)*0.475*44/12</f>
        <v>6.0348109777808062E-15</v>
      </c>
      <c r="AC131" s="24">
        <f t="shared" si="57"/>
        <v>0.11469566089194921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293.33333333333616</v>
      </c>
      <c r="AN131" s="62">
        <f ca="1">AVERAGE(OFFSET($AM$3,0,0,'Données projet'!$E$10+1,1))-AVERAGE(OFFSET($H$3,0,0,'Données projet'!$E$10+1,1))</f>
        <v>371.95849973474657</v>
      </c>
      <c r="AO131" s="62">
        <f t="shared" si="90"/>
        <v>233.32640143610547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3.3990738713119866E-14</v>
      </c>
      <c r="AX131" s="23">
        <f t="shared" si="60"/>
        <v>3.3990738713119866E-14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1.1882548278663309E-13</v>
      </c>
      <c r="BF131" s="14">
        <f t="shared" si="91"/>
        <v>1.7496137229198366E-12</v>
      </c>
      <c r="BG131" s="22">
        <f t="shared" si="61"/>
        <v>3.2541982832721012E-12</v>
      </c>
      <c r="BH131" s="62">
        <f t="shared" si="62"/>
        <v>293.33333333333655</v>
      </c>
      <c r="BI131" s="62">
        <f ca="1">AVERAGE(OFFSET($BH$3,0,0,'Données projet'!$E$11+1,1))-AVERAGE(OFFSET($H$3,0,0,'Données projet'!$E$11+1,1))</f>
        <v>423.40903481736001</v>
      </c>
      <c r="BJ131" s="62">
        <f t="shared" si="92"/>
        <v>263.03039552465799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3.926516368584568E-14</v>
      </c>
      <c r="BS131" s="24">
        <f t="shared" si="63"/>
        <v>3.926516368584568E-14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4.1500000000000004</v>
      </c>
      <c r="BY131" s="13">
        <f>IF('Données projet'!$A$114&gt;35,BY130+BX131-CG130,IF(A131&lt;'Données projet'!$A$114,$BV$205^A131,IF(A131='Données projet'!$A$114,'Données projet'!$B$114,BY130+BX131-CG130)))</f>
        <v>327.94999999999953</v>
      </c>
      <c r="BZ131" s="14">
        <f>BY131*VLOOKUP('Données projet'!$B$12,Paramètres!$A$1:$I$89,3,0)*VLOOKUP('Données projet'!$B$12,Paramètres!$A$1:$I$89,5,0)</f>
        <v>153.48059999999978</v>
      </c>
      <c r="CA131" s="14">
        <f t="shared" si="93"/>
        <v>39.36850537732149</v>
      </c>
      <c r="CB131" s="22">
        <f t="shared" si="64"/>
        <v>335.87885853216784</v>
      </c>
      <c r="CC131" s="62">
        <f t="shared" si="65"/>
        <v>629.21219186550115</v>
      </c>
      <c r="CD131" s="62">
        <f ca="1">AVERAGE(OFFSET($CC$3,0,0,'Données projet'!$E$12+1,1))-AVERAGE(OFFSET($H$3,0,0,'Données projet'!$E$12+1,1))</f>
        <v>264.88170274686757</v>
      </c>
      <c r="CE131" s="62">
        <f t="shared" si="94"/>
        <v>160.81140876142001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411.60020200960821</v>
      </c>
      <c r="CZ131" s="62">
        <f t="shared" si="96"/>
        <v>261.95434270986397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7.2532617562070782E-15</v>
      </c>
      <c r="DI131" s="24">
        <f t="shared" si="69"/>
        <v>7.2532617562070782E-15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1.4210854715202004E-13</v>
      </c>
      <c r="DP131" s="18">
        <f>DO131*VLOOKUP('Données projet'!$B$14,Paramètres!$A$1:$I$89,3,0)*VLOOKUP('Données projet'!$B$14,Paramètres!$A$1:$I$89,5,0)</f>
        <v>9.3109520094003535E-14</v>
      </c>
      <c r="DQ131" s="14">
        <f t="shared" si="97"/>
        <v>1.4104420303656732E-12</v>
      </c>
      <c r="DR131" s="22">
        <f t="shared" si="70"/>
        <v>2.6186856170506036E-12</v>
      </c>
      <c r="DS131" s="62">
        <f t="shared" si="71"/>
        <v>293.33333333333593</v>
      </c>
      <c r="DT131" s="62">
        <f ca="1">AVERAGE(OFFSET($DS$3,0,0,'Données projet'!$E$14+1,1))-AVERAGE(OFFSET($H$3,0,0,'Données projet'!$E$14+1,1))</f>
        <v>240.134073924311</v>
      </c>
      <c r="DU131" s="62">
        <f t="shared" si="98"/>
        <v>237.10378497981156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0.18791590959143101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2.9702410341183961E-14</v>
      </c>
      <c r="ED131" s="24">
        <f t="shared" si="72"/>
        <v>0.18791590959146071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4.4337866711430253E-14</v>
      </c>
      <c r="P132" s="14">
        <f t="shared" si="87"/>
        <v>7.3222115536967035E-13</v>
      </c>
      <c r="Q132" s="22">
        <f t="shared" si="108"/>
        <v>1.3525069634579169E-12</v>
      </c>
      <c r="R132" s="62">
        <f t="shared" si="109"/>
        <v>293.33333333333468</v>
      </c>
      <c r="S132" s="62">
        <f ca="1">AVERAGE(OFFSET($R$3,0,0,'Données projet'!$E$9+1,1))-AVERAGE(OFFSET($H$3,0,0,'Données projet'!$E$9+1,1))</f>
        <v>288.82868507674738</v>
      </c>
      <c r="T132" s="62">
        <f t="shared" si="88"/>
        <v>283.48738729114024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0.11155930201327033</v>
      </c>
      <c r="AB132" s="23">
        <f>EXP(-LN(2)/2)*AB131+(1-EXP(-LN(2)/2))/(LN(2)/2)*V132*Y132*VLOOKUP('Données projet'!$B$9,Paramètres!$A$1:$I$89,3,0)*0.475*44/12</f>
        <v>4.2672557655678274E-15</v>
      </c>
      <c r="AC132" s="24">
        <f t="shared" ref="AC132:AC153" si="111">SUM(Z132:AB132)</f>
        <v>0.11155930201327459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293.33333333333616</v>
      </c>
      <c r="AN132" s="62">
        <f ca="1">AVERAGE(OFFSET($AM$3,0,0,'Données projet'!$E$10+1,1))-AVERAGE(OFFSET($H$3,0,0,'Données projet'!$E$10+1,1))</f>
        <v>371.95849973474657</v>
      </c>
      <c r="AO132" s="62">
        <f t="shared" si="90"/>
        <v>233.32640143610547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2.4035081841587159E-14</v>
      </c>
      <c r="AX132" s="23">
        <f t="shared" ref="AX132:AX153" si="114">SUM(AU132:AW132)</f>
        <v>2.4035081841587159E-14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1.1882548278663309E-13</v>
      </c>
      <c r="BF132" s="14">
        <f t="shared" si="91"/>
        <v>1.7496137229198366E-12</v>
      </c>
      <c r="BG132" s="22">
        <f t="shared" ref="BG132:BG153" si="115">(BE132+BF132)*0.475*44/12</f>
        <v>3.2541982832721012E-12</v>
      </c>
      <c r="BH132" s="62">
        <f t="shared" ref="BH132:BH195" si="116">BG132+(AY132+AZ132)*44/12</f>
        <v>293.33333333333655</v>
      </c>
      <c r="BI132" s="62">
        <f ca="1">AVERAGE(OFFSET($BH$3,0,0,'Données projet'!$E$11+1,1))-AVERAGE(OFFSET($H$3,0,0,'Données projet'!$E$11+1,1))</f>
        <v>423.40903481736001</v>
      </c>
      <c r="BJ132" s="62">
        <f t="shared" si="92"/>
        <v>263.03039552465799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2.7764663506661255E-14</v>
      </c>
      <c r="BS132" s="24">
        <f t="shared" ref="BS132:BS153" si="117">SUM(BP132:BR132)</f>
        <v>2.7764663506661255E-14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4.1500000000000004</v>
      </c>
      <c r="BY132" s="13">
        <f>IF('Données projet'!$A$114&gt;35,BY131+BX132-CG131,IF(A132&lt;'Données projet'!$A$114,$BV$205^A132,IF(A132='Données projet'!$A$114,'Données projet'!$B$114,BY131+BX132-CG131)))</f>
        <v>332.09999999999951</v>
      </c>
      <c r="BZ132" s="14">
        <f>BY132*VLOOKUP('Données projet'!$B$12,Paramètres!$A$1:$I$89,3,0)*VLOOKUP('Données projet'!$B$12,Paramètres!$A$1:$I$89,5,0)</f>
        <v>155.42279999999977</v>
      </c>
      <c r="CA132" s="14">
        <f t="shared" si="93"/>
        <v>39.808377687614083</v>
      </c>
      <c r="CB132" s="22">
        <f t="shared" ref="CB132:CB153" si="118">(BZ132+CA132)*0.475*44/12</f>
        <v>340.02763447259417</v>
      </c>
      <c r="CC132" s="62">
        <f t="shared" ref="CC132:CC195" si="119">CB132+(BT132+BU132)*44/12</f>
        <v>633.36096780592743</v>
      </c>
      <c r="CD132" s="62">
        <f ca="1">AVERAGE(OFFSET($CC$3,0,0,'Données projet'!$E$12+1,1))-AVERAGE(OFFSET($H$3,0,0,'Données projet'!$E$12+1,1))</f>
        <v>264.88170274686757</v>
      </c>
      <c r="CE132" s="62">
        <f t="shared" si="94"/>
        <v>160.81140876142001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411.60020200960821</v>
      </c>
      <c r="CZ132" s="62">
        <f t="shared" si="96"/>
        <v>261.95434270986397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5.1288305735350719E-15</v>
      </c>
      <c r="DI132" s="24">
        <f t="shared" ref="DI132:DI153" si="123">SUM(DF132:DH132)</f>
        <v>5.1288305735350719E-15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1.4210854715202004E-13</v>
      </c>
      <c r="DP132" s="18">
        <f>DO132*VLOOKUP('Données projet'!$B$14,Paramètres!$A$1:$I$89,3,0)*VLOOKUP('Données projet'!$B$14,Paramètres!$A$1:$I$89,5,0)</f>
        <v>9.3109520094003535E-14</v>
      </c>
      <c r="DQ132" s="14">
        <f t="shared" si="97"/>
        <v>1.4104420303656732E-12</v>
      </c>
      <c r="DR132" s="22">
        <f t="shared" ref="DR132:DR153" si="124">(DP132+DQ132)*0.475*44/12</f>
        <v>2.6186856170506036E-12</v>
      </c>
      <c r="DS132" s="62">
        <f t="shared" ref="DS132:DS195" si="125">DR132+(DJ132+DK132)*44/12</f>
        <v>293.33333333333593</v>
      </c>
      <c r="DT132" s="62">
        <f ca="1">AVERAGE(OFFSET($DS$3,0,0,'Données projet'!$E$14+1,1))-AVERAGE(OFFSET($H$3,0,0,'Données projet'!$E$14+1,1))</f>
        <v>240.134073924311</v>
      </c>
      <c r="DU132" s="62">
        <f t="shared" si="98"/>
        <v>237.10378497981156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0.18423099322173037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2.1002775769836614E-14</v>
      </c>
      <c r="ED132" s="24">
        <f t="shared" ref="ED132:ED153" si="126">SUM(EA132:EC132)</f>
        <v>0.18423099322175138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4.4337866711430253E-14</v>
      </c>
      <c r="P133" s="14">
        <f t="shared" ref="P133:P196" si="141">EXP(-1.0587+0.8836*LN(O133)+0.284)</f>
        <v>7.3222115536967035E-13</v>
      </c>
      <c r="Q133" s="22">
        <f t="shared" si="108"/>
        <v>1.3525069634579169E-12</v>
      </c>
      <c r="R133" s="62">
        <f t="shared" si="109"/>
        <v>293.33333333333468</v>
      </c>
      <c r="S133" s="62">
        <f ca="1">AVERAGE(OFFSET($R$3,0,0,'Données projet'!$E$9+1,1))-AVERAGE(OFFSET($H$3,0,0,'Données projet'!$E$9+1,1))</f>
        <v>288.82868507674738</v>
      </c>
      <c r="T133" s="62">
        <f t="shared" ref="T133:T196" si="142">$T$3</f>
        <v>283.48738729114024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0.10850870703306872</v>
      </c>
      <c r="AB133" s="23">
        <f>EXP(-LN(2)/2)*AB132+(1-EXP(-LN(2)/2))/(LN(2)/2)*V133*Y133*VLOOKUP('Données projet'!$B$9,Paramètres!$A$1:$I$89,3,0)*0.475*44/12</f>
        <v>3.0174054888904031E-15</v>
      </c>
      <c r="AC133" s="24">
        <f t="shared" si="111"/>
        <v>0.10850870703307174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293.33333333333616</v>
      </c>
      <c r="AN133" s="62">
        <f ca="1">AVERAGE(OFFSET($AM$3,0,0,'Données projet'!$E$10+1,1))-AVERAGE(OFFSET($H$3,0,0,'Données projet'!$E$10+1,1))</f>
        <v>371.95849973474657</v>
      </c>
      <c r="AO133" s="62">
        <f t="shared" ref="AO133:AO196" si="144">$AO$3</f>
        <v>233.32640143610547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1.6995369356559933E-14</v>
      </c>
      <c r="AX133" s="23">
        <f t="shared" si="114"/>
        <v>1.6995369356559933E-14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1.1882548278663309E-13</v>
      </c>
      <c r="BF133" s="14">
        <f t="shared" ref="BF133:BF153" si="145">EXP(-1.0587+0.8836*LN(BE133)+0.284)</f>
        <v>1.7496137229198366E-12</v>
      </c>
      <c r="BG133" s="22">
        <f t="shared" si="115"/>
        <v>3.2541982832721012E-12</v>
      </c>
      <c r="BH133" s="62">
        <f t="shared" si="116"/>
        <v>293.33333333333655</v>
      </c>
      <c r="BI133" s="62">
        <f ca="1">AVERAGE(OFFSET($BH$3,0,0,'Données projet'!$E$11+1,1))-AVERAGE(OFFSET($H$3,0,0,'Données projet'!$E$11+1,1))</f>
        <v>423.40903481736001</v>
      </c>
      <c r="BJ133" s="62">
        <f t="shared" ref="BJ133:BJ196" si="146">$BJ$3</f>
        <v>263.03039552465799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1.9632581842922843E-14</v>
      </c>
      <c r="BS133" s="24">
        <f t="shared" si="117"/>
        <v>1.9632581842922843E-14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4.1500000000000004</v>
      </c>
      <c r="BY133" s="13">
        <f>IF('Données projet'!$A$114&gt;35,BY132+BX133-CG132,IF(A133&lt;'Données projet'!$A$114,$BV$205^A133,IF(A133='Données projet'!$A$114,'Données projet'!$B$114,BY132+BX133-CG132)))</f>
        <v>336.24999999999949</v>
      </c>
      <c r="BZ133" s="14">
        <f>BY133*VLOOKUP('Données projet'!$B$12,Paramètres!$A$1:$I$89,3,0)*VLOOKUP('Données projet'!$B$12,Paramètres!$A$1:$I$89,5,0)</f>
        <v>157.36499999999975</v>
      </c>
      <c r="CA133" s="14">
        <f t="shared" ref="CA133:CA153" si="147">EXP(-1.0587+0.8836*LN(BZ133)+0.284)</f>
        <v>40.24761062392033</v>
      </c>
      <c r="CB133" s="22">
        <f t="shared" si="118"/>
        <v>344.17529683666083</v>
      </c>
      <c r="CC133" s="62">
        <f t="shared" si="119"/>
        <v>637.50863016999415</v>
      </c>
      <c r="CD133" s="62">
        <f ca="1">AVERAGE(OFFSET($CC$3,0,0,'Données projet'!$E$12+1,1))-AVERAGE(OFFSET($H$3,0,0,'Données projet'!$E$12+1,1))</f>
        <v>264.88170274686757</v>
      </c>
      <c r="CE133" s="62">
        <f t="shared" ref="CE133:CE196" si="148">$CE$3</f>
        <v>160.81140876142001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411.60020200960821</v>
      </c>
      <c r="CZ133" s="62">
        <f t="shared" ref="CZ133:CZ196" si="150">$CZ$3</f>
        <v>261.95434270986397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3.6266308781035391E-15</v>
      </c>
      <c r="DI133" s="24">
        <f t="shared" si="123"/>
        <v>3.6266308781035391E-15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1.4210854715202004E-13</v>
      </c>
      <c r="DP133" s="18">
        <f>DO133*VLOOKUP('Données projet'!$B$14,Paramètres!$A$1:$I$89,3,0)*VLOOKUP('Données projet'!$B$14,Paramètres!$A$1:$I$89,5,0)</f>
        <v>9.3109520094003535E-14</v>
      </c>
      <c r="DQ133" s="14">
        <f t="shared" ref="DQ133:DQ153" si="151">EXP(-1.0587+0.8836*LN(DP133)+0.284)</f>
        <v>1.4104420303656732E-12</v>
      </c>
      <c r="DR133" s="22">
        <f t="shared" si="124"/>
        <v>2.6186856170506036E-12</v>
      </c>
      <c r="DS133" s="62">
        <f t="shared" si="125"/>
        <v>293.33333333333593</v>
      </c>
      <c r="DT133" s="62">
        <f ca="1">AVERAGE(OFFSET($DS$3,0,0,'Données projet'!$E$14+1,1))-AVERAGE(OFFSET($H$3,0,0,'Données projet'!$E$14+1,1))</f>
        <v>240.134073924311</v>
      </c>
      <c r="DU133" s="62">
        <f t="shared" ref="DU133:DU196" si="152">$DU$3</f>
        <v>237.10378497981156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0.18061833581446249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1.485120517059198E-14</v>
      </c>
      <c r="ED133" s="24">
        <f t="shared" si="126"/>
        <v>0.18061833581447734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4.4337866711430253E-14</v>
      </c>
      <c r="P134" s="14">
        <f t="shared" si="141"/>
        <v>7.3222115536967035E-13</v>
      </c>
      <c r="Q134" s="22">
        <f t="shared" si="108"/>
        <v>1.3525069634579169E-12</v>
      </c>
      <c r="R134" s="62">
        <f t="shared" si="109"/>
        <v>293.33333333333468</v>
      </c>
      <c r="S134" s="62">
        <f ca="1">AVERAGE(OFFSET($R$3,0,0,'Données projet'!$E$9+1,1))-AVERAGE(OFFSET($H$3,0,0,'Données projet'!$E$9+1,1))</f>
        <v>288.82868507674738</v>
      </c>
      <c r="T134" s="62">
        <f t="shared" si="142"/>
        <v>283.48738729114024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0.10554153073302455</v>
      </c>
      <c r="AB134" s="23">
        <f>EXP(-LN(2)/2)*AB133+(1-EXP(-LN(2)/2))/(LN(2)/2)*V134*Y134*VLOOKUP('Données projet'!$B$9,Paramètres!$A$1:$I$89,3,0)*0.475*44/12</f>
        <v>2.1336278827839137E-15</v>
      </c>
      <c r="AC134" s="24">
        <f t="shared" si="111"/>
        <v>0.10554153073302669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293.33333333333616</v>
      </c>
      <c r="AN134" s="62">
        <f ca="1">AVERAGE(OFFSET($AM$3,0,0,'Données projet'!$E$10+1,1))-AVERAGE(OFFSET($H$3,0,0,'Données projet'!$E$10+1,1))</f>
        <v>371.95849973474657</v>
      </c>
      <c r="AO134" s="62">
        <f t="shared" si="144"/>
        <v>233.32640143610547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1.201754092079358E-14</v>
      </c>
      <c r="AX134" s="23">
        <f t="shared" si="114"/>
        <v>1.201754092079358E-14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1.1882548278663309E-13</v>
      </c>
      <c r="BF134" s="14">
        <f t="shared" si="145"/>
        <v>1.7496137229198366E-12</v>
      </c>
      <c r="BG134" s="22">
        <f t="shared" si="115"/>
        <v>3.2541982832721012E-12</v>
      </c>
      <c r="BH134" s="62">
        <f t="shared" si="116"/>
        <v>293.33333333333655</v>
      </c>
      <c r="BI134" s="62">
        <f ca="1">AVERAGE(OFFSET($BH$3,0,0,'Données projet'!$E$11+1,1))-AVERAGE(OFFSET($H$3,0,0,'Données projet'!$E$11+1,1))</f>
        <v>423.40903481736001</v>
      </c>
      <c r="BJ134" s="62">
        <f t="shared" si="146"/>
        <v>263.03039552465799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1.3882331753330629E-14</v>
      </c>
      <c r="BS134" s="24">
        <f t="shared" si="117"/>
        <v>1.3882331753330629E-14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4.1500000000000004</v>
      </c>
      <c r="BY134" s="13">
        <f>IF('Données projet'!$A$114&gt;35,BY133+BX134-CG133,IF(A134&lt;'Données projet'!$A$114,$BV$205^A134,IF(A134='Données projet'!$A$114,'Données projet'!$B$114,BY133+BX134-CG133)))</f>
        <v>340.39999999999947</v>
      </c>
      <c r="BZ134" s="14">
        <f>BY134*VLOOKUP('Données projet'!$B$12,Paramètres!$A$1:$I$89,3,0)*VLOOKUP('Données projet'!$B$12,Paramètres!$A$1:$I$89,5,0)</f>
        <v>159.30719999999974</v>
      </c>
      <c r="CA134" s="14">
        <f t="shared" si="147"/>
        <v>40.686212990054017</v>
      </c>
      <c r="CB134" s="22">
        <f t="shared" si="118"/>
        <v>348.32186095767696</v>
      </c>
      <c r="CC134" s="62">
        <f t="shared" si="119"/>
        <v>641.65519429101028</v>
      </c>
      <c r="CD134" s="62">
        <f ca="1">AVERAGE(OFFSET($CC$3,0,0,'Données projet'!$E$12+1,1))-AVERAGE(OFFSET($H$3,0,0,'Données projet'!$E$12+1,1))</f>
        <v>264.88170274686757</v>
      </c>
      <c r="CE134" s="62">
        <f t="shared" si="148"/>
        <v>160.81140876142001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411.60020200960821</v>
      </c>
      <c r="CZ134" s="62">
        <f t="shared" si="150"/>
        <v>261.95434270986397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2.564415286767536E-15</v>
      </c>
      <c r="DI134" s="24">
        <f t="shared" si="123"/>
        <v>2.564415286767536E-15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1.4210854715202004E-13</v>
      </c>
      <c r="DP134" s="18">
        <f>DO134*VLOOKUP('Données projet'!$B$14,Paramètres!$A$1:$I$89,3,0)*VLOOKUP('Données projet'!$B$14,Paramètres!$A$1:$I$89,5,0)</f>
        <v>9.3109520094003535E-14</v>
      </c>
      <c r="DQ134" s="14">
        <f t="shared" si="151"/>
        <v>1.4104420303656732E-12</v>
      </c>
      <c r="DR134" s="22">
        <f t="shared" si="124"/>
        <v>2.6186856170506036E-12</v>
      </c>
      <c r="DS134" s="62">
        <f t="shared" si="125"/>
        <v>293.33333333333593</v>
      </c>
      <c r="DT134" s="62">
        <f ca="1">AVERAGE(OFFSET($DS$3,0,0,'Données projet'!$E$14+1,1))-AVERAGE(OFFSET($H$3,0,0,'Données projet'!$E$14+1,1))</f>
        <v>240.134073924311</v>
      </c>
      <c r="DU134" s="62">
        <f t="shared" si="152"/>
        <v>237.10378497981156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0.17707652041544772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1.0501387884918307E-14</v>
      </c>
      <c r="ED134" s="24">
        <f t="shared" si="126"/>
        <v>0.17707652041545821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4.4337866711430253E-14</v>
      </c>
      <c r="P135" s="14">
        <f t="shared" si="141"/>
        <v>7.3222115536967035E-13</v>
      </c>
      <c r="Q135" s="22">
        <f t="shared" si="108"/>
        <v>1.3525069634579169E-12</v>
      </c>
      <c r="R135" s="62">
        <f t="shared" si="109"/>
        <v>293.33333333333468</v>
      </c>
      <c r="S135" s="62">
        <f ca="1">AVERAGE(OFFSET($R$3,0,0,'Données projet'!$E$9+1,1))-AVERAGE(OFFSET($H$3,0,0,'Données projet'!$E$9+1,1))</f>
        <v>288.82868507674738</v>
      </c>
      <c r="T135" s="62">
        <f t="shared" si="142"/>
        <v>283.48738729114024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0.10265549202494212</v>
      </c>
      <c r="AB135" s="23">
        <f>EXP(-LN(2)/2)*AB134+(1-EXP(-LN(2)/2))/(LN(2)/2)*V135*Y135*VLOOKUP('Données projet'!$B$9,Paramètres!$A$1:$I$89,3,0)*0.475*44/12</f>
        <v>1.5087027444452016E-15</v>
      </c>
      <c r="AC135" s="24">
        <f t="shared" si="111"/>
        <v>0.10265549202494363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293.33333333333616</v>
      </c>
      <c r="AN135" s="62">
        <f ca="1">AVERAGE(OFFSET($AM$3,0,0,'Données projet'!$E$10+1,1))-AVERAGE(OFFSET($H$3,0,0,'Données projet'!$E$10+1,1))</f>
        <v>371.95849973474657</v>
      </c>
      <c r="AO135" s="62">
        <f t="shared" si="144"/>
        <v>233.32640143610547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8.4976846782799665E-15</v>
      </c>
      <c r="AX135" s="23">
        <f t="shared" si="114"/>
        <v>8.4976846782799665E-15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1.1882548278663309E-13</v>
      </c>
      <c r="BF135" s="14">
        <f t="shared" si="145"/>
        <v>1.7496137229198366E-12</v>
      </c>
      <c r="BG135" s="22">
        <f t="shared" si="115"/>
        <v>3.2541982832721012E-12</v>
      </c>
      <c r="BH135" s="62">
        <f t="shared" si="116"/>
        <v>293.33333333333655</v>
      </c>
      <c r="BI135" s="62">
        <f ca="1">AVERAGE(OFFSET($BH$3,0,0,'Données projet'!$E$11+1,1))-AVERAGE(OFFSET($H$3,0,0,'Données projet'!$E$11+1,1))</f>
        <v>423.40903481736001</v>
      </c>
      <c r="BJ135" s="62">
        <f t="shared" si="146"/>
        <v>263.03039552465799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9.816290921461423E-15</v>
      </c>
      <c r="BS135" s="24">
        <f t="shared" si="117"/>
        <v>9.816290921461423E-15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4.1500000000000004</v>
      </c>
      <c r="BY135" s="13">
        <f>IF('Données projet'!$A$114&gt;35,BY134+BX135-CG134,IF(A135&lt;'Données projet'!$A$114,$BV$205^A135,IF(A135='Données projet'!$A$114,'Données projet'!$B$114,BY134+BX135-CG134)))</f>
        <v>344.54999999999944</v>
      </c>
      <c r="BZ135" s="14">
        <f>BY135*VLOOKUP('Données projet'!$B$12,Paramètres!$A$1:$I$89,3,0)*VLOOKUP('Données projet'!$B$12,Paramètres!$A$1:$I$89,5,0)</f>
        <v>161.24939999999975</v>
      </c>
      <c r="CA135" s="14">
        <f t="shared" si="147"/>
        <v>41.124193362815774</v>
      </c>
      <c r="CB135" s="22">
        <f t="shared" si="118"/>
        <v>352.46734177357035</v>
      </c>
      <c r="CC135" s="62">
        <f t="shared" si="119"/>
        <v>645.80067510690367</v>
      </c>
      <c r="CD135" s="62">
        <f ca="1">AVERAGE(OFFSET($CC$3,0,0,'Données projet'!$E$12+1,1))-AVERAGE(OFFSET($H$3,0,0,'Données projet'!$E$12+1,1))</f>
        <v>264.88170274686757</v>
      </c>
      <c r="CE135" s="62">
        <f t="shared" si="148"/>
        <v>160.81140876142001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411.60020200960821</v>
      </c>
      <c r="CZ135" s="62">
        <f t="shared" si="150"/>
        <v>261.95434270986397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1.8133154390517696E-15</v>
      </c>
      <c r="DI135" s="24">
        <f t="shared" si="123"/>
        <v>1.8133154390517696E-15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1.4210854715202004E-13</v>
      </c>
      <c r="DP135" s="18">
        <f>DO135*VLOOKUP('Données projet'!$B$14,Paramètres!$A$1:$I$89,3,0)*VLOOKUP('Données projet'!$B$14,Paramètres!$A$1:$I$89,5,0)</f>
        <v>9.3109520094003535E-14</v>
      </c>
      <c r="DQ135" s="14">
        <f t="shared" si="151"/>
        <v>1.4104420303656732E-12</v>
      </c>
      <c r="DR135" s="22">
        <f t="shared" si="124"/>
        <v>2.6186856170506036E-12</v>
      </c>
      <c r="DS135" s="62">
        <f t="shared" si="125"/>
        <v>293.33333333333593</v>
      </c>
      <c r="DT135" s="62">
        <f ca="1">AVERAGE(OFFSET($DS$3,0,0,'Données projet'!$E$14+1,1))-AVERAGE(OFFSET($H$3,0,0,'Données projet'!$E$14+1,1))</f>
        <v>240.134073924311</v>
      </c>
      <c r="DU135" s="62">
        <f t="shared" si="152"/>
        <v>237.10378497981156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0.17360415785611352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7.4256025852959902E-15</v>
      </c>
      <c r="ED135" s="24">
        <f t="shared" si="126"/>
        <v>0.17360415785612096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4.4337866711430253E-14</v>
      </c>
      <c r="P136" s="14">
        <f t="shared" si="141"/>
        <v>7.3222115536967035E-13</v>
      </c>
      <c r="Q136" s="22">
        <f t="shared" si="108"/>
        <v>1.3525069634579169E-12</v>
      </c>
      <c r="R136" s="62">
        <f t="shared" si="109"/>
        <v>293.33333333333468</v>
      </c>
      <c r="S136" s="62">
        <f ca="1">AVERAGE(OFFSET($R$3,0,0,'Données projet'!$E$9+1,1))-AVERAGE(OFFSET($H$3,0,0,'Données projet'!$E$9+1,1))</f>
        <v>288.82868507674738</v>
      </c>
      <c r="T136" s="62">
        <f t="shared" si="142"/>
        <v>283.48738729114024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9.9848372197102367E-2</v>
      </c>
      <c r="AB136" s="23">
        <f>EXP(-LN(2)/2)*AB135+(1-EXP(-LN(2)/2))/(LN(2)/2)*V136*Y136*VLOOKUP('Données projet'!$B$9,Paramètres!$A$1:$I$89,3,0)*0.475*44/12</f>
        <v>1.0668139413919569E-15</v>
      </c>
      <c r="AC136" s="24">
        <f t="shared" si="111"/>
        <v>9.9848372197103435E-2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293.33333333333616</v>
      </c>
      <c r="AN136" s="62">
        <f ca="1">AVERAGE(OFFSET($AM$3,0,0,'Données projet'!$E$10+1,1))-AVERAGE(OFFSET($H$3,0,0,'Données projet'!$E$10+1,1))</f>
        <v>371.95849973474657</v>
      </c>
      <c r="AO136" s="62">
        <f t="shared" si="144"/>
        <v>233.32640143610547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6.0087704603967899E-15</v>
      </c>
      <c r="AX136" s="23">
        <f t="shared" si="114"/>
        <v>6.0087704603967899E-15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1.1882548278663309E-13</v>
      </c>
      <c r="BF136" s="14">
        <f t="shared" si="145"/>
        <v>1.7496137229198366E-12</v>
      </c>
      <c r="BG136" s="22">
        <f t="shared" si="115"/>
        <v>3.2541982832721012E-12</v>
      </c>
      <c r="BH136" s="62">
        <f t="shared" si="116"/>
        <v>293.33333333333655</v>
      </c>
      <c r="BI136" s="62">
        <f ca="1">AVERAGE(OFFSET($BH$3,0,0,'Données projet'!$E$11+1,1))-AVERAGE(OFFSET($H$3,0,0,'Données projet'!$E$11+1,1))</f>
        <v>423.40903481736001</v>
      </c>
      <c r="BJ136" s="62">
        <f t="shared" si="146"/>
        <v>263.03039552465799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6.941165876665316E-15</v>
      </c>
      <c r="BS136" s="24">
        <f t="shared" si="117"/>
        <v>6.941165876665316E-15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4.1500000000000004</v>
      </c>
      <c r="BY136" s="13">
        <f>IF('Données projet'!$A$114&gt;35,BY135+BX136-CG135,IF(A136&lt;'Données projet'!$A$114,$BV$205^A136,IF(A136='Données projet'!$A$114,'Données projet'!$B$114,BY135+BX136-CG135)))</f>
        <v>348.69999999999942</v>
      </c>
      <c r="BZ136" s="14">
        <f>BY136*VLOOKUP('Données projet'!$B$12,Paramètres!$A$1:$I$89,3,0)*VLOOKUP('Données projet'!$B$12,Paramètres!$A$1:$I$89,5,0)</f>
        <v>163.19159999999971</v>
      </c>
      <c r="CA136" s="14">
        <f t="shared" si="147"/>
        <v>41.561560100509155</v>
      </c>
      <c r="CB136" s="22">
        <f t="shared" si="118"/>
        <v>356.61175384171958</v>
      </c>
      <c r="CC136" s="62">
        <f t="shared" si="119"/>
        <v>649.94508717505289</v>
      </c>
      <c r="CD136" s="62">
        <f ca="1">AVERAGE(OFFSET($CC$3,0,0,'Données projet'!$E$12+1,1))-AVERAGE(OFFSET($H$3,0,0,'Données projet'!$E$12+1,1))</f>
        <v>264.88170274686757</v>
      </c>
      <c r="CE136" s="62">
        <f t="shared" si="148"/>
        <v>160.81140876142001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411.60020200960821</v>
      </c>
      <c r="CZ136" s="62">
        <f t="shared" si="150"/>
        <v>261.95434270986397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1.282207643383768E-15</v>
      </c>
      <c r="DI136" s="24">
        <f t="shared" si="123"/>
        <v>1.282207643383768E-15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1.4210854715202004E-13</v>
      </c>
      <c r="DP136" s="18">
        <f>DO136*VLOOKUP('Données projet'!$B$14,Paramètres!$A$1:$I$89,3,0)*VLOOKUP('Données projet'!$B$14,Paramètres!$A$1:$I$89,5,0)</f>
        <v>9.3109520094003535E-14</v>
      </c>
      <c r="DQ136" s="14">
        <f t="shared" si="151"/>
        <v>1.4104420303656732E-12</v>
      </c>
      <c r="DR136" s="22">
        <f t="shared" si="124"/>
        <v>2.6186856170506036E-12</v>
      </c>
      <c r="DS136" s="62">
        <f t="shared" si="125"/>
        <v>293.33333333333593</v>
      </c>
      <c r="DT136" s="62">
        <f ca="1">AVERAGE(OFFSET($DS$3,0,0,'Données projet'!$E$14+1,1))-AVERAGE(OFFSET($H$3,0,0,'Données projet'!$E$14+1,1))</f>
        <v>240.134073924311</v>
      </c>
      <c r="DU136" s="62">
        <f t="shared" si="152"/>
        <v>237.10378497981156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0.17019988620863585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5.2506939424591534E-15</v>
      </c>
      <c r="ED136" s="24">
        <f t="shared" si="126"/>
        <v>0.1701998862086411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4.4337866711430253E-14</v>
      </c>
      <c r="P137" s="14">
        <f t="shared" si="141"/>
        <v>7.3222115536967035E-13</v>
      </c>
      <c r="Q137" s="22">
        <f t="shared" si="108"/>
        <v>1.3525069634579169E-12</v>
      </c>
      <c r="R137" s="62">
        <f t="shared" si="109"/>
        <v>293.33333333333468</v>
      </c>
      <c r="S137" s="62">
        <f ca="1">AVERAGE(OFFSET($R$3,0,0,'Données projet'!$E$9+1,1))-AVERAGE(OFFSET($H$3,0,0,'Données projet'!$E$9+1,1))</f>
        <v>288.82868507674738</v>
      </c>
      <c r="T137" s="62">
        <f t="shared" si="142"/>
        <v>283.48738729114024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9.711801320857491E-2</v>
      </c>
      <c r="AB137" s="23">
        <f>EXP(-LN(2)/2)*AB136+(1-EXP(-LN(2)/2))/(LN(2)/2)*V137*Y137*VLOOKUP('Données projet'!$B$9,Paramètres!$A$1:$I$89,3,0)*0.475*44/12</f>
        <v>7.5435137222260078E-16</v>
      </c>
      <c r="AC137" s="24">
        <f t="shared" si="111"/>
        <v>9.711801320857566E-2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293.33333333333616</v>
      </c>
      <c r="AN137" s="62">
        <f ca="1">AVERAGE(OFFSET($AM$3,0,0,'Données projet'!$E$10+1,1))-AVERAGE(OFFSET($H$3,0,0,'Données projet'!$E$10+1,1))</f>
        <v>371.95849973474657</v>
      </c>
      <c r="AO137" s="62">
        <f t="shared" si="144"/>
        <v>233.32640143610547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4.2488423391399833E-15</v>
      </c>
      <c r="AX137" s="23">
        <f t="shared" si="114"/>
        <v>4.2488423391399833E-15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1.1882548278663309E-13</v>
      </c>
      <c r="BF137" s="14">
        <f t="shared" si="145"/>
        <v>1.7496137229198366E-12</v>
      </c>
      <c r="BG137" s="22">
        <f t="shared" si="115"/>
        <v>3.2541982832721012E-12</v>
      </c>
      <c r="BH137" s="62">
        <f t="shared" si="116"/>
        <v>293.33333333333655</v>
      </c>
      <c r="BI137" s="62">
        <f ca="1">AVERAGE(OFFSET($BH$3,0,0,'Données projet'!$E$11+1,1))-AVERAGE(OFFSET($H$3,0,0,'Données projet'!$E$11+1,1))</f>
        <v>423.40903481736001</v>
      </c>
      <c r="BJ137" s="62">
        <f t="shared" si="146"/>
        <v>263.03039552465799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4.9081454607307123E-15</v>
      </c>
      <c r="BS137" s="24">
        <f t="shared" si="117"/>
        <v>4.9081454607307123E-15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4.1500000000000004</v>
      </c>
      <c r="BY137" s="13">
        <f>IF('Données projet'!$A$114&gt;35,BY136+BX137-CG136,IF(A137&lt;'Données projet'!$A$114,$BV$205^A137,IF(A137='Données projet'!$A$114,'Données projet'!$B$114,BY136+BX137-CG136)))</f>
        <v>352.8499999999994</v>
      </c>
      <c r="BZ137" s="14">
        <f>BY137*VLOOKUP('Données projet'!$B$12,Paramètres!$A$1:$I$89,3,0)*VLOOKUP('Données projet'!$B$12,Paramètres!$A$1:$I$89,5,0)</f>
        <v>165.13379999999972</v>
      </c>
      <c r="CA137" s="14">
        <f t="shared" si="147"/>
        <v>41.998321351039586</v>
      </c>
      <c r="CB137" s="22">
        <f t="shared" si="118"/>
        <v>360.7551113530601</v>
      </c>
      <c r="CC137" s="62">
        <f t="shared" si="119"/>
        <v>654.08844468639336</v>
      </c>
      <c r="CD137" s="62">
        <f ca="1">AVERAGE(OFFSET($CC$3,0,0,'Données projet'!$E$12+1,1))-AVERAGE(OFFSET($H$3,0,0,'Données projet'!$E$12+1,1))</f>
        <v>264.88170274686757</v>
      </c>
      <c r="CE137" s="62">
        <f t="shared" si="148"/>
        <v>160.81140876142001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411.60020200960821</v>
      </c>
      <c r="CZ137" s="62">
        <f t="shared" si="150"/>
        <v>261.95434270986397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9.0665771952588478E-16</v>
      </c>
      <c r="DI137" s="24">
        <f t="shared" si="123"/>
        <v>9.0665771952588478E-16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1.4210854715202004E-13</v>
      </c>
      <c r="DP137" s="18">
        <f>DO137*VLOOKUP('Données projet'!$B$14,Paramètres!$A$1:$I$89,3,0)*VLOOKUP('Données projet'!$B$14,Paramètres!$A$1:$I$89,5,0)</f>
        <v>9.3109520094003535E-14</v>
      </c>
      <c r="DQ137" s="14">
        <f t="shared" si="151"/>
        <v>1.4104420303656732E-12</v>
      </c>
      <c r="DR137" s="22">
        <f t="shared" si="124"/>
        <v>2.6186856170506036E-12</v>
      </c>
      <c r="DS137" s="62">
        <f t="shared" si="125"/>
        <v>293.33333333333593</v>
      </c>
      <c r="DT137" s="62">
        <f ca="1">AVERAGE(OFFSET($DS$3,0,0,'Données projet'!$E$14+1,1))-AVERAGE(OFFSET($H$3,0,0,'Données projet'!$E$14+1,1))</f>
        <v>240.134073924311</v>
      </c>
      <c r="DU137" s="62">
        <f t="shared" si="152"/>
        <v>237.10378497981156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0.16686237025176454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3.7128012926479951E-15</v>
      </c>
      <c r="ED137" s="24">
        <f t="shared" si="126"/>
        <v>0.16686237025176825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4.4337866711430253E-14</v>
      </c>
      <c r="P138" s="14">
        <f t="shared" si="141"/>
        <v>7.3222115536967035E-13</v>
      </c>
      <c r="Q138" s="22">
        <f t="shared" si="108"/>
        <v>1.3525069634579169E-12</v>
      </c>
      <c r="R138" s="62">
        <f t="shared" si="109"/>
        <v>293.33333333333468</v>
      </c>
      <c r="S138" s="62">
        <f ca="1">AVERAGE(OFFSET($R$3,0,0,'Données projet'!$E$9+1,1))-AVERAGE(OFFSET($H$3,0,0,'Données projet'!$E$9+1,1))</f>
        <v>288.82868507674738</v>
      </c>
      <c r="T138" s="62">
        <f t="shared" si="142"/>
        <v>283.48738729114024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9.4462316030172078E-2</v>
      </c>
      <c r="AB138" s="23">
        <f>EXP(-LN(2)/2)*AB137+(1-EXP(-LN(2)/2))/(LN(2)/2)*V138*Y138*VLOOKUP('Données projet'!$B$9,Paramètres!$A$1:$I$89,3,0)*0.475*44/12</f>
        <v>5.3340697069597843E-16</v>
      </c>
      <c r="AC138" s="24">
        <f t="shared" si="111"/>
        <v>9.4462316030172605E-2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293.33333333333616</v>
      </c>
      <c r="AN138" s="62">
        <f ca="1">AVERAGE(OFFSET($AM$3,0,0,'Données projet'!$E$10+1,1))-AVERAGE(OFFSET($H$3,0,0,'Données projet'!$E$10+1,1))</f>
        <v>371.95849973474657</v>
      </c>
      <c r="AO138" s="62">
        <f t="shared" si="144"/>
        <v>233.32640143610547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3.0043852301983949E-15</v>
      </c>
      <c r="AX138" s="23">
        <f t="shared" si="114"/>
        <v>3.0043852301983949E-15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1.1882548278663309E-13</v>
      </c>
      <c r="BF138" s="14">
        <f t="shared" si="145"/>
        <v>1.7496137229198366E-12</v>
      </c>
      <c r="BG138" s="22">
        <f t="shared" si="115"/>
        <v>3.2541982832721012E-12</v>
      </c>
      <c r="BH138" s="62">
        <f t="shared" si="116"/>
        <v>293.33333333333655</v>
      </c>
      <c r="BI138" s="62">
        <f ca="1">AVERAGE(OFFSET($BH$3,0,0,'Données projet'!$E$11+1,1))-AVERAGE(OFFSET($H$3,0,0,'Données projet'!$E$11+1,1))</f>
        <v>423.40903481736001</v>
      </c>
      <c r="BJ138" s="62">
        <f t="shared" si="146"/>
        <v>263.03039552465799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3.4705829383326584E-15</v>
      </c>
      <c r="BS138" s="24">
        <f t="shared" si="117"/>
        <v>3.4705829383326584E-15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357</v>
      </c>
      <c r="BW138" s="13">
        <f>VLOOKUP(A138,'Données projet'!$A$113:$I$133,9,0)</f>
        <v>4.1500000000000004</v>
      </c>
      <c r="BX138" s="13">
        <f t="array" ref="BX138">INDEX(BW:BW,MIN(IF(ISNUMBER(BW138:BW334),ROW(BW138:BW334),"")))</f>
        <v>4.1500000000000004</v>
      </c>
      <c r="BY138" s="13">
        <f>IF('Données projet'!$A$114&gt;35,BY137+BX138-CG137,IF(A138&lt;'Données projet'!$A$114,$BV$205^A138,IF(A138='Données projet'!$A$114,'Données projet'!$B$114,BY137+BX138-CG137)))</f>
        <v>356.99999999999937</v>
      </c>
      <c r="BZ138" s="14">
        <f>BY138*VLOOKUP('Données projet'!$B$12,Paramètres!$A$1:$I$89,3,0)*VLOOKUP('Données projet'!$B$12,Paramètres!$A$1:$I$89,5,0)</f>
        <v>167.07599999999974</v>
      </c>
      <c r="CA138" s="14">
        <f t="shared" si="147"/>
        <v>42.434485059621601</v>
      </c>
      <c r="CB138" s="22">
        <f t="shared" si="118"/>
        <v>364.89742814550715</v>
      </c>
      <c r="CC138" s="62">
        <f t="shared" si="119"/>
        <v>658.23076147884046</v>
      </c>
      <c r="CD138" s="62">
        <f ca="1">AVERAGE(OFFSET($CC$3,0,0,'Données projet'!$E$12+1,1))-AVERAGE(OFFSET($H$3,0,0,'Données projet'!$E$12+1,1))</f>
        <v>264.88170274686757</v>
      </c>
      <c r="CE138" s="62">
        <f t="shared" si="148"/>
        <v>160.81140876142001</v>
      </c>
      <c r="CF138" s="16">
        <f>IF(ISNA(VLOOKUP(A138,'Données projet'!$A$113:$I$133,3,0)),0,VLOOKUP(A138,'Données projet'!$A$113:$I$133,3,0))</f>
        <v>4</v>
      </c>
      <c r="CG138" s="16">
        <f>IF(ISNA(VLOOKUP(A138,'Données projet'!$A$113:$I$133,4,0)),0,VLOOKUP(A138,'Données projet'!$A$113:$I$133,4,0))</f>
        <v>67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411.60020200960821</v>
      </c>
      <c r="CZ138" s="62">
        <f t="shared" si="150"/>
        <v>261.95434270986397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6.4110382169188399E-16</v>
      </c>
      <c r="DI138" s="24">
        <f t="shared" si="123"/>
        <v>6.4110382169188399E-16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1.4210854715202004E-13</v>
      </c>
      <c r="DP138" s="18">
        <f>DO138*VLOOKUP('Données projet'!$B$14,Paramètres!$A$1:$I$89,3,0)*VLOOKUP('Données projet'!$B$14,Paramètres!$A$1:$I$89,5,0)</f>
        <v>9.3109520094003535E-14</v>
      </c>
      <c r="DQ138" s="14">
        <f t="shared" si="151"/>
        <v>1.4104420303656732E-12</v>
      </c>
      <c r="DR138" s="22">
        <f t="shared" si="124"/>
        <v>2.6186856170506036E-12</v>
      </c>
      <c r="DS138" s="62">
        <f t="shared" si="125"/>
        <v>293.33333333333593</v>
      </c>
      <c r="DT138" s="62">
        <f ca="1">AVERAGE(OFFSET($DS$3,0,0,'Données projet'!$E$14+1,1))-AVERAGE(OFFSET($H$3,0,0,'Données projet'!$E$14+1,1))</f>
        <v>240.134073924311</v>
      </c>
      <c r="DU138" s="62">
        <f t="shared" si="152"/>
        <v>237.10378497981156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0.16359030094712373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2.6253469712295767E-15</v>
      </c>
      <c r="ED138" s="24">
        <f t="shared" si="126"/>
        <v>0.16359030094712637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4.4337866711430253E-14</v>
      </c>
      <c r="P139" s="14">
        <f t="shared" si="141"/>
        <v>7.3222115536967035E-13</v>
      </c>
      <c r="Q139" s="22">
        <f t="shared" si="108"/>
        <v>1.3525069634579169E-12</v>
      </c>
      <c r="R139" s="62">
        <f t="shared" si="109"/>
        <v>293.33333333333468</v>
      </c>
      <c r="S139" s="62">
        <f ca="1">AVERAGE(OFFSET($R$3,0,0,'Données projet'!$E$9+1,1))-AVERAGE(OFFSET($H$3,0,0,'Données projet'!$E$9+1,1))</f>
        <v>288.82868507674738</v>
      </c>
      <c r="T139" s="62">
        <f t="shared" si="142"/>
        <v>283.48738729114024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9.1879239030769722E-2</v>
      </c>
      <c r="AB139" s="23">
        <f>EXP(-LN(2)/2)*AB138+(1-EXP(-LN(2)/2))/(LN(2)/2)*V139*Y139*VLOOKUP('Données projet'!$B$9,Paramètres!$A$1:$I$89,3,0)*0.475*44/12</f>
        <v>3.7717568611130039E-16</v>
      </c>
      <c r="AC139" s="24">
        <f t="shared" si="111"/>
        <v>9.1879239030770096E-2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293.33333333333616</v>
      </c>
      <c r="AN139" s="62">
        <f ca="1">AVERAGE(OFFSET($AM$3,0,0,'Données projet'!$E$10+1,1))-AVERAGE(OFFSET($H$3,0,0,'Données projet'!$E$10+1,1))</f>
        <v>371.95849973474657</v>
      </c>
      <c r="AO139" s="62">
        <f t="shared" si="144"/>
        <v>233.32640143610547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2.1244211695699916E-15</v>
      </c>
      <c r="AX139" s="23">
        <f t="shared" si="114"/>
        <v>2.1244211695699916E-15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1.1882548278663309E-13</v>
      </c>
      <c r="BF139" s="14">
        <f t="shared" si="145"/>
        <v>1.7496137229198366E-12</v>
      </c>
      <c r="BG139" s="22">
        <f t="shared" si="115"/>
        <v>3.2541982832721012E-12</v>
      </c>
      <c r="BH139" s="62">
        <f t="shared" si="116"/>
        <v>293.33333333333655</v>
      </c>
      <c r="BI139" s="62">
        <f ca="1">AVERAGE(OFFSET($BH$3,0,0,'Données projet'!$E$11+1,1))-AVERAGE(OFFSET($H$3,0,0,'Données projet'!$E$11+1,1))</f>
        <v>423.40903481736001</v>
      </c>
      <c r="BJ139" s="62">
        <f t="shared" si="146"/>
        <v>263.03039552465799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2.4540727303653565E-15</v>
      </c>
      <c r="BS139" s="24">
        <f t="shared" si="117"/>
        <v>2.4540727303653565E-15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3.4666666666666668</v>
      </c>
      <c r="BY139" s="13">
        <f>IF('Données projet'!$A$114&gt;35,BY138+BX139-CG138,IF(A139&lt;'Données projet'!$A$114,$BV$205^A139,IF(A139='Données projet'!$A$114,'Données projet'!$B$114,BY138+BX139-CG138)))</f>
        <v>293.46666666666601</v>
      </c>
      <c r="BZ139" s="14">
        <f>BY139*VLOOKUP('Données projet'!$B$12,Paramètres!$A$1:$I$89,3,0)*VLOOKUP('Données projet'!$B$12,Paramètres!$A$1:$I$89,5,0)</f>
        <v>137.34239999999969</v>
      </c>
      <c r="CA139" s="14">
        <f t="shared" si="147"/>
        <v>35.687509229988578</v>
      </c>
      <c r="CB139" s="22">
        <f t="shared" si="118"/>
        <v>301.36042524222955</v>
      </c>
      <c r="CC139" s="62">
        <f t="shared" si="119"/>
        <v>594.69375857556292</v>
      </c>
      <c r="CD139" s="62">
        <f ca="1">AVERAGE(OFFSET($CC$3,0,0,'Données projet'!$E$12+1,1))-AVERAGE(OFFSET($H$3,0,0,'Données projet'!$E$12+1,1))</f>
        <v>264.88170274686757</v>
      </c>
      <c r="CE139" s="62">
        <f t="shared" si="148"/>
        <v>160.81140876142001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411.60020200960821</v>
      </c>
      <c r="CZ139" s="62">
        <f t="shared" si="150"/>
        <v>261.95434270986397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4.5332885976294239E-16</v>
      </c>
      <c r="DI139" s="24">
        <f t="shared" si="123"/>
        <v>4.5332885976294239E-16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1.4210854715202004E-13</v>
      </c>
      <c r="DP139" s="18">
        <f>DO139*VLOOKUP('Données projet'!$B$14,Paramètres!$A$1:$I$89,3,0)*VLOOKUP('Données projet'!$B$14,Paramètres!$A$1:$I$89,5,0)</f>
        <v>9.3109520094003535E-14</v>
      </c>
      <c r="DQ139" s="14">
        <f t="shared" si="151"/>
        <v>1.4104420303656732E-12</v>
      </c>
      <c r="DR139" s="22">
        <f t="shared" si="124"/>
        <v>2.6186856170506036E-12</v>
      </c>
      <c r="DS139" s="62">
        <f t="shared" si="125"/>
        <v>293.33333333333593</v>
      </c>
      <c r="DT139" s="62">
        <f ca="1">AVERAGE(OFFSET($DS$3,0,0,'Données projet'!$E$14+1,1))-AVERAGE(OFFSET($H$3,0,0,'Données projet'!$E$14+1,1))</f>
        <v>240.134073924311</v>
      </c>
      <c r="DU139" s="62">
        <f t="shared" si="152"/>
        <v>237.10378497981156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0.16038239492578174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1.8564006463239976E-15</v>
      </c>
      <c r="ED139" s="24">
        <f t="shared" si="126"/>
        <v>0.1603823949257836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4.4337866711430253E-14</v>
      </c>
      <c r="P140" s="14">
        <f t="shared" si="141"/>
        <v>7.3222115536967035E-13</v>
      </c>
      <c r="Q140" s="22">
        <f t="shared" si="108"/>
        <v>1.3525069634579169E-12</v>
      </c>
      <c r="R140" s="62">
        <f t="shared" si="109"/>
        <v>293.33333333333468</v>
      </c>
      <c r="S140" s="62">
        <f ca="1">AVERAGE(OFFSET($R$3,0,0,'Données projet'!$E$9+1,1))-AVERAGE(OFFSET($H$3,0,0,'Données projet'!$E$9+1,1))</f>
        <v>288.82868507674738</v>
      </c>
      <c r="T140" s="62">
        <f t="shared" si="142"/>
        <v>283.48738729114024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8.9366796407754134E-2</v>
      </c>
      <c r="AB140" s="23">
        <f>EXP(-LN(2)/2)*AB139+(1-EXP(-LN(2)/2))/(LN(2)/2)*V140*Y140*VLOOKUP('Données projet'!$B$9,Paramètres!$A$1:$I$89,3,0)*0.475*44/12</f>
        <v>2.6670348534798921E-16</v>
      </c>
      <c r="AC140" s="24">
        <f t="shared" si="111"/>
        <v>8.9366796407754398E-2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293.33333333333616</v>
      </c>
      <c r="AN140" s="62">
        <f ca="1">AVERAGE(OFFSET($AM$3,0,0,'Données projet'!$E$10+1,1))-AVERAGE(OFFSET($H$3,0,0,'Données projet'!$E$10+1,1))</f>
        <v>371.95849973474657</v>
      </c>
      <c r="AO140" s="62">
        <f t="shared" si="144"/>
        <v>233.32640143610547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1.5021926150991975E-15</v>
      </c>
      <c r="AX140" s="23">
        <f t="shared" si="114"/>
        <v>1.5021926150991975E-15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1.1882548278663309E-13</v>
      </c>
      <c r="BF140" s="14">
        <f t="shared" si="145"/>
        <v>1.7496137229198366E-12</v>
      </c>
      <c r="BG140" s="22">
        <f t="shared" si="115"/>
        <v>3.2541982832721012E-12</v>
      </c>
      <c r="BH140" s="62">
        <f t="shared" si="116"/>
        <v>293.33333333333655</v>
      </c>
      <c r="BI140" s="62">
        <f ca="1">AVERAGE(OFFSET($BH$3,0,0,'Données projet'!$E$11+1,1))-AVERAGE(OFFSET($H$3,0,0,'Données projet'!$E$11+1,1))</f>
        <v>423.40903481736001</v>
      </c>
      <c r="BJ140" s="62">
        <f t="shared" si="146"/>
        <v>263.03039552465799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1.7352914691663296E-15</v>
      </c>
      <c r="BS140" s="24">
        <f t="shared" si="117"/>
        <v>1.7352914691663296E-15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3.4666666666666668</v>
      </c>
      <c r="BY140" s="13">
        <f>IF('Données projet'!$A$114&gt;35,BY139+BX140-CG139,IF(A140&lt;'Données projet'!$A$114,$BV$205^A140,IF(A140='Données projet'!$A$114,'Données projet'!$B$114,BY139+BX140-CG139)))</f>
        <v>296.93333333333266</v>
      </c>
      <c r="BZ140" s="14">
        <f>BY140*VLOOKUP('Données projet'!$B$12,Paramètres!$A$1:$I$89,3,0)*VLOOKUP('Données projet'!$B$12,Paramètres!$A$1:$I$89,5,0)</f>
        <v>138.96479999999968</v>
      </c>
      <c r="CA140" s="14">
        <f t="shared" si="147"/>
        <v>36.05975337303525</v>
      </c>
      <c r="CB140" s="22">
        <f t="shared" si="118"/>
        <v>304.8344304580358</v>
      </c>
      <c r="CC140" s="62">
        <f t="shared" si="119"/>
        <v>598.16776379136911</v>
      </c>
      <c r="CD140" s="62">
        <f ca="1">AVERAGE(OFFSET($CC$3,0,0,'Données projet'!$E$12+1,1))-AVERAGE(OFFSET($H$3,0,0,'Données projet'!$E$12+1,1))</f>
        <v>264.88170274686757</v>
      </c>
      <c r="CE140" s="62">
        <f t="shared" si="148"/>
        <v>160.81140876142001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411.60020200960821</v>
      </c>
      <c r="CZ140" s="62">
        <f t="shared" si="150"/>
        <v>261.95434270986397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3.20551910845942E-16</v>
      </c>
      <c r="DI140" s="24">
        <f t="shared" si="123"/>
        <v>3.20551910845942E-16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1.4210854715202004E-13</v>
      </c>
      <c r="DP140" s="18">
        <f>DO140*VLOOKUP('Données projet'!$B$14,Paramètres!$A$1:$I$89,3,0)*VLOOKUP('Données projet'!$B$14,Paramètres!$A$1:$I$89,5,0)</f>
        <v>9.3109520094003535E-14</v>
      </c>
      <c r="DQ140" s="14">
        <f t="shared" si="151"/>
        <v>1.4104420303656732E-12</v>
      </c>
      <c r="DR140" s="22">
        <f t="shared" si="124"/>
        <v>2.6186856170506036E-12</v>
      </c>
      <c r="DS140" s="62">
        <f t="shared" si="125"/>
        <v>293.33333333333593</v>
      </c>
      <c r="DT140" s="62">
        <f ca="1">AVERAGE(OFFSET($DS$3,0,0,'Données projet'!$E$14+1,1))-AVERAGE(OFFSET($H$3,0,0,'Données projet'!$E$14+1,1))</f>
        <v>240.134073924311</v>
      </c>
      <c r="DU140" s="62">
        <f t="shared" si="152"/>
        <v>237.10378497981156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0.15723739398488878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1.3126734856147883E-15</v>
      </c>
      <c r="ED140" s="24">
        <f t="shared" si="126"/>
        <v>0.15723739398489009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4.4337866711430253E-14</v>
      </c>
      <c r="P141" s="14">
        <f t="shared" si="141"/>
        <v>7.3222115536967035E-13</v>
      </c>
      <c r="Q141" s="22">
        <f t="shared" si="108"/>
        <v>1.3525069634579169E-12</v>
      </c>
      <c r="R141" s="62">
        <f t="shared" si="109"/>
        <v>293.33333333333468</v>
      </c>
      <c r="S141" s="62">
        <f ca="1">AVERAGE(OFFSET($R$3,0,0,'Données projet'!$E$9+1,1))-AVERAGE(OFFSET($H$3,0,0,'Données projet'!$E$9+1,1))</f>
        <v>288.82868507674738</v>
      </c>
      <c r="T141" s="62">
        <f t="shared" si="142"/>
        <v>283.48738729114024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8.692305666038852E-2</v>
      </c>
      <c r="AB141" s="23">
        <f>EXP(-LN(2)/2)*AB140+(1-EXP(-LN(2)/2))/(LN(2)/2)*V141*Y141*VLOOKUP('Données projet'!$B$9,Paramètres!$A$1:$I$89,3,0)*0.475*44/12</f>
        <v>1.885878430556502E-16</v>
      </c>
      <c r="AC141" s="24">
        <f t="shared" si="111"/>
        <v>8.6923056660388714E-2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293.33333333333616</v>
      </c>
      <c r="AN141" s="62">
        <f ca="1">AVERAGE(OFFSET($AM$3,0,0,'Données projet'!$E$10+1,1))-AVERAGE(OFFSET($H$3,0,0,'Données projet'!$E$10+1,1))</f>
        <v>371.95849973474657</v>
      </c>
      <c r="AO141" s="62">
        <f t="shared" si="144"/>
        <v>233.32640143610547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1.0622105847849958E-15</v>
      </c>
      <c r="AX141" s="23">
        <f t="shared" si="114"/>
        <v>1.0622105847849958E-15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1.1882548278663309E-13</v>
      </c>
      <c r="BF141" s="14">
        <f t="shared" si="145"/>
        <v>1.7496137229198366E-12</v>
      </c>
      <c r="BG141" s="22">
        <f t="shared" si="115"/>
        <v>3.2541982832721012E-12</v>
      </c>
      <c r="BH141" s="62">
        <f t="shared" si="116"/>
        <v>293.33333333333655</v>
      </c>
      <c r="BI141" s="62">
        <f ca="1">AVERAGE(OFFSET($BH$3,0,0,'Données projet'!$E$11+1,1))-AVERAGE(OFFSET($H$3,0,0,'Données projet'!$E$11+1,1))</f>
        <v>423.40903481736001</v>
      </c>
      <c r="BJ141" s="62">
        <f t="shared" si="146"/>
        <v>263.03039552465799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1.2270363651826785E-15</v>
      </c>
      <c r="BS141" s="24">
        <f t="shared" si="117"/>
        <v>1.2270363651826785E-15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3.4666666666666668</v>
      </c>
      <c r="BY141" s="13">
        <f>IF('Données projet'!$A$114&gt;35,BY140+BX141-CG140,IF(A141&lt;'Données projet'!$A$114,$BV$205^A141,IF(A141='Données projet'!$A$114,'Données projet'!$B$114,BY140+BX141-CG140)))</f>
        <v>300.3999999999993</v>
      </c>
      <c r="BZ141" s="14">
        <f>BY141*VLOOKUP('Données projet'!$B$12,Paramètres!$A$1:$I$89,3,0)*VLOOKUP('Données projet'!$B$12,Paramètres!$A$1:$I$89,5,0)</f>
        <v>140.58719999999965</v>
      </c>
      <c r="CA141" s="14">
        <f t="shared" si="147"/>
        <v>36.431491983260273</v>
      </c>
      <c r="CB141" s="22">
        <f t="shared" si="118"/>
        <v>308.30755520417773</v>
      </c>
      <c r="CC141" s="62">
        <f t="shared" si="119"/>
        <v>601.64088853751105</v>
      </c>
      <c r="CD141" s="62">
        <f ca="1">AVERAGE(OFFSET($CC$3,0,0,'Données projet'!$E$12+1,1))-AVERAGE(OFFSET($H$3,0,0,'Données projet'!$E$12+1,1))</f>
        <v>264.88170274686757</v>
      </c>
      <c r="CE141" s="62">
        <f t="shared" si="148"/>
        <v>160.81140876142001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411.60020200960821</v>
      </c>
      <c r="CZ141" s="62">
        <f t="shared" si="150"/>
        <v>261.95434270986397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2.2666442988147119E-16</v>
      </c>
      <c r="DI141" s="24">
        <f t="shared" si="123"/>
        <v>2.2666442988147119E-16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1.4210854715202004E-13</v>
      </c>
      <c r="DP141" s="18">
        <f>DO141*VLOOKUP('Données projet'!$B$14,Paramètres!$A$1:$I$89,3,0)*VLOOKUP('Données projet'!$B$14,Paramètres!$A$1:$I$89,5,0)</f>
        <v>9.3109520094003535E-14</v>
      </c>
      <c r="DQ141" s="14">
        <f t="shared" si="151"/>
        <v>1.4104420303656732E-12</v>
      </c>
      <c r="DR141" s="22">
        <f t="shared" si="124"/>
        <v>2.6186856170506036E-12</v>
      </c>
      <c r="DS141" s="62">
        <f t="shared" si="125"/>
        <v>293.33333333333593</v>
      </c>
      <c r="DT141" s="62">
        <f ca="1">AVERAGE(OFFSET($DS$3,0,0,'Données projet'!$E$14+1,1))-AVERAGE(OFFSET($H$3,0,0,'Données projet'!$E$14+1,1))</f>
        <v>240.134073924311</v>
      </c>
      <c r="DU141" s="62">
        <f t="shared" si="152"/>
        <v>237.10378497981156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0.15415406459418557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9.2820032316199878E-16</v>
      </c>
      <c r="ED141" s="24">
        <f t="shared" si="126"/>
        <v>0.15415406459418649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4.4337866711430253E-14</v>
      </c>
      <c r="P142" s="14">
        <f t="shared" si="141"/>
        <v>7.3222115536967035E-13</v>
      </c>
      <c r="Q142" s="22">
        <f t="shared" si="108"/>
        <v>1.3525069634579169E-12</v>
      </c>
      <c r="R142" s="62">
        <f t="shared" si="109"/>
        <v>293.33333333333468</v>
      </c>
      <c r="S142" s="62">
        <f ca="1">AVERAGE(OFFSET($R$3,0,0,'Données projet'!$E$9+1,1))-AVERAGE(OFFSET($H$3,0,0,'Données projet'!$E$9+1,1))</f>
        <v>288.82868507674738</v>
      </c>
      <c r="T142" s="62">
        <f t="shared" si="142"/>
        <v>283.48738729114024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8.454614110492531E-2</v>
      </c>
      <c r="AB142" s="23">
        <f>EXP(-LN(2)/2)*AB141+(1-EXP(-LN(2)/2))/(LN(2)/2)*V142*Y142*VLOOKUP('Données projet'!$B$9,Paramètres!$A$1:$I$89,3,0)*0.475*44/12</f>
        <v>1.3335174267399461E-16</v>
      </c>
      <c r="AC142" s="24">
        <f t="shared" si="111"/>
        <v>8.4546141104925449E-2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293.33333333333616</v>
      </c>
      <c r="AN142" s="62">
        <f ca="1">AVERAGE(OFFSET($AM$3,0,0,'Données projet'!$E$10+1,1))-AVERAGE(OFFSET($H$3,0,0,'Données projet'!$E$10+1,1))</f>
        <v>371.95849973474657</v>
      </c>
      <c r="AO142" s="62">
        <f t="shared" si="144"/>
        <v>233.32640143610547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7.5109630754959873E-16</v>
      </c>
      <c r="AX142" s="23">
        <f t="shared" si="114"/>
        <v>7.5109630754959873E-16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1.1882548278663309E-13</v>
      </c>
      <c r="BF142" s="14">
        <f t="shared" si="145"/>
        <v>1.7496137229198366E-12</v>
      </c>
      <c r="BG142" s="22">
        <f t="shared" si="115"/>
        <v>3.2541982832721012E-12</v>
      </c>
      <c r="BH142" s="62">
        <f t="shared" si="116"/>
        <v>293.33333333333655</v>
      </c>
      <c r="BI142" s="62">
        <f ca="1">AVERAGE(OFFSET($BH$3,0,0,'Données projet'!$E$11+1,1))-AVERAGE(OFFSET($H$3,0,0,'Données projet'!$E$11+1,1))</f>
        <v>423.40903481736001</v>
      </c>
      <c r="BJ142" s="62">
        <f t="shared" si="146"/>
        <v>263.03039552465799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8.676457345831649E-16</v>
      </c>
      <c r="BS142" s="24">
        <f t="shared" si="117"/>
        <v>8.676457345831649E-16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3.4666666666666668</v>
      </c>
      <c r="BY142" s="13">
        <f>IF('Données projet'!$A$114&gt;35,BY141+BX142-CG141,IF(A142&lt;'Données projet'!$A$114,$BV$205^A142,IF(A142='Données projet'!$A$114,'Données projet'!$B$114,BY141+BX142-CG141)))</f>
        <v>303.86666666666594</v>
      </c>
      <c r="BZ142" s="14">
        <f>BY142*VLOOKUP('Données projet'!$B$12,Paramètres!$A$1:$I$89,3,0)*VLOOKUP('Données projet'!$B$12,Paramètres!$A$1:$I$89,5,0)</f>
        <v>142.20959999999965</v>
      </c>
      <c r="CA142" s="14">
        <f t="shared" si="147"/>
        <v>36.802731569585546</v>
      </c>
      <c r="CB142" s="22">
        <f t="shared" si="118"/>
        <v>311.77981081702757</v>
      </c>
      <c r="CC142" s="62">
        <f t="shared" si="119"/>
        <v>605.11314415036088</v>
      </c>
      <c r="CD142" s="62">
        <f ca="1">AVERAGE(OFFSET($CC$3,0,0,'Données projet'!$E$12+1,1))-AVERAGE(OFFSET($H$3,0,0,'Données projet'!$E$12+1,1))</f>
        <v>264.88170274686757</v>
      </c>
      <c r="CE142" s="62">
        <f t="shared" si="148"/>
        <v>160.81140876142001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411.60020200960821</v>
      </c>
      <c r="CZ142" s="62">
        <f t="shared" si="150"/>
        <v>261.95434270986397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1.60275955422971E-16</v>
      </c>
      <c r="DI142" s="24">
        <f t="shared" si="123"/>
        <v>1.60275955422971E-16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1.4210854715202004E-13</v>
      </c>
      <c r="DP142" s="18">
        <f>DO142*VLOOKUP('Données projet'!$B$14,Paramètres!$A$1:$I$89,3,0)*VLOOKUP('Données projet'!$B$14,Paramètres!$A$1:$I$89,5,0)</f>
        <v>9.3109520094003535E-14</v>
      </c>
      <c r="DQ142" s="14">
        <f t="shared" si="151"/>
        <v>1.4104420303656732E-12</v>
      </c>
      <c r="DR142" s="22">
        <f t="shared" si="124"/>
        <v>2.6186856170506036E-12</v>
      </c>
      <c r="DS142" s="62">
        <f t="shared" si="125"/>
        <v>293.33333333333593</v>
      </c>
      <c r="DT142" s="62">
        <f ca="1">AVERAGE(OFFSET($DS$3,0,0,'Données projet'!$E$14+1,1))-AVERAGE(OFFSET($H$3,0,0,'Données projet'!$E$14+1,1))</f>
        <v>240.134073924311</v>
      </c>
      <c r="DU142" s="62">
        <f t="shared" si="152"/>
        <v>237.10378497981156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0.15113119741218883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6.5633674280739417E-16</v>
      </c>
      <c r="ED142" s="24">
        <f t="shared" si="126"/>
        <v>0.1511311974121895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4.4337866711430253E-14</v>
      </c>
      <c r="P143" s="14">
        <f t="shared" si="141"/>
        <v>7.3222115536967035E-13</v>
      </c>
      <c r="Q143" s="22">
        <f t="shared" si="108"/>
        <v>1.3525069634579169E-12</v>
      </c>
      <c r="R143" s="62">
        <f t="shared" si="109"/>
        <v>293.33333333333468</v>
      </c>
      <c r="S143" s="62">
        <f ca="1">AVERAGE(OFFSET($R$3,0,0,'Données projet'!$E$9+1,1))-AVERAGE(OFFSET($H$3,0,0,'Données projet'!$E$9+1,1))</f>
        <v>288.82868507674738</v>
      </c>
      <c r="T143" s="62">
        <f t="shared" si="142"/>
        <v>283.48738729114024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8.2234222430322801E-2</v>
      </c>
      <c r="AB143" s="23">
        <f>EXP(-LN(2)/2)*AB142+(1-EXP(-LN(2)/2))/(LN(2)/2)*V143*Y143*VLOOKUP('Données projet'!$B$9,Paramètres!$A$1:$I$89,3,0)*0.475*44/12</f>
        <v>9.4293921527825098E-17</v>
      </c>
      <c r="AC143" s="24">
        <f t="shared" si="111"/>
        <v>8.2234222430322898E-2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293.33333333333616</v>
      </c>
      <c r="AN143" s="62">
        <f ca="1">AVERAGE(OFFSET($AM$3,0,0,'Données projet'!$E$10+1,1))-AVERAGE(OFFSET($H$3,0,0,'Données projet'!$E$10+1,1))</f>
        <v>371.95849973474657</v>
      </c>
      <c r="AO143" s="62">
        <f t="shared" si="144"/>
        <v>233.32640143610547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5.3110529239249791E-16</v>
      </c>
      <c r="AX143" s="23">
        <f t="shared" si="114"/>
        <v>5.3110529239249791E-16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1.1882548278663309E-13</v>
      </c>
      <c r="BF143" s="14">
        <f t="shared" si="145"/>
        <v>1.7496137229198366E-12</v>
      </c>
      <c r="BG143" s="22">
        <f t="shared" si="115"/>
        <v>3.2541982832721012E-12</v>
      </c>
      <c r="BH143" s="62">
        <f t="shared" si="116"/>
        <v>293.33333333333655</v>
      </c>
      <c r="BI143" s="62">
        <f ca="1">AVERAGE(OFFSET($BH$3,0,0,'Données projet'!$E$11+1,1))-AVERAGE(OFFSET($H$3,0,0,'Données projet'!$E$11+1,1))</f>
        <v>423.40903481736001</v>
      </c>
      <c r="BJ143" s="62">
        <f t="shared" si="146"/>
        <v>263.03039552465799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6.1351818259133933E-16</v>
      </c>
      <c r="BS143" s="24">
        <f t="shared" si="117"/>
        <v>6.1351818259133933E-16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3.4666666666666668</v>
      </c>
      <c r="BY143" s="13">
        <f>IF('Données projet'!$A$114&gt;35,BY142+BX143-CG142,IF(A143&lt;'Données projet'!$A$114,$BV$205^A143,IF(A143='Données projet'!$A$114,'Données projet'!$B$114,BY142+BX143-CG142)))</f>
        <v>307.33333333333258</v>
      </c>
      <c r="BZ143" s="14">
        <f>BY143*VLOOKUP('Données projet'!$B$12,Paramètres!$A$1:$I$89,3,0)*VLOOKUP('Données projet'!$B$12,Paramètres!$A$1:$I$89,5,0)</f>
        <v>143.83199999999962</v>
      </c>
      <c r="CA143" s="14">
        <f t="shared" si="147"/>
        <v>37.173478483869502</v>
      </c>
      <c r="CB143" s="22">
        <f t="shared" si="118"/>
        <v>315.25120835940533</v>
      </c>
      <c r="CC143" s="62">
        <f t="shared" si="119"/>
        <v>608.58454169273864</v>
      </c>
      <c r="CD143" s="62">
        <f ca="1">AVERAGE(OFFSET($CC$3,0,0,'Données projet'!$E$12+1,1))-AVERAGE(OFFSET($H$3,0,0,'Données projet'!$E$12+1,1))</f>
        <v>264.88170274686757</v>
      </c>
      <c r="CE143" s="62">
        <f t="shared" si="148"/>
        <v>160.81140876142001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411.60020200960821</v>
      </c>
      <c r="CZ143" s="62">
        <f t="shared" si="150"/>
        <v>261.95434270986397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1.133322149407356E-16</v>
      </c>
      <c r="DI143" s="24">
        <f t="shared" si="123"/>
        <v>1.133322149407356E-16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1.4210854715202004E-13</v>
      </c>
      <c r="DP143" s="18">
        <f>DO143*VLOOKUP('Données projet'!$B$14,Paramètres!$A$1:$I$89,3,0)*VLOOKUP('Données projet'!$B$14,Paramètres!$A$1:$I$89,5,0)</f>
        <v>9.3109520094003535E-14</v>
      </c>
      <c r="DQ143" s="14">
        <f t="shared" si="151"/>
        <v>1.4104420303656732E-12</v>
      </c>
      <c r="DR143" s="22">
        <f t="shared" si="124"/>
        <v>2.6186856170506036E-12</v>
      </c>
      <c r="DS143" s="62">
        <f t="shared" si="125"/>
        <v>293.33333333333593</v>
      </c>
      <c r="DT143" s="62">
        <f ca="1">AVERAGE(OFFSET($DS$3,0,0,'Données projet'!$E$14+1,1))-AVERAGE(OFFSET($H$3,0,0,'Données projet'!$E$14+1,1))</f>
        <v>240.134073924311</v>
      </c>
      <c r="DU143" s="62">
        <f t="shared" si="152"/>
        <v>237.10378497981156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0.14816760681186411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4.6410016158099939E-16</v>
      </c>
      <c r="ED143" s="24">
        <f t="shared" si="126"/>
        <v>0.14816760681186458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4.4337866711430253E-14</v>
      </c>
      <c r="P144" s="14">
        <f t="shared" si="141"/>
        <v>7.3222115536967035E-13</v>
      </c>
      <c r="Q144" s="22">
        <f t="shared" si="108"/>
        <v>1.3525069634579169E-12</v>
      </c>
      <c r="R144" s="62">
        <f t="shared" si="109"/>
        <v>293.33333333333468</v>
      </c>
      <c r="S144" s="62">
        <f ca="1">AVERAGE(OFFSET($R$3,0,0,'Données projet'!$E$9+1,1))-AVERAGE(OFFSET($H$3,0,0,'Données projet'!$E$9+1,1))</f>
        <v>288.82868507674738</v>
      </c>
      <c r="T144" s="62">
        <f t="shared" si="142"/>
        <v>283.48738729114024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7.9985523293455818E-2</v>
      </c>
      <c r="AB144" s="23">
        <f>EXP(-LN(2)/2)*AB143+(1-EXP(-LN(2)/2))/(LN(2)/2)*V144*Y144*VLOOKUP('Données projet'!$B$9,Paramètres!$A$1:$I$89,3,0)*0.475*44/12</f>
        <v>6.6675871336997303E-17</v>
      </c>
      <c r="AC144" s="24">
        <f t="shared" si="111"/>
        <v>7.9985523293455887E-2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293.33333333333616</v>
      </c>
      <c r="AN144" s="62">
        <f ca="1">AVERAGE(OFFSET($AM$3,0,0,'Données projet'!$E$10+1,1))-AVERAGE(OFFSET($H$3,0,0,'Données projet'!$E$10+1,1))</f>
        <v>371.95849973474657</v>
      </c>
      <c r="AO144" s="62">
        <f t="shared" si="144"/>
        <v>233.32640143610547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3.7554815377479937E-16</v>
      </c>
      <c r="AX144" s="23">
        <f t="shared" si="114"/>
        <v>3.7554815377479937E-16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1.1882548278663309E-13</v>
      </c>
      <c r="BF144" s="14">
        <f t="shared" si="145"/>
        <v>1.7496137229198366E-12</v>
      </c>
      <c r="BG144" s="22">
        <f t="shared" si="115"/>
        <v>3.2541982832721012E-12</v>
      </c>
      <c r="BH144" s="62">
        <f t="shared" si="116"/>
        <v>293.33333333333655</v>
      </c>
      <c r="BI144" s="62">
        <f ca="1">AVERAGE(OFFSET($BH$3,0,0,'Données projet'!$E$11+1,1))-AVERAGE(OFFSET($H$3,0,0,'Données projet'!$E$11+1,1))</f>
        <v>423.40903481736001</v>
      </c>
      <c r="BJ144" s="62">
        <f t="shared" si="146"/>
        <v>263.03039552465799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4.3382286729158255E-16</v>
      </c>
      <c r="BS144" s="24">
        <f t="shared" si="117"/>
        <v>4.3382286729158255E-16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3.4666666666666668</v>
      </c>
      <c r="BY144" s="13">
        <f>IF('Données projet'!$A$114&gt;35,BY143+BX144-CG143,IF(A144&lt;'Données projet'!$A$114,$BV$205^A144,IF(A144='Données projet'!$A$114,'Données projet'!$B$114,BY143+BX144-CG143)))</f>
        <v>310.79999999999922</v>
      </c>
      <c r="BZ144" s="14">
        <f>BY144*VLOOKUP('Données projet'!$B$12,Paramètres!$A$1:$I$89,3,0)*VLOOKUP('Données projet'!$B$12,Paramètres!$A$1:$I$89,5,0)</f>
        <v>145.45439999999962</v>
      </c>
      <c r="CA144" s="14">
        <f t="shared" si="147"/>
        <v>37.543738926424879</v>
      </c>
      <c r="CB144" s="22">
        <f t="shared" si="118"/>
        <v>318.7217586301893</v>
      </c>
      <c r="CC144" s="62">
        <f t="shared" si="119"/>
        <v>612.05509196352261</v>
      </c>
      <c r="CD144" s="62">
        <f ca="1">AVERAGE(OFFSET($CC$3,0,0,'Données projet'!$E$12+1,1))-AVERAGE(OFFSET($H$3,0,0,'Données projet'!$E$12+1,1))</f>
        <v>264.88170274686757</v>
      </c>
      <c r="CE144" s="62">
        <f t="shared" si="148"/>
        <v>160.81140876142001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411.60020200960821</v>
      </c>
      <c r="CZ144" s="62">
        <f t="shared" si="150"/>
        <v>261.95434270986397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8.0137977711485499E-17</v>
      </c>
      <c r="DI144" s="24">
        <f t="shared" si="123"/>
        <v>8.0137977711485499E-17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1.4210854715202004E-13</v>
      </c>
      <c r="DP144" s="18">
        <f>DO144*VLOOKUP('Données projet'!$B$14,Paramètres!$A$1:$I$89,3,0)*VLOOKUP('Données projet'!$B$14,Paramètres!$A$1:$I$89,5,0)</f>
        <v>9.3109520094003535E-14</v>
      </c>
      <c r="DQ144" s="14">
        <f t="shared" si="151"/>
        <v>1.4104420303656732E-12</v>
      </c>
      <c r="DR144" s="22">
        <f t="shared" si="124"/>
        <v>2.6186856170506036E-12</v>
      </c>
      <c r="DS144" s="62">
        <f t="shared" si="125"/>
        <v>293.33333333333593</v>
      </c>
      <c r="DT144" s="62">
        <f ca="1">AVERAGE(OFFSET($DS$3,0,0,'Données projet'!$E$14+1,1))-AVERAGE(OFFSET($H$3,0,0,'Données projet'!$E$14+1,1))</f>
        <v>240.134073924311</v>
      </c>
      <c r="DU144" s="62">
        <f t="shared" si="152"/>
        <v>237.10378497981156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0.14526213041559999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3.2816837140369709E-16</v>
      </c>
      <c r="ED144" s="24">
        <f t="shared" si="126"/>
        <v>0.14526213041560032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4.4337866711430253E-14</v>
      </c>
      <c r="P145" s="14">
        <f t="shared" si="141"/>
        <v>7.3222115536967035E-13</v>
      </c>
      <c r="Q145" s="22">
        <f t="shared" si="108"/>
        <v>1.3525069634579169E-12</v>
      </c>
      <c r="R145" s="62">
        <f t="shared" si="109"/>
        <v>293.33333333333468</v>
      </c>
      <c r="S145" s="62">
        <f ca="1">AVERAGE(OFFSET($R$3,0,0,'Données projet'!$E$9+1,1))-AVERAGE(OFFSET($H$3,0,0,'Données projet'!$E$9+1,1))</f>
        <v>288.82868507674738</v>
      </c>
      <c r="T145" s="62">
        <f t="shared" si="142"/>
        <v>283.48738729114024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7.7798314952740408E-2</v>
      </c>
      <c r="AB145" s="23">
        <f>EXP(-LN(2)/2)*AB144+(1-EXP(-LN(2)/2))/(LN(2)/2)*V145*Y145*VLOOKUP('Données projet'!$B$9,Paramètres!$A$1:$I$89,3,0)*0.475*44/12</f>
        <v>4.7146960763912549E-17</v>
      </c>
      <c r="AC145" s="24">
        <f t="shared" si="111"/>
        <v>7.7798314952740449E-2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293.33333333333616</v>
      </c>
      <c r="AN145" s="62">
        <f ca="1">AVERAGE(OFFSET($AM$3,0,0,'Données projet'!$E$10+1,1))-AVERAGE(OFFSET($H$3,0,0,'Données projet'!$E$10+1,1))</f>
        <v>371.95849973474657</v>
      </c>
      <c r="AO145" s="62">
        <f t="shared" si="144"/>
        <v>233.32640143610547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2.6555264619624895E-16</v>
      </c>
      <c r="AX145" s="23">
        <f t="shared" si="114"/>
        <v>2.6555264619624895E-16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1.1882548278663309E-13</v>
      </c>
      <c r="BF145" s="14">
        <f t="shared" si="145"/>
        <v>1.7496137229198366E-12</v>
      </c>
      <c r="BG145" s="22">
        <f t="shared" si="115"/>
        <v>3.2541982832721012E-12</v>
      </c>
      <c r="BH145" s="62">
        <f t="shared" si="116"/>
        <v>293.33333333333655</v>
      </c>
      <c r="BI145" s="62">
        <f ca="1">AVERAGE(OFFSET($BH$3,0,0,'Données projet'!$E$11+1,1))-AVERAGE(OFFSET($H$3,0,0,'Données projet'!$E$11+1,1))</f>
        <v>423.40903481736001</v>
      </c>
      <c r="BJ145" s="62">
        <f t="shared" si="146"/>
        <v>263.03039552465799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3.0675909129566972E-16</v>
      </c>
      <c r="BS145" s="24">
        <f t="shared" si="117"/>
        <v>3.0675909129566972E-16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3.4666666666666668</v>
      </c>
      <c r="BY145" s="13">
        <f>IF('Données projet'!$A$114&gt;35,BY144+BX145-CG144,IF(A145&lt;'Données projet'!$A$114,$BV$205^A145,IF(A145='Données projet'!$A$114,'Données projet'!$B$114,BY144+BX145-CG144)))</f>
        <v>314.26666666666586</v>
      </c>
      <c r="BZ145" s="14">
        <f>BY145*VLOOKUP('Données projet'!$B$12,Paramètres!$A$1:$I$89,3,0)*VLOOKUP('Données projet'!$B$12,Paramètres!$A$1:$I$89,5,0)</f>
        <v>147.07679999999962</v>
      </c>
      <c r="CA145" s="14">
        <f t="shared" si="147"/>
        <v>37.913518951283663</v>
      </c>
      <c r="CB145" s="22">
        <f t="shared" si="118"/>
        <v>322.19147217348507</v>
      </c>
      <c r="CC145" s="62">
        <f t="shared" si="119"/>
        <v>615.52480550681844</v>
      </c>
      <c r="CD145" s="62">
        <f ca="1">AVERAGE(OFFSET($CC$3,0,0,'Données projet'!$E$12+1,1))-AVERAGE(OFFSET($H$3,0,0,'Données projet'!$E$12+1,1))</f>
        <v>264.88170274686757</v>
      </c>
      <c r="CE145" s="62">
        <f t="shared" si="148"/>
        <v>160.81140876142001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411.60020200960821</v>
      </c>
      <c r="CZ145" s="62">
        <f t="shared" si="150"/>
        <v>261.95434270986397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5.6666107470367798E-17</v>
      </c>
      <c r="DI145" s="24">
        <f t="shared" si="123"/>
        <v>5.6666107470367798E-17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1.4210854715202004E-13</v>
      </c>
      <c r="DP145" s="18">
        <f>DO145*VLOOKUP('Données projet'!$B$14,Paramètres!$A$1:$I$89,3,0)*VLOOKUP('Données projet'!$B$14,Paramètres!$A$1:$I$89,5,0)</f>
        <v>9.3109520094003535E-14</v>
      </c>
      <c r="DQ145" s="14">
        <f t="shared" si="151"/>
        <v>1.4104420303656732E-12</v>
      </c>
      <c r="DR145" s="22">
        <f t="shared" si="124"/>
        <v>2.6186856170506036E-12</v>
      </c>
      <c r="DS145" s="62">
        <f t="shared" si="125"/>
        <v>293.33333333333593</v>
      </c>
      <c r="DT145" s="62">
        <f ca="1">AVERAGE(OFFSET($DS$3,0,0,'Données projet'!$E$14+1,1))-AVERAGE(OFFSET($H$3,0,0,'Données projet'!$E$14+1,1))</f>
        <v>240.134073924311</v>
      </c>
      <c r="DU145" s="62">
        <f t="shared" si="152"/>
        <v>237.10378497981156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0.14241362863930099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2.3205008079049969E-16</v>
      </c>
      <c r="ED145" s="24">
        <f t="shared" si="126"/>
        <v>0.14241362863930121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4.4337866711430253E-14</v>
      </c>
      <c r="P146" s="14">
        <f t="shared" si="141"/>
        <v>7.3222115536967035E-13</v>
      </c>
      <c r="Q146" s="22">
        <f t="shared" si="108"/>
        <v>1.3525069634579169E-12</v>
      </c>
      <c r="R146" s="62">
        <f t="shared" si="109"/>
        <v>293.33333333333468</v>
      </c>
      <c r="S146" s="62">
        <f ca="1">AVERAGE(OFFSET($R$3,0,0,'Données projet'!$E$9+1,1))-AVERAGE(OFFSET($H$3,0,0,'Données projet'!$E$9+1,1))</f>
        <v>288.82868507674738</v>
      </c>
      <c r="T146" s="62">
        <f t="shared" si="142"/>
        <v>283.48738729114024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7.5670915939122146E-2</v>
      </c>
      <c r="AB146" s="23">
        <f>EXP(-LN(2)/2)*AB145+(1-EXP(-LN(2)/2))/(LN(2)/2)*V146*Y146*VLOOKUP('Données projet'!$B$9,Paramètres!$A$1:$I$89,3,0)*0.475*44/12</f>
        <v>3.3337935668498652E-17</v>
      </c>
      <c r="AC146" s="24">
        <f t="shared" si="111"/>
        <v>7.5670915939122174E-2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293.33333333333616</v>
      </c>
      <c r="AN146" s="62">
        <f ca="1">AVERAGE(OFFSET($AM$3,0,0,'Données projet'!$E$10+1,1))-AVERAGE(OFFSET($H$3,0,0,'Données projet'!$E$10+1,1))</f>
        <v>371.95849973474657</v>
      </c>
      <c r="AO146" s="62">
        <f t="shared" si="144"/>
        <v>233.32640143610547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1.8777407688739968E-16</v>
      </c>
      <c r="AX146" s="23">
        <f t="shared" si="114"/>
        <v>1.8777407688739968E-16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1.1882548278663309E-13</v>
      </c>
      <c r="BF146" s="14">
        <f t="shared" si="145"/>
        <v>1.7496137229198366E-12</v>
      </c>
      <c r="BG146" s="22">
        <f t="shared" si="115"/>
        <v>3.2541982832721012E-12</v>
      </c>
      <c r="BH146" s="62">
        <f t="shared" si="116"/>
        <v>293.33333333333655</v>
      </c>
      <c r="BI146" s="62">
        <f ca="1">AVERAGE(OFFSET($BH$3,0,0,'Données projet'!$E$11+1,1))-AVERAGE(OFFSET($H$3,0,0,'Données projet'!$E$11+1,1))</f>
        <v>423.40903481736001</v>
      </c>
      <c r="BJ146" s="62">
        <f t="shared" si="146"/>
        <v>263.03039552465799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2.169114336457913E-16</v>
      </c>
      <c r="BS146" s="24">
        <f t="shared" si="117"/>
        <v>2.169114336457913E-16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3.4666666666666668</v>
      </c>
      <c r="BY146" s="13">
        <f>IF('Données projet'!$A$114&gt;35,BY145+BX146-CG145,IF(A146&lt;'Données projet'!$A$114,$BV$205^A146,IF(A146='Données projet'!$A$114,'Données projet'!$B$114,BY145+BX146-CG145)))</f>
        <v>317.7333333333325</v>
      </c>
      <c r="BZ146" s="14">
        <f>BY146*VLOOKUP('Données projet'!$B$12,Paramètres!$A$1:$I$89,3,0)*VLOOKUP('Données projet'!$B$12,Paramètres!$A$1:$I$89,5,0)</f>
        <v>148.69919999999959</v>
      </c>
      <c r="CA146" s="14">
        <f t="shared" si="147"/>
        <v>38.282824471223009</v>
      </c>
      <c r="CB146" s="22">
        <f t="shared" si="118"/>
        <v>325.66035928737932</v>
      </c>
      <c r="CC146" s="62">
        <f t="shared" si="119"/>
        <v>618.99369262071264</v>
      </c>
      <c r="CD146" s="62">
        <f ca="1">AVERAGE(OFFSET($CC$3,0,0,'Données projet'!$E$12+1,1))-AVERAGE(OFFSET($H$3,0,0,'Données projet'!$E$12+1,1))</f>
        <v>264.88170274686757</v>
      </c>
      <c r="CE146" s="62">
        <f t="shared" si="148"/>
        <v>160.81140876142001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411.60020200960821</v>
      </c>
      <c r="CZ146" s="62">
        <f t="shared" si="150"/>
        <v>261.95434270986397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4.006898885574275E-17</v>
      </c>
      <c r="DI146" s="24">
        <f t="shared" si="123"/>
        <v>4.006898885574275E-17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1.4210854715202004E-13</v>
      </c>
      <c r="DP146" s="18">
        <f>DO146*VLOOKUP('Données projet'!$B$14,Paramètres!$A$1:$I$89,3,0)*VLOOKUP('Données projet'!$B$14,Paramètres!$A$1:$I$89,5,0)</f>
        <v>9.3109520094003535E-14</v>
      </c>
      <c r="DQ146" s="14">
        <f t="shared" si="151"/>
        <v>1.4104420303656732E-12</v>
      </c>
      <c r="DR146" s="22">
        <f t="shared" si="124"/>
        <v>2.6186856170506036E-12</v>
      </c>
      <c r="DS146" s="62">
        <f t="shared" si="125"/>
        <v>293.33333333333593</v>
      </c>
      <c r="DT146" s="62">
        <f ca="1">AVERAGE(OFFSET($DS$3,0,0,'Données projet'!$E$14+1,1))-AVERAGE(OFFSET($H$3,0,0,'Données projet'!$E$14+1,1))</f>
        <v>240.134073924311</v>
      </c>
      <c r="DU146" s="62">
        <f t="shared" si="152"/>
        <v>237.10378497981156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0.13962098424542069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1.6408418570184854E-16</v>
      </c>
      <c r="ED146" s="24">
        <f t="shared" si="126"/>
        <v>0.13962098424542085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4.4337866711430253E-14</v>
      </c>
      <c r="P147" s="14">
        <f t="shared" si="141"/>
        <v>7.3222115536967035E-13</v>
      </c>
      <c r="Q147" s="22">
        <f t="shared" si="108"/>
        <v>1.3525069634579169E-12</v>
      </c>
      <c r="R147" s="62">
        <f t="shared" si="109"/>
        <v>293.33333333333468</v>
      </c>
      <c r="S147" s="62">
        <f ca="1">AVERAGE(OFFSET($R$3,0,0,'Données projet'!$E$9+1,1))-AVERAGE(OFFSET($H$3,0,0,'Données projet'!$E$9+1,1))</f>
        <v>288.82868507674738</v>
      </c>
      <c r="T147" s="62">
        <f t="shared" si="142"/>
        <v>283.48738729114024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7.3601690763406336E-2</v>
      </c>
      <c r="AB147" s="23">
        <f>EXP(-LN(2)/2)*AB146+(1-EXP(-LN(2)/2))/(LN(2)/2)*V147*Y147*VLOOKUP('Données projet'!$B$9,Paramètres!$A$1:$I$89,3,0)*0.475*44/12</f>
        <v>2.3573480381956274E-17</v>
      </c>
      <c r="AC147" s="24">
        <f t="shared" si="111"/>
        <v>7.3601690763406363E-2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293.33333333333616</v>
      </c>
      <c r="AN147" s="62">
        <f ca="1">AVERAGE(OFFSET($AM$3,0,0,'Données projet'!$E$10+1,1))-AVERAGE(OFFSET($H$3,0,0,'Données projet'!$E$10+1,1))</f>
        <v>371.95849973474657</v>
      </c>
      <c r="AO147" s="62">
        <f t="shared" si="144"/>
        <v>233.32640143610547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1.3277632309812448E-16</v>
      </c>
      <c r="AX147" s="23">
        <f t="shared" si="114"/>
        <v>1.3277632309812448E-16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1.1882548278663309E-13</v>
      </c>
      <c r="BF147" s="14">
        <f t="shared" si="145"/>
        <v>1.7496137229198366E-12</v>
      </c>
      <c r="BG147" s="22">
        <f t="shared" si="115"/>
        <v>3.2541982832721012E-12</v>
      </c>
      <c r="BH147" s="62">
        <f t="shared" si="116"/>
        <v>293.33333333333655</v>
      </c>
      <c r="BI147" s="62">
        <f ca="1">AVERAGE(OFFSET($BH$3,0,0,'Données projet'!$E$11+1,1))-AVERAGE(OFFSET($H$3,0,0,'Données projet'!$E$11+1,1))</f>
        <v>423.40903481736001</v>
      </c>
      <c r="BJ147" s="62">
        <f t="shared" si="146"/>
        <v>263.03039552465799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1.5337954564783488E-16</v>
      </c>
      <c r="BS147" s="24">
        <f t="shared" si="117"/>
        <v>1.5337954564783488E-16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3.4666666666666668</v>
      </c>
      <c r="BY147" s="13">
        <f>IF('Données projet'!$A$114&gt;35,BY146+BX147-CG146,IF(A147&lt;'Données projet'!$A$114,$BV$205^A147,IF(A147='Données projet'!$A$114,'Données projet'!$B$114,BY146+BX147-CG146)))</f>
        <v>321.19999999999914</v>
      </c>
      <c r="BZ147" s="14">
        <f>BY147*VLOOKUP('Données projet'!$B$12,Paramètres!$A$1:$I$89,3,0)*VLOOKUP('Données projet'!$B$12,Paramètres!$A$1:$I$89,5,0)</f>
        <v>150.32159999999959</v>
      </c>
      <c r="CA147" s="14">
        <f t="shared" si="147"/>
        <v>38.65166126256517</v>
      </c>
      <c r="CB147" s="22">
        <f t="shared" si="118"/>
        <v>329.12843003230029</v>
      </c>
      <c r="CC147" s="62">
        <f t="shared" si="119"/>
        <v>622.4617633656336</v>
      </c>
      <c r="CD147" s="62">
        <f ca="1">AVERAGE(OFFSET($CC$3,0,0,'Données projet'!$E$12+1,1))-AVERAGE(OFFSET($H$3,0,0,'Données projet'!$E$12+1,1))</f>
        <v>264.88170274686757</v>
      </c>
      <c r="CE147" s="62">
        <f t="shared" si="148"/>
        <v>160.81140876142001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411.60020200960821</v>
      </c>
      <c r="CZ147" s="62">
        <f t="shared" si="150"/>
        <v>261.95434270986397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2.8333053735183899E-17</v>
      </c>
      <c r="DI147" s="24">
        <f t="shared" si="123"/>
        <v>2.8333053735183899E-17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1.4210854715202004E-13</v>
      </c>
      <c r="DP147" s="18">
        <f>DO147*VLOOKUP('Données projet'!$B$14,Paramètres!$A$1:$I$89,3,0)*VLOOKUP('Données projet'!$B$14,Paramètres!$A$1:$I$89,5,0)</f>
        <v>9.3109520094003535E-14</v>
      </c>
      <c r="DQ147" s="14">
        <f t="shared" si="151"/>
        <v>1.4104420303656732E-12</v>
      </c>
      <c r="DR147" s="22">
        <f t="shared" si="124"/>
        <v>2.6186856170506036E-12</v>
      </c>
      <c r="DS147" s="62">
        <f t="shared" si="125"/>
        <v>293.33333333333593</v>
      </c>
      <c r="DT147" s="62">
        <f ca="1">AVERAGE(OFFSET($DS$3,0,0,'Données projet'!$E$14+1,1))-AVERAGE(OFFSET($H$3,0,0,'Données projet'!$E$14+1,1))</f>
        <v>240.134073924311</v>
      </c>
      <c r="DU147" s="62">
        <f t="shared" si="152"/>
        <v>237.10378497981156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0.1368831019047595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1.1602504039524985E-16</v>
      </c>
      <c r="ED147" s="24">
        <f t="shared" si="126"/>
        <v>0.13688310190475961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4.4337866711430253E-14</v>
      </c>
      <c r="P148" s="14">
        <f t="shared" si="141"/>
        <v>7.3222115536967035E-13</v>
      </c>
      <c r="Q148" s="22">
        <f t="shared" si="108"/>
        <v>1.3525069634579169E-12</v>
      </c>
      <c r="R148" s="62">
        <f t="shared" si="109"/>
        <v>293.33333333333468</v>
      </c>
      <c r="S148" s="62">
        <f ca="1">AVERAGE(OFFSET($R$3,0,0,'Données projet'!$E$9+1,1))-AVERAGE(OFFSET($H$3,0,0,'Données projet'!$E$9+1,1))</f>
        <v>288.82868507674738</v>
      </c>
      <c r="T148" s="62">
        <f t="shared" si="142"/>
        <v>283.48738729114024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7.1589048658936297E-2</v>
      </c>
      <c r="AB148" s="23">
        <f>EXP(-LN(2)/2)*AB147+(1-EXP(-LN(2)/2))/(LN(2)/2)*V148*Y148*VLOOKUP('Données projet'!$B$9,Paramètres!$A$1:$I$89,3,0)*0.475*44/12</f>
        <v>1.6668967834249326E-17</v>
      </c>
      <c r="AC148" s="24">
        <f t="shared" si="111"/>
        <v>7.1589048658936311E-2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293.33333333333616</v>
      </c>
      <c r="AN148" s="62">
        <f ca="1">AVERAGE(OFFSET($AM$3,0,0,'Données projet'!$E$10+1,1))-AVERAGE(OFFSET($H$3,0,0,'Données projet'!$E$10+1,1))</f>
        <v>371.95849973474657</v>
      </c>
      <c r="AO148" s="62">
        <f t="shared" si="144"/>
        <v>233.32640143610547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9.3887038443699842E-17</v>
      </c>
      <c r="AX148" s="23">
        <f t="shared" si="114"/>
        <v>9.3887038443699842E-17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1.1882548278663309E-13</v>
      </c>
      <c r="BF148" s="14">
        <f t="shared" si="145"/>
        <v>1.7496137229198366E-12</v>
      </c>
      <c r="BG148" s="22">
        <f t="shared" si="115"/>
        <v>3.2541982832721012E-12</v>
      </c>
      <c r="BH148" s="62">
        <f t="shared" si="116"/>
        <v>293.33333333333655</v>
      </c>
      <c r="BI148" s="62">
        <f ca="1">AVERAGE(OFFSET($BH$3,0,0,'Données projet'!$E$11+1,1))-AVERAGE(OFFSET($H$3,0,0,'Données projet'!$E$11+1,1))</f>
        <v>423.40903481736001</v>
      </c>
      <c r="BJ148" s="62">
        <f t="shared" si="146"/>
        <v>263.03039552465799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1.0845571682289566E-16</v>
      </c>
      <c r="BS148" s="24">
        <f t="shared" si="117"/>
        <v>1.0845571682289566E-16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3.4666666666666668</v>
      </c>
      <c r="BY148" s="13">
        <f>IF('Données projet'!$A$114&gt;35,BY147+BX148-CG147,IF(A148&lt;'Données projet'!$A$114,$BV$205^A148,IF(A148='Données projet'!$A$114,'Données projet'!$B$114,BY147+BX148-CG147)))</f>
        <v>324.66666666666578</v>
      </c>
      <c r="BZ148" s="14">
        <f>BY148*VLOOKUP('Données projet'!$B$12,Paramètres!$A$1:$I$89,3,0)*VLOOKUP('Données projet'!$B$12,Paramètres!$A$1:$I$89,5,0)</f>
        <v>151.94399999999956</v>
      </c>
      <c r="CA148" s="14">
        <f t="shared" si="147"/>
        <v>39.020034969765064</v>
      </c>
      <c r="CB148" s="22">
        <f t="shared" si="118"/>
        <v>332.59569423900672</v>
      </c>
      <c r="CC148" s="62">
        <f t="shared" si="119"/>
        <v>625.92902757234003</v>
      </c>
      <c r="CD148" s="62">
        <f ca="1">AVERAGE(OFFSET($CC$3,0,0,'Données projet'!$E$12+1,1))-AVERAGE(OFFSET($H$3,0,0,'Données projet'!$E$12+1,1))</f>
        <v>264.88170274686757</v>
      </c>
      <c r="CE148" s="62">
        <f t="shared" si="148"/>
        <v>160.81140876142001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411.60020200960821</v>
      </c>
      <c r="CZ148" s="62">
        <f t="shared" si="150"/>
        <v>261.95434270986397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2.0034494427871375E-17</v>
      </c>
      <c r="DI148" s="24">
        <f t="shared" si="123"/>
        <v>2.0034494427871375E-17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1.4210854715202004E-13</v>
      </c>
      <c r="DP148" s="18">
        <f>DO148*VLOOKUP('Données projet'!$B$14,Paramètres!$A$1:$I$89,3,0)*VLOOKUP('Données projet'!$B$14,Paramètres!$A$1:$I$89,5,0)</f>
        <v>9.3109520094003535E-14</v>
      </c>
      <c r="DQ148" s="14">
        <f t="shared" si="151"/>
        <v>1.4104420303656732E-12</v>
      </c>
      <c r="DR148" s="22">
        <f t="shared" si="124"/>
        <v>2.6186856170506036E-12</v>
      </c>
      <c r="DS148" s="62">
        <f t="shared" si="125"/>
        <v>293.33333333333593</v>
      </c>
      <c r="DT148" s="62">
        <f ca="1">AVERAGE(OFFSET($DS$3,0,0,'Données projet'!$E$14+1,1))-AVERAGE(OFFSET($H$3,0,0,'Données projet'!$E$14+1,1))</f>
        <v>240.134073924311</v>
      </c>
      <c r="DU148" s="62">
        <f t="shared" si="152"/>
        <v>237.10378497981156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0.13419890776685534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8.2042092850924272E-17</v>
      </c>
      <c r="ED148" s="24">
        <f t="shared" si="126"/>
        <v>0.13419890776685542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4.4337866711430253E-14</v>
      </c>
      <c r="P149" s="14">
        <f t="shared" si="141"/>
        <v>7.3222115536967035E-13</v>
      </c>
      <c r="Q149" s="22">
        <f t="shared" si="108"/>
        <v>1.3525069634579169E-12</v>
      </c>
      <c r="R149" s="62">
        <f t="shared" si="109"/>
        <v>293.33333333333468</v>
      </c>
      <c r="S149" s="62">
        <f ca="1">AVERAGE(OFFSET($R$3,0,0,'Données projet'!$E$9+1,1))-AVERAGE(OFFSET($H$3,0,0,'Données projet'!$E$9+1,1))</f>
        <v>288.82868507674738</v>
      </c>
      <c r="T149" s="62">
        <f t="shared" si="142"/>
        <v>283.48738729114024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6.9631442358653234E-2</v>
      </c>
      <c r="AB149" s="23">
        <f>EXP(-LN(2)/2)*AB148+(1-EXP(-LN(2)/2))/(LN(2)/2)*V149*Y149*VLOOKUP('Données projet'!$B$9,Paramètres!$A$1:$I$89,3,0)*0.475*44/12</f>
        <v>1.1786740190978137E-17</v>
      </c>
      <c r="AC149" s="24">
        <f t="shared" si="111"/>
        <v>6.9631442358653248E-2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293.33333333333616</v>
      </c>
      <c r="AN149" s="62">
        <f ca="1">AVERAGE(OFFSET($AM$3,0,0,'Données projet'!$E$10+1,1))-AVERAGE(OFFSET($H$3,0,0,'Données projet'!$E$10+1,1))</f>
        <v>371.95849973474657</v>
      </c>
      <c r="AO149" s="62">
        <f t="shared" si="144"/>
        <v>233.32640143610547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6.6388161549062238E-17</v>
      </c>
      <c r="AX149" s="23">
        <f t="shared" si="114"/>
        <v>6.6388161549062238E-17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1.1882548278663309E-13</v>
      </c>
      <c r="BF149" s="14">
        <f t="shared" si="145"/>
        <v>1.7496137229198366E-12</v>
      </c>
      <c r="BG149" s="22">
        <f t="shared" si="115"/>
        <v>3.2541982832721012E-12</v>
      </c>
      <c r="BH149" s="62">
        <f t="shared" si="116"/>
        <v>293.33333333333655</v>
      </c>
      <c r="BI149" s="62">
        <f ca="1">AVERAGE(OFFSET($BH$3,0,0,'Données projet'!$E$11+1,1))-AVERAGE(OFFSET($H$3,0,0,'Données projet'!$E$11+1,1))</f>
        <v>423.40903481736001</v>
      </c>
      <c r="BJ149" s="62">
        <f t="shared" si="146"/>
        <v>263.03039552465799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7.6689772823917454E-17</v>
      </c>
      <c r="BS149" s="24">
        <f t="shared" si="117"/>
        <v>7.6689772823917454E-17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3.4666666666666668</v>
      </c>
      <c r="BY149" s="13">
        <f>IF('Données projet'!$A$114&gt;35,BY148+BX149-CG148,IF(A149&lt;'Données projet'!$A$114,$BV$205^A149,IF(A149='Données projet'!$A$114,'Données projet'!$B$114,BY148+BX149-CG148)))</f>
        <v>328.13333333333242</v>
      </c>
      <c r="BZ149" s="14">
        <f>BY149*VLOOKUP('Données projet'!$B$12,Paramètres!$A$1:$I$89,3,0)*VLOOKUP('Données projet'!$B$12,Paramètres!$A$1:$I$89,5,0)</f>
        <v>153.56639999999956</v>
      </c>
      <c r="CA149" s="14">
        <f t="shared" si="147"/>
        <v>39.387951109795495</v>
      </c>
      <c r="CB149" s="22">
        <f t="shared" si="118"/>
        <v>336.06216151622641</v>
      </c>
      <c r="CC149" s="62">
        <f t="shared" si="119"/>
        <v>629.39549484955978</v>
      </c>
      <c r="CD149" s="62">
        <f ca="1">AVERAGE(OFFSET($CC$3,0,0,'Données projet'!$E$12+1,1))-AVERAGE(OFFSET($H$3,0,0,'Données projet'!$E$12+1,1))</f>
        <v>264.88170274686757</v>
      </c>
      <c r="CE149" s="62">
        <f t="shared" si="148"/>
        <v>160.81140876142001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411.60020200960821</v>
      </c>
      <c r="CZ149" s="62">
        <f t="shared" si="150"/>
        <v>261.95434270986397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1.416652686759195E-17</v>
      </c>
      <c r="DI149" s="24">
        <f t="shared" si="123"/>
        <v>1.416652686759195E-17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1.4210854715202004E-13</v>
      </c>
      <c r="DP149" s="18">
        <f>DO149*VLOOKUP('Données projet'!$B$14,Paramètres!$A$1:$I$89,3,0)*VLOOKUP('Données projet'!$B$14,Paramètres!$A$1:$I$89,5,0)</f>
        <v>9.3109520094003535E-14</v>
      </c>
      <c r="DQ149" s="14">
        <f t="shared" si="151"/>
        <v>1.4104420303656732E-12</v>
      </c>
      <c r="DR149" s="22">
        <f t="shared" si="124"/>
        <v>2.6186856170506036E-12</v>
      </c>
      <c r="DS149" s="62">
        <f t="shared" si="125"/>
        <v>293.33333333333593</v>
      </c>
      <c r="DT149" s="62">
        <f ca="1">AVERAGE(OFFSET($DS$3,0,0,'Données projet'!$E$14+1,1))-AVERAGE(OFFSET($H$3,0,0,'Données projet'!$E$14+1,1))</f>
        <v>240.134073924311</v>
      </c>
      <c r="DU149" s="62">
        <f t="shared" si="152"/>
        <v>237.10378497981156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0.13156734903879871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5.8012520197624924E-17</v>
      </c>
      <c r="ED149" s="24">
        <f t="shared" si="126"/>
        <v>0.13156734903879877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4.4337866711430253E-14</v>
      </c>
      <c r="P150" s="14">
        <f t="shared" si="141"/>
        <v>7.3222115536967035E-13</v>
      </c>
      <c r="Q150" s="22">
        <f t="shared" si="108"/>
        <v>1.3525069634579169E-12</v>
      </c>
      <c r="R150" s="62">
        <f t="shared" si="109"/>
        <v>293.33333333333468</v>
      </c>
      <c r="S150" s="62">
        <f ca="1">AVERAGE(OFFSET($R$3,0,0,'Données projet'!$E$9+1,1))-AVERAGE(OFFSET($H$3,0,0,'Données projet'!$E$9+1,1))</f>
        <v>288.82868507674738</v>
      </c>
      <c r="T150" s="62">
        <f t="shared" si="142"/>
        <v>283.48738729114024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6.7727366905597455E-2</v>
      </c>
      <c r="AB150" s="23">
        <f>EXP(-LN(2)/2)*AB149+(1-EXP(-LN(2)/2))/(LN(2)/2)*V150*Y150*VLOOKUP('Données projet'!$B$9,Paramètres!$A$1:$I$89,3,0)*0.475*44/12</f>
        <v>8.3344839171246629E-18</v>
      </c>
      <c r="AC150" s="24">
        <f t="shared" si="111"/>
        <v>6.7727366905597469E-2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293.33333333333616</v>
      </c>
      <c r="AN150" s="62">
        <f ca="1">AVERAGE(OFFSET($AM$3,0,0,'Données projet'!$E$10+1,1))-AVERAGE(OFFSET($H$3,0,0,'Données projet'!$E$10+1,1))</f>
        <v>371.95849973474657</v>
      </c>
      <c r="AO150" s="62">
        <f t="shared" si="144"/>
        <v>233.32640143610547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4.6943519221849921E-17</v>
      </c>
      <c r="AX150" s="23">
        <f t="shared" si="114"/>
        <v>4.6943519221849921E-17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1.1882548278663309E-13</v>
      </c>
      <c r="BF150" s="14">
        <f t="shared" si="145"/>
        <v>1.7496137229198366E-12</v>
      </c>
      <c r="BG150" s="22">
        <f t="shared" si="115"/>
        <v>3.2541982832721012E-12</v>
      </c>
      <c r="BH150" s="62">
        <f t="shared" si="116"/>
        <v>293.33333333333655</v>
      </c>
      <c r="BI150" s="62">
        <f ca="1">AVERAGE(OFFSET($BH$3,0,0,'Données projet'!$E$11+1,1))-AVERAGE(OFFSET($H$3,0,0,'Données projet'!$E$11+1,1))</f>
        <v>423.40903481736001</v>
      </c>
      <c r="BJ150" s="62">
        <f t="shared" si="146"/>
        <v>263.03039552465799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5.4227858411447843E-17</v>
      </c>
      <c r="BS150" s="24">
        <f t="shared" si="117"/>
        <v>5.4227858411447843E-17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3.4666666666666668</v>
      </c>
      <c r="BY150" s="13">
        <f>IF('Données projet'!$A$114&gt;35,BY149+BX150-CG149,IF(A150&lt;'Données projet'!$A$114,$BV$205^A150,IF(A150='Données projet'!$A$114,'Données projet'!$B$114,BY149+BX150-CG149)))</f>
        <v>331.59999999999906</v>
      </c>
      <c r="BZ150" s="14">
        <f>BY150*VLOOKUP('Données projet'!$B$12,Paramètres!$A$1:$I$89,3,0)*VLOOKUP('Données projet'!$B$12,Paramètres!$A$1:$I$89,5,0)</f>
        <v>155.18879999999956</v>
      </c>
      <c r="CA150" s="14">
        <f t="shared" si="147"/>
        <v>39.75541507634221</v>
      </c>
      <c r="CB150" s="22">
        <f t="shared" si="118"/>
        <v>339.52784125796194</v>
      </c>
      <c r="CC150" s="62">
        <f t="shared" si="119"/>
        <v>632.86117459129525</v>
      </c>
      <c r="CD150" s="62">
        <f ca="1">AVERAGE(OFFSET($CC$3,0,0,'Données projet'!$E$12+1,1))-AVERAGE(OFFSET($H$3,0,0,'Données projet'!$E$12+1,1))</f>
        <v>264.88170274686757</v>
      </c>
      <c r="CE150" s="62">
        <f t="shared" si="148"/>
        <v>160.81140876142001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411.60020200960821</v>
      </c>
      <c r="CZ150" s="62">
        <f t="shared" si="150"/>
        <v>261.95434270986397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1.0017247213935687E-17</v>
      </c>
      <c r="DI150" s="24">
        <f t="shared" si="123"/>
        <v>1.0017247213935687E-17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1.4210854715202004E-13</v>
      </c>
      <c r="DP150" s="18">
        <f>DO150*VLOOKUP('Données projet'!$B$14,Paramètres!$A$1:$I$89,3,0)*VLOOKUP('Données projet'!$B$14,Paramètres!$A$1:$I$89,5,0)</f>
        <v>9.3109520094003535E-14</v>
      </c>
      <c r="DQ150" s="14">
        <f t="shared" si="151"/>
        <v>1.4104420303656732E-12</v>
      </c>
      <c r="DR150" s="22">
        <f t="shared" si="124"/>
        <v>2.6186856170506036E-12</v>
      </c>
      <c r="DS150" s="62">
        <f t="shared" si="125"/>
        <v>293.33333333333593</v>
      </c>
      <c r="DT150" s="62">
        <f ca="1">AVERAGE(OFFSET($DS$3,0,0,'Données projet'!$E$14+1,1))-AVERAGE(OFFSET($H$3,0,0,'Données projet'!$E$14+1,1))</f>
        <v>240.134073924311</v>
      </c>
      <c r="DU150" s="62">
        <f t="shared" si="152"/>
        <v>237.10378497981156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0.12898739357230693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4.1021046425462136E-17</v>
      </c>
      <c r="ED150" s="24">
        <f t="shared" si="126"/>
        <v>0.12898739357230696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4.4337866711430253E-14</v>
      </c>
      <c r="P151" s="14">
        <f t="shared" si="141"/>
        <v>7.3222115536967035E-13</v>
      </c>
      <c r="Q151" s="22">
        <f t="shared" si="108"/>
        <v>1.3525069634579169E-12</v>
      </c>
      <c r="R151" s="62">
        <f t="shared" si="109"/>
        <v>293.33333333333468</v>
      </c>
      <c r="S151" s="62">
        <f ca="1">AVERAGE(OFFSET($R$3,0,0,'Données projet'!$E$9+1,1))-AVERAGE(OFFSET($H$3,0,0,'Données projet'!$E$9+1,1))</f>
        <v>288.82868507674738</v>
      </c>
      <c r="T151" s="62">
        <f t="shared" si="142"/>
        <v>283.48738729114024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6.5875358495936454E-2</v>
      </c>
      <c r="AB151" s="23">
        <f>EXP(-LN(2)/2)*AB150+(1-EXP(-LN(2)/2))/(LN(2)/2)*V151*Y151*VLOOKUP('Données projet'!$B$9,Paramètres!$A$1:$I$89,3,0)*0.475*44/12</f>
        <v>5.8933700954890686E-18</v>
      </c>
      <c r="AC151" s="24">
        <f t="shared" si="111"/>
        <v>6.5875358495936454E-2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293.33333333333616</v>
      </c>
      <c r="AN151" s="62">
        <f ca="1">AVERAGE(OFFSET($AM$3,0,0,'Données projet'!$E$10+1,1))-AVERAGE(OFFSET($H$3,0,0,'Données projet'!$E$10+1,1))</f>
        <v>371.95849973474657</v>
      </c>
      <c r="AO151" s="62">
        <f t="shared" si="144"/>
        <v>233.32640143610547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3.3194080774531119E-17</v>
      </c>
      <c r="AX151" s="23">
        <f t="shared" si="114"/>
        <v>3.3194080774531119E-17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1.1882548278663309E-13</v>
      </c>
      <c r="BF151" s="14">
        <f t="shared" si="145"/>
        <v>1.7496137229198366E-12</v>
      </c>
      <c r="BG151" s="22">
        <f t="shared" si="115"/>
        <v>3.2541982832721012E-12</v>
      </c>
      <c r="BH151" s="62">
        <f t="shared" si="116"/>
        <v>293.33333333333655</v>
      </c>
      <c r="BI151" s="62">
        <f ca="1">AVERAGE(OFFSET($BH$3,0,0,'Données projet'!$E$11+1,1))-AVERAGE(OFFSET($H$3,0,0,'Données projet'!$E$11+1,1))</f>
        <v>423.40903481736001</v>
      </c>
      <c r="BJ151" s="62">
        <f t="shared" si="146"/>
        <v>263.03039552465799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3.8344886411958733E-17</v>
      </c>
      <c r="BS151" s="24">
        <f t="shared" si="117"/>
        <v>3.8344886411958733E-17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3.4666666666666668</v>
      </c>
      <c r="BY151" s="13">
        <f>IF('Données projet'!$A$114&gt;35,BY150+BX151-CG150,IF(A151&lt;'Données projet'!$A$114,$BV$205^A151,IF(A151='Données projet'!$A$114,'Données projet'!$B$114,BY150+BX151-CG150)))</f>
        <v>335.0666666666657</v>
      </c>
      <c r="BZ151" s="14">
        <f>BY151*VLOOKUP('Données projet'!$B$12,Paramètres!$A$1:$I$89,3,0)*VLOOKUP('Données projet'!$B$12,Paramètres!$A$1:$I$89,5,0)</f>
        <v>156.81119999999953</v>
      </c>
      <c r="CA151" s="14">
        <f t="shared" si="147"/>
        <v>40.1224321438186</v>
      </c>
      <c r="CB151" s="22">
        <f t="shared" si="118"/>
        <v>342.99274265048325</v>
      </c>
      <c r="CC151" s="62">
        <f t="shared" si="119"/>
        <v>636.32607598381651</v>
      </c>
      <c r="CD151" s="62">
        <f ca="1">AVERAGE(OFFSET($CC$3,0,0,'Données projet'!$E$12+1,1))-AVERAGE(OFFSET($H$3,0,0,'Données projet'!$E$12+1,1))</f>
        <v>264.88170274686757</v>
      </c>
      <c r="CE151" s="62">
        <f t="shared" si="148"/>
        <v>160.81140876142001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411.60020200960821</v>
      </c>
      <c r="CZ151" s="62">
        <f t="shared" si="150"/>
        <v>261.95434270986397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7.0832634337959748E-18</v>
      </c>
      <c r="DI151" s="24">
        <f t="shared" si="123"/>
        <v>7.0832634337959748E-18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1.4210854715202004E-13</v>
      </c>
      <c r="DP151" s="18">
        <f>DO151*VLOOKUP('Données projet'!$B$14,Paramètres!$A$1:$I$89,3,0)*VLOOKUP('Données projet'!$B$14,Paramètres!$A$1:$I$89,5,0)</f>
        <v>9.3109520094003535E-14</v>
      </c>
      <c r="DQ151" s="14">
        <f t="shared" si="151"/>
        <v>1.4104420303656732E-12</v>
      </c>
      <c r="DR151" s="22">
        <f t="shared" si="124"/>
        <v>2.6186856170506036E-12</v>
      </c>
      <c r="DS151" s="62">
        <f t="shared" si="125"/>
        <v>293.33333333333593</v>
      </c>
      <c r="DT151" s="62">
        <f ca="1">AVERAGE(OFFSET($DS$3,0,0,'Données projet'!$E$14+1,1))-AVERAGE(OFFSET($H$3,0,0,'Données projet'!$E$14+1,1))</f>
        <v>240.134073924311</v>
      </c>
      <c r="DU151" s="62">
        <f t="shared" si="152"/>
        <v>237.10378497981156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0.12645802945889562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2.9006260098812462E-17</v>
      </c>
      <c r="ED151" s="24">
        <f t="shared" si="126"/>
        <v>0.12645802945889564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4.4337866711430253E-14</v>
      </c>
      <c r="P152" s="14">
        <f t="shared" si="141"/>
        <v>7.3222115536967035E-13</v>
      </c>
      <c r="Q152" s="22">
        <f t="shared" si="108"/>
        <v>1.3525069634579169E-12</v>
      </c>
      <c r="R152" s="62">
        <f t="shared" si="109"/>
        <v>293.33333333333468</v>
      </c>
      <c r="S152" s="62">
        <f ca="1">AVERAGE(OFFSET($R$3,0,0,'Données projet'!$E$9+1,1))-AVERAGE(OFFSET($H$3,0,0,'Données projet'!$E$9+1,1))</f>
        <v>288.82868507674738</v>
      </c>
      <c r="T152" s="62">
        <f t="shared" si="142"/>
        <v>283.48738729114024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6.4073993353630523E-2</v>
      </c>
      <c r="AB152" s="23">
        <f>EXP(-LN(2)/2)*AB151+(1-EXP(-LN(2)/2))/(LN(2)/2)*V152*Y152*VLOOKUP('Données projet'!$B$9,Paramètres!$A$1:$I$89,3,0)*0.475*44/12</f>
        <v>4.1672419585623315E-18</v>
      </c>
      <c r="AC152" s="24">
        <f t="shared" si="111"/>
        <v>6.4073993353630523E-2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293.33333333333616</v>
      </c>
      <c r="AN152" s="62">
        <f ca="1">AVERAGE(OFFSET($AM$3,0,0,'Données projet'!$E$10+1,1))-AVERAGE(OFFSET($H$3,0,0,'Données projet'!$E$10+1,1))</f>
        <v>371.95849973474657</v>
      </c>
      <c r="AO152" s="62">
        <f t="shared" si="144"/>
        <v>233.32640143610547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2.347175961092496E-17</v>
      </c>
      <c r="AX152" s="23">
        <f t="shared" si="114"/>
        <v>2.347175961092496E-17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1.1882548278663309E-13</v>
      </c>
      <c r="BF152" s="14">
        <f t="shared" si="145"/>
        <v>1.7496137229198366E-12</v>
      </c>
      <c r="BG152" s="22">
        <f t="shared" si="115"/>
        <v>3.2541982832721012E-12</v>
      </c>
      <c r="BH152" s="62">
        <f t="shared" si="116"/>
        <v>293.33333333333655</v>
      </c>
      <c r="BI152" s="62">
        <f ca="1">AVERAGE(OFFSET($BH$3,0,0,'Données projet'!$E$11+1,1))-AVERAGE(OFFSET($H$3,0,0,'Données projet'!$E$11+1,1))</f>
        <v>423.40903481736001</v>
      </c>
      <c r="BJ152" s="62">
        <f t="shared" si="146"/>
        <v>263.03039552465799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2.7113929205723925E-17</v>
      </c>
      <c r="BS152" s="24">
        <f t="shared" si="117"/>
        <v>2.7113929205723925E-17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3.4666666666666668</v>
      </c>
      <c r="BY152" s="13">
        <f>IF('Données projet'!$A$114&gt;35,BY151+BX152-CG151,IF(A152&lt;'Données projet'!$A$114,$BV$205^A152,IF(A152='Données projet'!$A$114,'Données projet'!$B$114,BY151+BX152-CG151)))</f>
        <v>338.53333333333234</v>
      </c>
      <c r="BZ152" s="14">
        <f>BY152*VLOOKUP('Données projet'!$B$12,Paramètres!$A$1:$I$89,3,0)*VLOOKUP('Données projet'!$B$12,Paramètres!$A$1:$I$89,5,0)</f>
        <v>158.43359999999953</v>
      </c>
      <c r="CA152" s="14">
        <f t="shared" si="147"/>
        <v>40.489007471209199</v>
      </c>
      <c r="CB152" s="22">
        <f t="shared" si="118"/>
        <v>346.45687467902189</v>
      </c>
      <c r="CC152" s="62">
        <f t="shared" si="119"/>
        <v>639.79020801235515</v>
      </c>
      <c r="CD152" s="62">
        <f ca="1">AVERAGE(OFFSET($CC$3,0,0,'Données projet'!$E$12+1,1))-AVERAGE(OFFSET($H$3,0,0,'Données projet'!$E$12+1,1))</f>
        <v>264.88170274686757</v>
      </c>
      <c r="CE152" s="62">
        <f t="shared" si="148"/>
        <v>160.81140876142001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411.60020200960821</v>
      </c>
      <c r="CZ152" s="62">
        <f t="shared" si="150"/>
        <v>261.95434270986397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5.0086236069678437E-18</v>
      </c>
      <c r="DI152" s="24">
        <f t="shared" si="123"/>
        <v>5.0086236069678437E-18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1.4210854715202004E-13</v>
      </c>
      <c r="DP152" s="18">
        <f>DO152*VLOOKUP('Données projet'!$B$14,Paramètres!$A$1:$I$89,3,0)*VLOOKUP('Données projet'!$B$14,Paramètres!$A$1:$I$89,5,0)</f>
        <v>9.3109520094003535E-14</v>
      </c>
      <c r="DQ152" s="14">
        <f t="shared" si="151"/>
        <v>1.4104420303656732E-12</v>
      </c>
      <c r="DR152" s="22">
        <f t="shared" si="124"/>
        <v>2.6186856170506036E-12</v>
      </c>
      <c r="DS152" s="62">
        <f t="shared" si="125"/>
        <v>293.33333333333593</v>
      </c>
      <c r="DT152" s="62">
        <f ca="1">AVERAGE(OFFSET($DS$3,0,0,'Données projet'!$E$14+1,1))-AVERAGE(OFFSET($H$3,0,0,'Données projet'!$E$14+1,1))</f>
        <v>240.134073924311</v>
      </c>
      <c r="DU152" s="62">
        <f t="shared" si="152"/>
        <v>237.10378497981156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0.12397826463298851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2.0510523212731068E-17</v>
      </c>
      <c r="ED152" s="24">
        <f t="shared" si="126"/>
        <v>0.12397826463298853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4.4337866711430253E-14</v>
      </c>
      <c r="P153" s="14">
        <f t="shared" si="141"/>
        <v>7.3222115536967035E-13</v>
      </c>
      <c r="Q153" s="22">
        <f t="shared" si="108"/>
        <v>1.3525069634579169E-12</v>
      </c>
      <c r="R153" s="62">
        <f t="shared" si="109"/>
        <v>293.33333333333468</v>
      </c>
      <c r="S153" s="62">
        <f ca="1">AVERAGE(OFFSET($R$3,0,0,'Données projet'!$E$9+1,1))-AVERAGE(OFFSET($H$3,0,0,'Données projet'!$E$9+1,1))</f>
        <v>288.82868507674738</v>
      </c>
      <c r="T153" s="62">
        <f t="shared" si="142"/>
        <v>283.48738729114024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6.2321886635870627E-2</v>
      </c>
      <c r="AB153" s="23">
        <f>EXP(-LN(2)/2)*AB152+(1-EXP(-LN(2)/2))/(LN(2)/2)*V153*Y153*VLOOKUP('Données projet'!$B$9,Paramètres!$A$1:$I$89,3,0)*0.475*44/12</f>
        <v>2.9466850477445343E-18</v>
      </c>
      <c r="AC153" s="24">
        <f t="shared" si="111"/>
        <v>6.2321886635870627E-2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293.33333333333616</v>
      </c>
      <c r="AN153" s="62">
        <f ca="1">AVERAGE(OFFSET($AM$3,0,0,'Données projet'!$E$10+1,1))-AVERAGE(OFFSET($H$3,0,0,'Données projet'!$E$10+1,1))</f>
        <v>371.95849973474657</v>
      </c>
      <c r="AO153" s="62">
        <f t="shared" si="144"/>
        <v>233.32640143610547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1.659704038726556E-17</v>
      </c>
      <c r="AX153" s="23">
        <f t="shared" si="114"/>
        <v>1.659704038726556E-17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1.1882548278663309E-13</v>
      </c>
      <c r="BF153" s="14">
        <f t="shared" si="145"/>
        <v>1.7496137229198366E-12</v>
      </c>
      <c r="BG153" s="22">
        <f t="shared" si="115"/>
        <v>3.2541982832721012E-12</v>
      </c>
      <c r="BH153" s="62">
        <f t="shared" si="116"/>
        <v>293.33333333333655</v>
      </c>
      <c r="BI153" s="62">
        <f ca="1">AVERAGE(OFFSET($BH$3,0,0,'Données projet'!$E$11+1,1))-AVERAGE(OFFSET($H$3,0,0,'Données projet'!$E$11+1,1))</f>
        <v>423.40903481736001</v>
      </c>
      <c r="BJ153" s="62">
        <f t="shared" si="146"/>
        <v>263.03039552465799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1.917244320597937E-17</v>
      </c>
      <c r="BS153" s="24">
        <f t="shared" si="117"/>
        <v>1.917244320597937E-17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342</v>
      </c>
      <c r="BW153" s="13">
        <f>VLOOKUP(A153,'Données projet'!$A$113:$I$133,9,0)</f>
        <v>3.4666666666666668</v>
      </c>
      <c r="BX153" s="13">
        <f t="array" ref="BX153">INDEX(BW:BW,MIN(IF(ISNUMBER(BW153:BW349),ROW(BW153:BW349),"")))</f>
        <v>3.4666666666666668</v>
      </c>
      <c r="BY153" s="13">
        <f>IF('Données projet'!$A$114&gt;35,BY152+BX153-CG152,IF(A153&lt;'Données projet'!$A$114,$BV$205^A153,IF(A153='Données projet'!$A$114,'Données projet'!$B$114,BY152+BX153-CG152)))</f>
        <v>341.99999999999898</v>
      </c>
      <c r="BZ153" s="14">
        <f>BY153*VLOOKUP('Données projet'!$B$12,Paramètres!$A$1:$I$89,3,0)*VLOOKUP('Données projet'!$B$12,Paramètres!$A$1:$I$89,5,0)</f>
        <v>160.0559999999995</v>
      </c>
      <c r="CA153" s="14">
        <f t="shared" si="147"/>
        <v>40.855146105751317</v>
      </c>
      <c r="CB153" s="22">
        <f t="shared" si="118"/>
        <v>349.92024613418266</v>
      </c>
      <c r="CC153" s="62">
        <f t="shared" si="119"/>
        <v>643.25357946751592</v>
      </c>
      <c r="CD153" s="62">
        <f ca="1">AVERAGE(OFFSET($CC$3,0,0,'Données projet'!$E$12+1,1))-AVERAGE(OFFSET($H$3,0,0,'Données projet'!$E$12+1,1))</f>
        <v>264.88170274686757</v>
      </c>
      <c r="CE153" s="62">
        <f t="shared" si="148"/>
        <v>160.81140876142001</v>
      </c>
      <c r="CF153" s="16">
        <f>IF(ISNA(VLOOKUP(A153,'Données projet'!$A$113:$I$133,3,0)),0,VLOOKUP(A153,'Données projet'!$A$113:$I$133,3,0))</f>
        <v>5</v>
      </c>
      <c r="CG153" s="16">
        <f>IF(ISNA(VLOOKUP(A153,'Données projet'!$A$113:$I$133,4,0)),0,VLOOKUP(A153,'Données projet'!$A$113:$I$133,4,0))</f>
        <v>342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411.60020200960821</v>
      </c>
      <c r="CZ153" s="62">
        <f t="shared" si="150"/>
        <v>261.95434270986397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3.5416317168979874E-18</v>
      </c>
      <c r="DI153" s="24">
        <f t="shared" si="123"/>
        <v>3.5416317168979874E-18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1.4210854715202004E-13</v>
      </c>
      <c r="DP153" s="18">
        <f>DO153*VLOOKUP('Données projet'!$B$14,Paramètres!$A$1:$I$89,3,0)*VLOOKUP('Données projet'!$B$14,Paramètres!$A$1:$I$89,5,0)</f>
        <v>9.3109520094003535E-14</v>
      </c>
      <c r="DQ153" s="14">
        <f t="shared" si="151"/>
        <v>1.4104420303656732E-12</v>
      </c>
      <c r="DR153" s="22">
        <f t="shared" si="124"/>
        <v>2.6186856170506036E-12</v>
      </c>
      <c r="DS153" s="62">
        <f t="shared" si="125"/>
        <v>293.33333333333593</v>
      </c>
      <c r="DT153" s="62">
        <f ca="1">AVERAGE(OFFSET($DS$3,0,0,'Données projet'!$E$14+1,1))-AVERAGE(OFFSET($H$3,0,0,'Données projet'!$E$14+1,1))</f>
        <v>240.134073924311</v>
      </c>
      <c r="DU153" s="62">
        <f t="shared" si="152"/>
        <v>237.10378497981156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0.12154712648281026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1.4503130049406231E-17</v>
      </c>
      <c r="ED153" s="24">
        <f t="shared" si="126"/>
        <v>0.12154712648281027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4.4337866711430253E-14</v>
      </c>
      <c r="P154" s="14">
        <f t="shared" si="141"/>
        <v>7.3222115536967035E-13</v>
      </c>
      <c r="Q154" s="22">
        <f t="shared" ref="Q154:Q203" si="162">(O154+P154)*0.475*44/12</f>
        <v>1.3525069634579169E-12</v>
      </c>
      <c r="R154" s="62">
        <f t="shared" si="109"/>
        <v>293.33333333333468</v>
      </c>
      <c r="S154" s="62">
        <f ca="1">AVERAGE(OFFSET($R$3,0,0,'Données projet'!$E$9+1,1))-AVERAGE(OFFSET($H$3,0,0,'Données projet'!$E$9+1,1))</f>
        <v>288.82868507674738</v>
      </c>
      <c r="T154" s="62">
        <f t="shared" si="142"/>
        <v>283.48738729114024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6.0617691368447163E-2</v>
      </c>
      <c r="AB154" s="23">
        <f>EXP(-LN(2)/2)*AB153+(1-EXP(-LN(2)/2))/(LN(2)/2)*V154*Y154*VLOOKUP('Données projet'!$B$9,Paramètres!$A$1:$I$89,3,0)*0.475*44/12</f>
        <v>2.0836209792811657E-18</v>
      </c>
      <c r="AC154" s="24">
        <f t="shared" ref="AC154:AC203" si="163">SUM(Z154:AB154)</f>
        <v>6.0617691368447163E-2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293.33333333333616</v>
      </c>
      <c r="AN154" s="62">
        <f ca="1">AVERAGE(OFFSET($AM$3,0,0,'Données projet'!$E$10+1,1))-AVERAGE(OFFSET($H$3,0,0,'Données projet'!$E$10+1,1))</f>
        <v>371.95849973474657</v>
      </c>
      <c r="AO154" s="62">
        <f t="shared" si="144"/>
        <v>233.32640143610547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1.173587980546248E-17</v>
      </c>
      <c r="AX154" s="23">
        <f t="shared" ref="AX154:AX203" si="166">SUM(AU154:AW154)</f>
        <v>1.173587980546248E-17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1.1882548278663309E-13</v>
      </c>
      <c r="BF154" s="14">
        <f t="shared" ref="BF154:BF203" si="167">EXP(-1.0587+0.8836*LN(BE154)+0.284)</f>
        <v>1.7496137229198366E-12</v>
      </c>
      <c r="BG154" s="22">
        <f t="shared" ref="BG154:BG203" si="168">(BE154+BF154)*0.475*44/12</f>
        <v>3.2541982832721012E-12</v>
      </c>
      <c r="BH154" s="62">
        <f t="shared" si="116"/>
        <v>293.33333333333655</v>
      </c>
      <c r="BI154" s="62">
        <f ca="1">AVERAGE(OFFSET($BH$3,0,0,'Données projet'!$E$11+1,1))-AVERAGE(OFFSET($H$3,0,0,'Données projet'!$E$11+1,1))</f>
        <v>423.40903481736001</v>
      </c>
      <c r="BJ154" s="62">
        <f t="shared" si="146"/>
        <v>263.03039552465799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1.3556964602861965E-17</v>
      </c>
      <c r="BS154" s="24">
        <f t="shared" ref="BS154:BS203" si="169">SUM(BP154:BR154)</f>
        <v>1.3556964602861965E-17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-1.0231815394945443E-12</v>
      </c>
      <c r="BZ154" s="14">
        <f>BY154*VLOOKUP('Données projet'!$B$12,Paramètres!$A$1:$I$89,3,0)*VLOOKUP('Données projet'!$B$12,Paramètres!$A$1:$I$89,5,0)</f>
        <v>-4.7884896048344669E-13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264.88170274686757</v>
      </c>
      <c r="CE154" s="62">
        <f t="shared" si="148"/>
        <v>160.81140876142001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411.60020200960821</v>
      </c>
      <c r="CZ154" s="62">
        <f t="shared" si="150"/>
        <v>261.95434270986397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2.5043118034839218E-18</v>
      </c>
      <c r="DI154" s="24">
        <f t="shared" ref="DI154:DI203" si="175">SUM(DF154:DH154)</f>
        <v>2.5043118034839218E-18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1.4210854715202004E-13</v>
      </c>
      <c r="DP154" s="18">
        <f>DO154*VLOOKUP('Données projet'!$B$14,Paramètres!$A$1:$I$89,3,0)*VLOOKUP('Données projet'!$B$14,Paramètres!$A$1:$I$89,5,0)</f>
        <v>9.3109520094003535E-14</v>
      </c>
      <c r="DQ154" s="14">
        <f t="shared" ref="DQ154:DQ203" si="176">EXP(-1.0587+0.8836*LN(DP154)+0.284)</f>
        <v>1.4104420303656732E-12</v>
      </c>
      <c r="DR154" s="22">
        <f t="shared" ref="DR154:DR203" si="177">(DP154+DQ154)*0.475*44/12</f>
        <v>2.6186856170506036E-12</v>
      </c>
      <c r="DS154" s="62">
        <f t="shared" si="125"/>
        <v>293.33333333333593</v>
      </c>
      <c r="DT154" s="62">
        <f ca="1">AVERAGE(OFFSET($DS$3,0,0,'Données projet'!$E$14+1,1))-AVERAGE(OFFSET($H$3,0,0,'Données projet'!$E$14+1,1))</f>
        <v>240.134073924311</v>
      </c>
      <c r="DU154" s="62">
        <f t="shared" si="152"/>
        <v>237.10378497981156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0.11916366146890914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1.0255261606365534E-17</v>
      </c>
      <c r="ED154" s="24">
        <f t="shared" ref="ED154:ED203" si="178">SUM(EA154:EC154)</f>
        <v>0.11916366146890915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4.4337866711430253E-14</v>
      </c>
      <c r="P155" s="14">
        <f t="shared" si="141"/>
        <v>7.3222115536967035E-13</v>
      </c>
      <c r="Q155" s="22">
        <f t="shared" si="162"/>
        <v>1.3525069634579169E-12</v>
      </c>
      <c r="R155" s="62">
        <f t="shared" si="109"/>
        <v>293.33333333333468</v>
      </c>
      <c r="S155" s="62">
        <f ca="1">AVERAGE(OFFSET($R$3,0,0,'Données projet'!$E$9+1,1))-AVERAGE(OFFSET($H$3,0,0,'Données projet'!$E$9+1,1))</f>
        <v>288.82868507674738</v>
      </c>
      <c r="T155" s="62">
        <f t="shared" si="142"/>
        <v>283.48738729114024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5.896009741023113E-2</v>
      </c>
      <c r="AB155" s="23">
        <f>EXP(-LN(2)/2)*AB154+(1-EXP(-LN(2)/2))/(LN(2)/2)*V155*Y155*VLOOKUP('Données projet'!$B$9,Paramètres!$A$1:$I$89,3,0)*0.475*44/12</f>
        <v>1.4733425238722671E-18</v>
      </c>
      <c r="AC155" s="24">
        <f t="shared" si="163"/>
        <v>5.896009741023113E-2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293.33333333333616</v>
      </c>
      <c r="AN155" s="62">
        <f ca="1">AVERAGE(OFFSET($AM$3,0,0,'Données projet'!$E$10+1,1))-AVERAGE(OFFSET($H$3,0,0,'Données projet'!$E$10+1,1))</f>
        <v>371.95849973474657</v>
      </c>
      <c r="AO155" s="62">
        <f t="shared" si="144"/>
        <v>233.32640143610547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8.2985201936327798E-18</v>
      </c>
      <c r="AX155" s="23">
        <f t="shared" si="166"/>
        <v>8.2985201936327798E-18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1.1882548278663309E-13</v>
      </c>
      <c r="BF155" s="14">
        <f t="shared" si="167"/>
        <v>1.7496137229198366E-12</v>
      </c>
      <c r="BG155" s="22">
        <f t="shared" si="168"/>
        <v>3.2541982832721012E-12</v>
      </c>
      <c r="BH155" s="62">
        <f t="shared" si="116"/>
        <v>293.33333333333655</v>
      </c>
      <c r="BI155" s="62">
        <f ca="1">AVERAGE(OFFSET($BH$3,0,0,'Données projet'!$E$11+1,1))-AVERAGE(OFFSET($H$3,0,0,'Données projet'!$E$11+1,1))</f>
        <v>423.40903481736001</v>
      </c>
      <c r="BJ155" s="62">
        <f t="shared" si="146"/>
        <v>263.03039552465799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9.5862216029896863E-18</v>
      </c>
      <c r="BS155" s="24">
        <f t="shared" si="169"/>
        <v>9.5862216029896863E-18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-1.0231815394945443E-12</v>
      </c>
      <c r="BZ155" s="14">
        <f>BY155*VLOOKUP('Données projet'!$B$12,Paramètres!$A$1:$I$89,3,0)*VLOOKUP('Données projet'!$B$12,Paramètres!$A$1:$I$89,5,0)</f>
        <v>-4.7884896048344669E-13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264.88170274686757</v>
      </c>
      <c r="CE155" s="62">
        <f t="shared" si="148"/>
        <v>160.81140876142001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411.60020200960821</v>
      </c>
      <c r="CZ155" s="62">
        <f t="shared" si="150"/>
        <v>261.95434270986397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1.7708158584489937E-18</v>
      </c>
      <c r="DI155" s="24">
        <f t="shared" si="175"/>
        <v>1.7708158584489937E-18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1.4210854715202004E-13</v>
      </c>
      <c r="DP155" s="18">
        <f>DO155*VLOOKUP('Données projet'!$B$14,Paramètres!$A$1:$I$89,3,0)*VLOOKUP('Données projet'!$B$14,Paramètres!$A$1:$I$89,5,0)</f>
        <v>9.3109520094003535E-14</v>
      </c>
      <c r="DQ155" s="14">
        <f t="shared" si="176"/>
        <v>1.4104420303656732E-12</v>
      </c>
      <c r="DR155" s="22">
        <f t="shared" si="177"/>
        <v>2.6186856170506036E-12</v>
      </c>
      <c r="DS155" s="62">
        <f t="shared" si="125"/>
        <v>293.33333333333593</v>
      </c>
      <c r="DT155" s="62">
        <f ca="1">AVERAGE(OFFSET($DS$3,0,0,'Données projet'!$E$14+1,1))-AVERAGE(OFFSET($H$3,0,0,'Données projet'!$E$14+1,1))</f>
        <v>240.134073924311</v>
      </c>
      <c r="DU155" s="62">
        <f t="shared" si="152"/>
        <v>237.10378497981156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0.11682693475016051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7.2515650247031154E-18</v>
      </c>
      <c r="ED155" s="24">
        <f t="shared" si="178"/>
        <v>0.11682693475016052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4.4337866711430253E-14</v>
      </c>
      <c r="P156" s="14">
        <f t="shared" si="141"/>
        <v>7.3222115536967035E-13</v>
      </c>
      <c r="Q156" s="22">
        <f t="shared" si="162"/>
        <v>1.3525069634579169E-12</v>
      </c>
      <c r="R156" s="62">
        <f t="shared" si="109"/>
        <v>293.33333333333468</v>
      </c>
      <c r="S156" s="62">
        <f ca="1">AVERAGE(OFFSET($R$3,0,0,'Données projet'!$E$9+1,1))-AVERAGE(OFFSET($H$3,0,0,'Données projet'!$E$9+1,1))</f>
        <v>288.82868507674738</v>
      </c>
      <c r="T156" s="62">
        <f t="shared" si="142"/>
        <v>283.48738729114024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5.7347830445971588E-2</v>
      </c>
      <c r="AB156" s="23">
        <f>EXP(-LN(2)/2)*AB155+(1-EXP(-LN(2)/2))/(LN(2)/2)*V156*Y156*VLOOKUP('Données projet'!$B$9,Paramètres!$A$1:$I$89,3,0)*0.475*44/12</f>
        <v>1.0418104896405829E-18</v>
      </c>
      <c r="AC156" s="24">
        <f t="shared" si="163"/>
        <v>5.7347830445971588E-2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293.33333333333616</v>
      </c>
      <c r="AN156" s="62">
        <f ca="1">AVERAGE(OFFSET($AM$3,0,0,'Données projet'!$E$10+1,1))-AVERAGE(OFFSET($H$3,0,0,'Données projet'!$E$10+1,1))</f>
        <v>371.95849973474657</v>
      </c>
      <c r="AO156" s="62">
        <f t="shared" si="144"/>
        <v>233.32640143610547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5.8679399027312401E-18</v>
      </c>
      <c r="AX156" s="23">
        <f t="shared" si="166"/>
        <v>5.8679399027312401E-18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1.1882548278663309E-13</v>
      </c>
      <c r="BF156" s="14">
        <f t="shared" si="167"/>
        <v>1.7496137229198366E-12</v>
      </c>
      <c r="BG156" s="22">
        <f t="shared" si="168"/>
        <v>3.2541982832721012E-12</v>
      </c>
      <c r="BH156" s="62">
        <f t="shared" si="116"/>
        <v>293.33333333333655</v>
      </c>
      <c r="BI156" s="62">
        <f ca="1">AVERAGE(OFFSET($BH$3,0,0,'Données projet'!$E$11+1,1))-AVERAGE(OFFSET($H$3,0,0,'Données projet'!$E$11+1,1))</f>
        <v>423.40903481736001</v>
      </c>
      <c r="BJ156" s="62">
        <f t="shared" si="146"/>
        <v>263.03039552465799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6.7784823014309835E-18</v>
      </c>
      <c r="BS156" s="24">
        <f t="shared" si="169"/>
        <v>6.7784823014309835E-18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-1.0231815394945443E-12</v>
      </c>
      <c r="BZ156" s="14">
        <f>BY156*VLOOKUP('Données projet'!$B$12,Paramètres!$A$1:$I$89,3,0)*VLOOKUP('Données projet'!$B$12,Paramètres!$A$1:$I$89,5,0)</f>
        <v>-4.7884896048344669E-13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264.88170274686757</v>
      </c>
      <c r="CE156" s="62">
        <f t="shared" si="148"/>
        <v>160.81140876142001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411.60020200960821</v>
      </c>
      <c r="CZ156" s="62">
        <f t="shared" si="150"/>
        <v>261.95434270986397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1.2521559017419609E-18</v>
      </c>
      <c r="DI156" s="24">
        <f t="shared" si="175"/>
        <v>1.2521559017419609E-18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1.4210854715202004E-13</v>
      </c>
      <c r="DP156" s="18">
        <f>DO156*VLOOKUP('Données projet'!$B$14,Paramètres!$A$1:$I$89,3,0)*VLOOKUP('Données projet'!$B$14,Paramètres!$A$1:$I$89,5,0)</f>
        <v>9.3109520094003535E-14</v>
      </c>
      <c r="DQ156" s="14">
        <f t="shared" si="176"/>
        <v>1.4104420303656732E-12</v>
      </c>
      <c r="DR156" s="22">
        <f t="shared" si="177"/>
        <v>2.6186856170506036E-12</v>
      </c>
      <c r="DS156" s="62">
        <f t="shared" si="125"/>
        <v>293.33333333333593</v>
      </c>
      <c r="DT156" s="62">
        <f ca="1">AVERAGE(OFFSET($DS$3,0,0,'Données projet'!$E$14+1,1))-AVERAGE(OFFSET($H$3,0,0,'Données projet'!$E$14+1,1))</f>
        <v>240.134073924311</v>
      </c>
      <c r="DU156" s="62">
        <f t="shared" si="152"/>
        <v>237.10378497981156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0.11453602981710398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5.127630803182767E-18</v>
      </c>
      <c r="ED156" s="24">
        <f t="shared" si="178"/>
        <v>0.11453602981710398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4.4337866711430253E-14</v>
      </c>
      <c r="P157" s="14">
        <f t="shared" si="141"/>
        <v>7.3222115536967035E-13</v>
      </c>
      <c r="Q157" s="22">
        <f t="shared" si="162"/>
        <v>1.3525069634579169E-12</v>
      </c>
      <c r="R157" s="62">
        <f t="shared" si="109"/>
        <v>293.33333333333468</v>
      </c>
      <c r="S157" s="62">
        <f ca="1">AVERAGE(OFFSET($R$3,0,0,'Données projet'!$E$9+1,1))-AVERAGE(OFFSET($H$3,0,0,'Données projet'!$E$9+1,1))</f>
        <v>288.82868507674738</v>
      </c>
      <c r="T157" s="62">
        <f t="shared" si="142"/>
        <v>283.48738729114024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5.5779651006635164E-2</v>
      </c>
      <c r="AB157" s="23">
        <f>EXP(-LN(2)/2)*AB156+(1-EXP(-LN(2)/2))/(LN(2)/2)*V157*Y157*VLOOKUP('Données projet'!$B$9,Paramètres!$A$1:$I$89,3,0)*0.475*44/12</f>
        <v>7.3667126193613357E-19</v>
      </c>
      <c r="AC157" s="24">
        <f t="shared" si="163"/>
        <v>5.5779651006635164E-2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293.33333333333616</v>
      </c>
      <c r="AN157" s="62">
        <f ca="1">AVERAGE(OFFSET($AM$3,0,0,'Données projet'!$E$10+1,1))-AVERAGE(OFFSET($H$3,0,0,'Données projet'!$E$10+1,1))</f>
        <v>371.95849973474657</v>
      </c>
      <c r="AO157" s="62">
        <f t="shared" si="144"/>
        <v>233.32640143610547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4.1492600968163899E-18</v>
      </c>
      <c r="AX157" s="23">
        <f t="shared" si="166"/>
        <v>4.1492600968163899E-18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1.1882548278663309E-13</v>
      </c>
      <c r="BF157" s="14">
        <f t="shared" si="167"/>
        <v>1.7496137229198366E-12</v>
      </c>
      <c r="BG157" s="22">
        <f t="shared" si="168"/>
        <v>3.2541982832721012E-12</v>
      </c>
      <c r="BH157" s="62">
        <f t="shared" si="116"/>
        <v>293.33333333333655</v>
      </c>
      <c r="BI157" s="62">
        <f ca="1">AVERAGE(OFFSET($BH$3,0,0,'Données projet'!$E$11+1,1))-AVERAGE(OFFSET($H$3,0,0,'Données projet'!$E$11+1,1))</f>
        <v>423.40903481736001</v>
      </c>
      <c r="BJ157" s="62">
        <f t="shared" si="146"/>
        <v>263.03039552465799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4.7931108014948439E-18</v>
      </c>
      <c r="BS157" s="24">
        <f t="shared" si="169"/>
        <v>4.7931108014948439E-18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-1.0231815394945443E-12</v>
      </c>
      <c r="BZ157" s="14">
        <f>BY157*VLOOKUP('Données projet'!$B$12,Paramètres!$A$1:$I$89,3,0)*VLOOKUP('Données projet'!$B$12,Paramètres!$A$1:$I$89,5,0)</f>
        <v>-4.7884896048344669E-13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264.88170274686757</v>
      </c>
      <c r="CE157" s="62">
        <f t="shared" si="148"/>
        <v>160.81140876142001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411.60020200960821</v>
      </c>
      <c r="CZ157" s="62">
        <f t="shared" si="150"/>
        <v>261.95434270986397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8.8540792922449685E-19</v>
      </c>
      <c r="DI157" s="24">
        <f t="shared" si="175"/>
        <v>8.8540792922449685E-19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1.4210854715202004E-13</v>
      </c>
      <c r="DP157" s="18">
        <f>DO157*VLOOKUP('Données projet'!$B$14,Paramètres!$A$1:$I$89,3,0)*VLOOKUP('Données projet'!$B$14,Paramètres!$A$1:$I$89,5,0)</f>
        <v>9.3109520094003535E-14</v>
      </c>
      <c r="DQ157" s="14">
        <f t="shared" si="176"/>
        <v>1.4104420303656732E-12</v>
      </c>
      <c r="DR157" s="22">
        <f t="shared" si="177"/>
        <v>2.6186856170506036E-12</v>
      </c>
      <c r="DS157" s="62">
        <f t="shared" si="125"/>
        <v>293.33333333333593</v>
      </c>
      <c r="DT157" s="62">
        <f ca="1">AVERAGE(OFFSET($DS$3,0,0,'Données projet'!$E$14+1,1))-AVERAGE(OFFSET($H$3,0,0,'Données projet'!$E$14+1,1))</f>
        <v>240.134073924311</v>
      </c>
      <c r="DU157" s="62">
        <f t="shared" si="152"/>
        <v>237.10378497981156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0.11229004813247065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3.6257825123515577E-18</v>
      </c>
      <c r="ED157" s="24">
        <f t="shared" si="178"/>
        <v>0.11229004813247065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4.4337866711430253E-14</v>
      </c>
      <c r="P158" s="14">
        <f t="shared" si="141"/>
        <v>7.3222115536967035E-13</v>
      </c>
      <c r="Q158" s="22">
        <f t="shared" si="162"/>
        <v>1.3525069634579169E-12</v>
      </c>
      <c r="R158" s="62">
        <f t="shared" si="109"/>
        <v>293.33333333333468</v>
      </c>
      <c r="S158" s="62">
        <f ca="1">AVERAGE(OFFSET($R$3,0,0,'Données projet'!$E$9+1,1))-AVERAGE(OFFSET($H$3,0,0,'Données projet'!$E$9+1,1))</f>
        <v>288.82868507674738</v>
      </c>
      <c r="T158" s="62">
        <f t="shared" si="142"/>
        <v>283.48738729114024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5.4254353516534362E-2</v>
      </c>
      <c r="AB158" s="23">
        <f>EXP(-LN(2)/2)*AB157+(1-EXP(-LN(2)/2))/(LN(2)/2)*V158*Y158*VLOOKUP('Données projet'!$B$9,Paramètres!$A$1:$I$89,3,0)*0.475*44/12</f>
        <v>5.2090524482029143E-19</v>
      </c>
      <c r="AC158" s="24">
        <f t="shared" si="163"/>
        <v>5.4254353516534362E-2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293.33333333333616</v>
      </c>
      <c r="AN158" s="62">
        <f ca="1">AVERAGE(OFFSET($AM$3,0,0,'Données projet'!$E$10+1,1))-AVERAGE(OFFSET($H$3,0,0,'Données projet'!$E$10+1,1))</f>
        <v>371.95849973474657</v>
      </c>
      <c r="AO158" s="62">
        <f t="shared" si="144"/>
        <v>233.32640143610547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2.9339699513656201E-18</v>
      </c>
      <c r="AX158" s="23">
        <f t="shared" si="166"/>
        <v>2.9339699513656201E-18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1.1882548278663309E-13</v>
      </c>
      <c r="BF158" s="14">
        <f t="shared" si="167"/>
        <v>1.7496137229198366E-12</v>
      </c>
      <c r="BG158" s="22">
        <f t="shared" si="168"/>
        <v>3.2541982832721012E-12</v>
      </c>
      <c r="BH158" s="62">
        <f t="shared" si="116"/>
        <v>293.33333333333655</v>
      </c>
      <c r="BI158" s="62">
        <f ca="1">AVERAGE(OFFSET($BH$3,0,0,'Données projet'!$E$11+1,1))-AVERAGE(OFFSET($H$3,0,0,'Données projet'!$E$11+1,1))</f>
        <v>423.40903481736001</v>
      </c>
      <c r="BJ158" s="62">
        <f t="shared" si="146"/>
        <v>263.03039552465799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3.3892411507154921E-18</v>
      </c>
      <c r="BS158" s="24">
        <f t="shared" si="169"/>
        <v>3.3892411507154921E-18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-1.0231815394945443E-12</v>
      </c>
      <c r="BZ158" s="14">
        <f>BY158*VLOOKUP('Données projet'!$B$12,Paramètres!$A$1:$I$89,3,0)*VLOOKUP('Données projet'!$B$12,Paramètres!$A$1:$I$89,5,0)</f>
        <v>-4.7884896048344669E-13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264.88170274686757</v>
      </c>
      <c r="CE158" s="62">
        <f t="shared" si="148"/>
        <v>160.81140876142001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411.60020200960821</v>
      </c>
      <c r="CZ158" s="62">
        <f t="shared" si="150"/>
        <v>261.95434270986397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6.2607795087098046E-19</v>
      </c>
      <c r="DI158" s="24">
        <f t="shared" si="175"/>
        <v>6.2607795087098046E-19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1.4210854715202004E-13</v>
      </c>
      <c r="DP158" s="18">
        <f>DO158*VLOOKUP('Données projet'!$B$14,Paramètres!$A$1:$I$89,3,0)*VLOOKUP('Données projet'!$B$14,Paramètres!$A$1:$I$89,5,0)</f>
        <v>9.3109520094003535E-14</v>
      </c>
      <c r="DQ158" s="14">
        <f t="shared" si="176"/>
        <v>1.4104420303656732E-12</v>
      </c>
      <c r="DR158" s="22">
        <f t="shared" si="177"/>
        <v>2.6186856170506036E-12</v>
      </c>
      <c r="DS158" s="62">
        <f t="shared" si="125"/>
        <v>293.33333333333593</v>
      </c>
      <c r="DT158" s="62">
        <f ca="1">AVERAGE(OFFSET($DS$3,0,0,'Données projet'!$E$14+1,1))-AVERAGE(OFFSET($H$3,0,0,'Données projet'!$E$14+1,1))</f>
        <v>240.134073924311</v>
      </c>
      <c r="DU158" s="62">
        <f t="shared" si="152"/>
        <v>237.10378497981156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0.11008810877875942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2.5638154015913835E-18</v>
      </c>
      <c r="ED158" s="24">
        <f t="shared" si="178"/>
        <v>0.11008810877875942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4.4337866711430253E-14</v>
      </c>
      <c r="P159" s="14">
        <f t="shared" si="141"/>
        <v>7.3222115536967035E-13</v>
      </c>
      <c r="Q159" s="22">
        <f t="shared" si="162"/>
        <v>1.3525069634579169E-12</v>
      </c>
      <c r="R159" s="62">
        <f t="shared" si="109"/>
        <v>293.33333333333468</v>
      </c>
      <c r="S159" s="62">
        <f ca="1">AVERAGE(OFFSET($R$3,0,0,'Données projet'!$E$9+1,1))-AVERAGE(OFFSET($H$3,0,0,'Données projet'!$E$9+1,1))</f>
        <v>288.82868507674738</v>
      </c>
      <c r="T159" s="62">
        <f t="shared" si="142"/>
        <v>283.48738729114024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5.2770765366512276E-2</v>
      </c>
      <c r="AB159" s="23">
        <f>EXP(-LN(2)/2)*AB158+(1-EXP(-LN(2)/2))/(LN(2)/2)*V159*Y159*VLOOKUP('Données projet'!$B$9,Paramètres!$A$1:$I$89,3,0)*0.475*44/12</f>
        <v>3.6833563096806679E-19</v>
      </c>
      <c r="AC159" s="24">
        <f t="shared" si="163"/>
        <v>5.2770765366512276E-2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293.33333333333616</v>
      </c>
      <c r="AN159" s="62">
        <f ca="1">AVERAGE(OFFSET($AM$3,0,0,'Données projet'!$E$10+1,1))-AVERAGE(OFFSET($H$3,0,0,'Données projet'!$E$10+1,1))</f>
        <v>371.95849973474657</v>
      </c>
      <c r="AO159" s="62">
        <f t="shared" si="144"/>
        <v>233.32640143610547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2.0746300484081949E-18</v>
      </c>
      <c r="AX159" s="23">
        <f t="shared" si="166"/>
        <v>2.0746300484081949E-18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1.1882548278663309E-13</v>
      </c>
      <c r="BF159" s="14">
        <f t="shared" si="167"/>
        <v>1.7496137229198366E-12</v>
      </c>
      <c r="BG159" s="22">
        <f t="shared" si="168"/>
        <v>3.2541982832721012E-12</v>
      </c>
      <c r="BH159" s="62">
        <f t="shared" si="116"/>
        <v>293.33333333333655</v>
      </c>
      <c r="BI159" s="62">
        <f ca="1">AVERAGE(OFFSET($BH$3,0,0,'Données projet'!$E$11+1,1))-AVERAGE(OFFSET($H$3,0,0,'Données projet'!$E$11+1,1))</f>
        <v>423.40903481736001</v>
      </c>
      <c r="BJ159" s="62">
        <f t="shared" si="146"/>
        <v>263.03039552465799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2.3965554007474224E-18</v>
      </c>
      <c r="BS159" s="24">
        <f t="shared" si="169"/>
        <v>2.3965554007474224E-18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-1.0231815394945443E-12</v>
      </c>
      <c r="BZ159" s="14">
        <f>BY159*VLOOKUP('Données projet'!$B$12,Paramètres!$A$1:$I$89,3,0)*VLOOKUP('Données projet'!$B$12,Paramètres!$A$1:$I$89,5,0)</f>
        <v>-4.7884896048344669E-13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264.88170274686757</v>
      </c>
      <c r="CE159" s="62">
        <f t="shared" si="148"/>
        <v>160.81140876142001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411.60020200960821</v>
      </c>
      <c r="CZ159" s="62">
        <f t="shared" si="150"/>
        <v>261.95434270986397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4.4270396461224843E-19</v>
      </c>
      <c r="DI159" s="24">
        <f t="shared" si="175"/>
        <v>4.4270396461224843E-19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1.4210854715202004E-13</v>
      </c>
      <c r="DP159" s="18">
        <f>DO159*VLOOKUP('Données projet'!$B$14,Paramètres!$A$1:$I$89,3,0)*VLOOKUP('Données projet'!$B$14,Paramètres!$A$1:$I$89,5,0)</f>
        <v>9.3109520094003535E-14</v>
      </c>
      <c r="DQ159" s="14">
        <f t="shared" si="176"/>
        <v>1.4104420303656732E-12</v>
      </c>
      <c r="DR159" s="22">
        <f t="shared" si="177"/>
        <v>2.6186856170506036E-12</v>
      </c>
      <c r="DS159" s="62">
        <f t="shared" si="125"/>
        <v>293.33333333333593</v>
      </c>
      <c r="DT159" s="62">
        <f ca="1">AVERAGE(OFFSET($DS$3,0,0,'Données projet'!$E$14+1,1))-AVERAGE(OFFSET($H$3,0,0,'Données projet'!$E$14+1,1))</f>
        <v>240.134073924311</v>
      </c>
      <c r="DU159" s="62">
        <f t="shared" si="152"/>
        <v>237.10378497981156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0.10792934811272407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1.8128912561757789E-18</v>
      </c>
      <c r="ED159" s="24">
        <f t="shared" si="178"/>
        <v>0.10792934811272407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4.4337866711430253E-14</v>
      </c>
      <c r="P160" s="14">
        <f t="shared" si="141"/>
        <v>7.3222115536967035E-13</v>
      </c>
      <c r="Q160" s="22">
        <f t="shared" si="162"/>
        <v>1.3525069634579169E-12</v>
      </c>
      <c r="R160" s="62">
        <f t="shared" si="109"/>
        <v>293.33333333333468</v>
      </c>
      <c r="S160" s="62">
        <f ca="1">AVERAGE(OFFSET($R$3,0,0,'Données projet'!$E$9+1,1))-AVERAGE(OFFSET($H$3,0,0,'Données projet'!$E$9+1,1))</f>
        <v>288.82868507674738</v>
      </c>
      <c r="T160" s="62">
        <f t="shared" si="142"/>
        <v>283.48738729114024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5.1327746012471059E-2</v>
      </c>
      <c r="AB160" s="23">
        <f>EXP(-LN(2)/2)*AB159+(1-EXP(-LN(2)/2))/(LN(2)/2)*V160*Y160*VLOOKUP('Données projet'!$B$9,Paramètres!$A$1:$I$89,3,0)*0.475*44/12</f>
        <v>2.6045262241014572E-19</v>
      </c>
      <c r="AC160" s="24">
        <f t="shared" si="163"/>
        <v>5.1327746012471059E-2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293.33333333333616</v>
      </c>
      <c r="AN160" s="62">
        <f ca="1">AVERAGE(OFFSET($AM$3,0,0,'Données projet'!$E$10+1,1))-AVERAGE(OFFSET($H$3,0,0,'Données projet'!$E$10+1,1))</f>
        <v>371.95849973474657</v>
      </c>
      <c r="AO160" s="62">
        <f t="shared" si="144"/>
        <v>233.32640143610547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1.46698497568281E-18</v>
      </c>
      <c r="AX160" s="23">
        <f t="shared" si="166"/>
        <v>1.46698497568281E-18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1.1882548278663309E-13</v>
      </c>
      <c r="BF160" s="14">
        <f t="shared" si="167"/>
        <v>1.7496137229198366E-12</v>
      </c>
      <c r="BG160" s="22">
        <f t="shared" si="168"/>
        <v>3.2541982832721012E-12</v>
      </c>
      <c r="BH160" s="62">
        <f t="shared" si="116"/>
        <v>293.33333333333655</v>
      </c>
      <c r="BI160" s="62">
        <f ca="1">AVERAGE(OFFSET($BH$3,0,0,'Données projet'!$E$11+1,1))-AVERAGE(OFFSET($H$3,0,0,'Données projet'!$E$11+1,1))</f>
        <v>423.40903481736001</v>
      </c>
      <c r="BJ160" s="62">
        <f t="shared" si="146"/>
        <v>263.03039552465799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1.6946205753577464E-18</v>
      </c>
      <c r="BS160" s="24">
        <f t="shared" si="169"/>
        <v>1.6946205753577464E-18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-1.0231815394945443E-12</v>
      </c>
      <c r="BZ160" s="14">
        <f>BY160*VLOOKUP('Données projet'!$B$12,Paramètres!$A$1:$I$89,3,0)*VLOOKUP('Données projet'!$B$12,Paramètres!$A$1:$I$89,5,0)</f>
        <v>-4.7884896048344669E-13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264.88170274686757</v>
      </c>
      <c r="CE160" s="62">
        <f t="shared" si="148"/>
        <v>160.81140876142001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411.60020200960821</v>
      </c>
      <c r="CZ160" s="62">
        <f t="shared" si="150"/>
        <v>261.95434270986397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3.1303897543549023E-19</v>
      </c>
      <c r="DI160" s="24">
        <f t="shared" si="175"/>
        <v>3.1303897543549023E-19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1.4210854715202004E-13</v>
      </c>
      <c r="DP160" s="18">
        <f>DO160*VLOOKUP('Données projet'!$B$14,Paramètres!$A$1:$I$89,3,0)*VLOOKUP('Données projet'!$B$14,Paramètres!$A$1:$I$89,5,0)</f>
        <v>9.3109520094003535E-14</v>
      </c>
      <c r="DQ160" s="14">
        <f t="shared" si="176"/>
        <v>1.4104420303656732E-12</v>
      </c>
      <c r="DR160" s="22">
        <f t="shared" si="177"/>
        <v>2.6186856170506036E-12</v>
      </c>
      <c r="DS160" s="62">
        <f t="shared" si="125"/>
        <v>293.33333333333593</v>
      </c>
      <c r="DT160" s="62">
        <f ca="1">AVERAGE(OFFSET($DS$3,0,0,'Données projet'!$E$14+1,1))-AVERAGE(OFFSET($H$3,0,0,'Données projet'!$E$14+1,1))</f>
        <v>240.134073924311</v>
      </c>
      <c r="DU160" s="62">
        <f t="shared" si="152"/>
        <v>237.10378497981156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0.10581291942663569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1.2819077007956917E-18</v>
      </c>
      <c r="ED160" s="24">
        <f t="shared" si="178"/>
        <v>0.10581291942663569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4.4337866711430253E-14</v>
      </c>
      <c r="P161" s="14">
        <f t="shared" si="141"/>
        <v>7.3222115536967035E-13</v>
      </c>
      <c r="Q161" s="22">
        <f t="shared" si="162"/>
        <v>1.3525069634579169E-12</v>
      </c>
      <c r="R161" s="62">
        <f t="shared" si="109"/>
        <v>293.33333333333468</v>
      </c>
      <c r="S161" s="62">
        <f ca="1">AVERAGE(OFFSET($R$3,0,0,'Données projet'!$E$9+1,1))-AVERAGE(OFFSET($H$3,0,0,'Données projet'!$E$9+1,1))</f>
        <v>288.82868507674738</v>
      </c>
      <c r="T161" s="62">
        <f t="shared" si="142"/>
        <v>283.48738729114024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4.9924186098551183E-2</v>
      </c>
      <c r="AB161" s="23">
        <f>EXP(-LN(2)/2)*AB160+(1-EXP(-LN(2)/2))/(LN(2)/2)*V161*Y161*VLOOKUP('Données projet'!$B$9,Paramètres!$A$1:$I$89,3,0)*0.475*44/12</f>
        <v>1.8416781548403339E-19</v>
      </c>
      <c r="AC161" s="24">
        <f t="shared" si="163"/>
        <v>4.9924186098551183E-2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293.33333333333616</v>
      </c>
      <c r="AN161" s="62">
        <f ca="1">AVERAGE(OFFSET($AM$3,0,0,'Données projet'!$E$10+1,1))-AVERAGE(OFFSET($H$3,0,0,'Données projet'!$E$10+1,1))</f>
        <v>371.95849973474657</v>
      </c>
      <c r="AO161" s="62">
        <f t="shared" si="144"/>
        <v>233.32640143610547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1.0373150242040975E-18</v>
      </c>
      <c r="AX161" s="23">
        <f t="shared" si="166"/>
        <v>1.0373150242040975E-18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1.1882548278663309E-13</v>
      </c>
      <c r="BF161" s="14">
        <f t="shared" si="167"/>
        <v>1.7496137229198366E-12</v>
      </c>
      <c r="BG161" s="22">
        <f t="shared" si="168"/>
        <v>3.2541982832721012E-12</v>
      </c>
      <c r="BH161" s="62">
        <f t="shared" si="116"/>
        <v>293.33333333333655</v>
      </c>
      <c r="BI161" s="62">
        <f ca="1">AVERAGE(OFFSET($BH$3,0,0,'Données projet'!$E$11+1,1))-AVERAGE(OFFSET($H$3,0,0,'Données projet'!$E$11+1,1))</f>
        <v>423.40903481736001</v>
      </c>
      <c r="BJ161" s="62">
        <f t="shared" si="146"/>
        <v>263.03039552465799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1.1982777003737114E-18</v>
      </c>
      <c r="BS161" s="24">
        <f t="shared" si="169"/>
        <v>1.1982777003737114E-18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-1.0231815394945443E-12</v>
      </c>
      <c r="BZ161" s="14">
        <f>BY161*VLOOKUP('Données projet'!$B$12,Paramètres!$A$1:$I$89,3,0)*VLOOKUP('Données projet'!$B$12,Paramètres!$A$1:$I$89,5,0)</f>
        <v>-4.7884896048344669E-13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264.88170274686757</v>
      </c>
      <c r="CE161" s="62">
        <f t="shared" si="148"/>
        <v>160.81140876142001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411.60020200960821</v>
      </c>
      <c r="CZ161" s="62">
        <f t="shared" si="150"/>
        <v>261.95434270986397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2.2135198230612421E-19</v>
      </c>
      <c r="DI161" s="24">
        <f t="shared" si="175"/>
        <v>2.2135198230612421E-19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1.4210854715202004E-13</v>
      </c>
      <c r="DP161" s="18">
        <f>DO161*VLOOKUP('Données projet'!$B$14,Paramètres!$A$1:$I$89,3,0)*VLOOKUP('Données projet'!$B$14,Paramètres!$A$1:$I$89,5,0)</f>
        <v>9.3109520094003535E-14</v>
      </c>
      <c r="DQ161" s="14">
        <f t="shared" si="176"/>
        <v>1.4104420303656732E-12</v>
      </c>
      <c r="DR161" s="22">
        <f t="shared" si="177"/>
        <v>2.6186856170506036E-12</v>
      </c>
      <c r="DS161" s="62">
        <f t="shared" si="125"/>
        <v>293.33333333333593</v>
      </c>
      <c r="DT161" s="62">
        <f ca="1">AVERAGE(OFFSET($DS$3,0,0,'Données projet'!$E$14+1,1))-AVERAGE(OFFSET($H$3,0,0,'Données projet'!$E$14+1,1))</f>
        <v>240.134073924311</v>
      </c>
      <c r="DU161" s="62">
        <f t="shared" si="152"/>
        <v>237.10378497981156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0.10373799261618746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9.0644562808788943E-19</v>
      </c>
      <c r="ED161" s="24">
        <f t="shared" si="178"/>
        <v>0.10373799261618746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4.4337866711430253E-14</v>
      </c>
      <c r="P162" s="14">
        <f t="shared" si="141"/>
        <v>7.3222115536967035E-13</v>
      </c>
      <c r="Q162" s="22">
        <f t="shared" si="162"/>
        <v>1.3525069634579169E-12</v>
      </c>
      <c r="R162" s="62">
        <f t="shared" si="109"/>
        <v>293.33333333333468</v>
      </c>
      <c r="S162" s="62">
        <f ca="1">AVERAGE(OFFSET($R$3,0,0,'Données projet'!$E$9+1,1))-AVERAGE(OFFSET($H$3,0,0,'Données projet'!$E$9+1,1))</f>
        <v>288.82868507674738</v>
      </c>
      <c r="T162" s="62">
        <f t="shared" si="142"/>
        <v>283.48738729114024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4.8559006604287455E-2</v>
      </c>
      <c r="AB162" s="23">
        <f>EXP(-LN(2)/2)*AB161+(1-EXP(-LN(2)/2))/(LN(2)/2)*V162*Y162*VLOOKUP('Données projet'!$B$9,Paramètres!$A$1:$I$89,3,0)*0.475*44/12</f>
        <v>1.3022631120507286E-19</v>
      </c>
      <c r="AC162" s="24">
        <f t="shared" si="163"/>
        <v>4.8559006604287455E-2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293.33333333333616</v>
      </c>
      <c r="AN162" s="62">
        <f ca="1">AVERAGE(OFFSET($AM$3,0,0,'Données projet'!$E$10+1,1))-AVERAGE(OFFSET($H$3,0,0,'Données projet'!$E$10+1,1))</f>
        <v>371.95849973474657</v>
      </c>
      <c r="AO162" s="62">
        <f t="shared" si="144"/>
        <v>233.32640143610547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7.3349248784140501E-19</v>
      </c>
      <c r="AX162" s="23">
        <f t="shared" si="166"/>
        <v>7.3349248784140501E-19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1.1882548278663309E-13</v>
      </c>
      <c r="BF162" s="14">
        <f t="shared" si="167"/>
        <v>1.7496137229198366E-12</v>
      </c>
      <c r="BG162" s="22">
        <f t="shared" si="168"/>
        <v>3.2541982832721012E-12</v>
      </c>
      <c r="BH162" s="62">
        <f t="shared" si="116"/>
        <v>293.33333333333655</v>
      </c>
      <c r="BI162" s="62">
        <f ca="1">AVERAGE(OFFSET($BH$3,0,0,'Données projet'!$E$11+1,1))-AVERAGE(OFFSET($H$3,0,0,'Données projet'!$E$11+1,1))</f>
        <v>423.40903481736001</v>
      </c>
      <c r="BJ162" s="62">
        <f t="shared" si="146"/>
        <v>263.03039552465799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8.4731028767887332E-19</v>
      </c>
      <c r="BS162" s="24">
        <f t="shared" si="169"/>
        <v>8.4731028767887332E-19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-1.0231815394945443E-12</v>
      </c>
      <c r="BZ162" s="14">
        <f>BY162*VLOOKUP('Données projet'!$B$12,Paramètres!$A$1:$I$89,3,0)*VLOOKUP('Données projet'!$B$12,Paramètres!$A$1:$I$89,5,0)</f>
        <v>-4.7884896048344669E-13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264.88170274686757</v>
      </c>
      <c r="CE162" s="62">
        <f t="shared" si="148"/>
        <v>160.81140876142001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411.60020200960821</v>
      </c>
      <c r="CZ162" s="62">
        <f t="shared" si="150"/>
        <v>261.95434270986397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1.5651948771774512E-19</v>
      </c>
      <c r="DI162" s="24">
        <f t="shared" si="175"/>
        <v>1.5651948771774512E-19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1.4210854715202004E-13</v>
      </c>
      <c r="DP162" s="18">
        <f>DO162*VLOOKUP('Données projet'!$B$14,Paramètres!$A$1:$I$89,3,0)*VLOOKUP('Données projet'!$B$14,Paramètres!$A$1:$I$89,5,0)</f>
        <v>9.3109520094003535E-14</v>
      </c>
      <c r="DQ162" s="14">
        <f t="shared" si="176"/>
        <v>1.4104420303656732E-12</v>
      </c>
      <c r="DR162" s="22">
        <f t="shared" si="177"/>
        <v>2.6186856170506036E-12</v>
      </c>
      <c r="DS162" s="62">
        <f t="shared" si="125"/>
        <v>293.33333333333593</v>
      </c>
      <c r="DT162" s="62">
        <f ca="1">AVERAGE(OFFSET($DS$3,0,0,'Données projet'!$E$14+1,1))-AVERAGE(OFFSET($H$3,0,0,'Données projet'!$E$14+1,1))</f>
        <v>240.134073924311</v>
      </c>
      <c r="DU162" s="62">
        <f t="shared" si="152"/>
        <v>237.10378497981156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0.10170375385491175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6.4095385039784587E-19</v>
      </c>
      <c r="ED162" s="24">
        <f t="shared" si="178"/>
        <v>0.10170375385491175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4.4337866711430253E-14</v>
      </c>
      <c r="P163" s="14">
        <f t="shared" si="141"/>
        <v>7.3222115536967035E-13</v>
      </c>
      <c r="Q163" s="22">
        <f t="shared" si="162"/>
        <v>1.3525069634579169E-12</v>
      </c>
      <c r="R163" s="62">
        <f t="shared" si="109"/>
        <v>293.33333333333468</v>
      </c>
      <c r="S163" s="62">
        <f ca="1">AVERAGE(OFFSET($R$3,0,0,'Données projet'!$E$9+1,1))-AVERAGE(OFFSET($H$3,0,0,'Données projet'!$E$9+1,1))</f>
        <v>288.82868507674738</v>
      </c>
      <c r="T163" s="62">
        <f t="shared" si="142"/>
        <v>283.48738729114024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4.7231158015086039E-2</v>
      </c>
      <c r="AB163" s="23">
        <f>EXP(-LN(2)/2)*AB162+(1-EXP(-LN(2)/2))/(LN(2)/2)*V163*Y163*VLOOKUP('Données projet'!$B$9,Paramètres!$A$1:$I$89,3,0)*0.475*44/12</f>
        <v>9.2083907742016697E-20</v>
      </c>
      <c r="AC163" s="24">
        <f t="shared" si="163"/>
        <v>4.7231158015086039E-2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293.33333333333616</v>
      </c>
      <c r="AN163" s="62">
        <f ca="1">AVERAGE(OFFSET($AM$3,0,0,'Données projet'!$E$10+1,1))-AVERAGE(OFFSET($H$3,0,0,'Données projet'!$E$10+1,1))</f>
        <v>371.95849973474657</v>
      </c>
      <c r="AO163" s="62">
        <f t="shared" si="144"/>
        <v>233.32640143610547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5.1865751210204874E-19</v>
      </c>
      <c r="AX163" s="23">
        <f t="shared" si="166"/>
        <v>5.1865751210204874E-19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1.1882548278663309E-13</v>
      </c>
      <c r="BF163" s="14">
        <f t="shared" si="167"/>
        <v>1.7496137229198366E-12</v>
      </c>
      <c r="BG163" s="22">
        <f t="shared" si="168"/>
        <v>3.2541982832721012E-12</v>
      </c>
      <c r="BH163" s="62">
        <f t="shared" si="116"/>
        <v>293.33333333333655</v>
      </c>
      <c r="BI163" s="62">
        <f ca="1">AVERAGE(OFFSET($BH$3,0,0,'Données projet'!$E$11+1,1))-AVERAGE(OFFSET($H$3,0,0,'Données projet'!$E$11+1,1))</f>
        <v>423.40903481736001</v>
      </c>
      <c r="BJ163" s="62">
        <f t="shared" si="146"/>
        <v>263.03039552465799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5.9913885018685578E-19</v>
      </c>
      <c r="BS163" s="24">
        <f t="shared" si="169"/>
        <v>5.9913885018685578E-19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-1.0231815394945443E-12</v>
      </c>
      <c r="BZ163" s="14">
        <f>BY163*VLOOKUP('Données projet'!$B$12,Paramètres!$A$1:$I$89,3,0)*VLOOKUP('Données projet'!$B$12,Paramètres!$A$1:$I$89,5,0)</f>
        <v>-4.7884896048344669E-13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264.88170274686757</v>
      </c>
      <c r="CE163" s="62">
        <f t="shared" si="148"/>
        <v>160.81140876142001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411.60020200960821</v>
      </c>
      <c r="CZ163" s="62">
        <f t="shared" si="150"/>
        <v>261.95434270986397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1.1067599115306211E-19</v>
      </c>
      <c r="DI163" s="24">
        <f t="shared" si="175"/>
        <v>1.1067599115306211E-19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1.4210854715202004E-13</v>
      </c>
      <c r="DP163" s="18">
        <f>DO163*VLOOKUP('Données projet'!$B$14,Paramètres!$A$1:$I$89,3,0)*VLOOKUP('Données projet'!$B$14,Paramètres!$A$1:$I$89,5,0)</f>
        <v>9.3109520094003535E-14</v>
      </c>
      <c r="DQ163" s="14">
        <f t="shared" si="176"/>
        <v>1.4104420303656732E-12</v>
      </c>
      <c r="DR163" s="22">
        <f t="shared" si="177"/>
        <v>2.6186856170506036E-12</v>
      </c>
      <c r="DS163" s="62">
        <f t="shared" si="125"/>
        <v>293.33333333333593</v>
      </c>
      <c r="DT163" s="62">
        <f ca="1">AVERAGE(OFFSET($DS$3,0,0,'Données projet'!$E$14+1,1))-AVERAGE(OFFSET($H$3,0,0,'Données projet'!$E$14+1,1))</f>
        <v>240.134073924311</v>
      </c>
      <c r="DU163" s="62">
        <f t="shared" si="152"/>
        <v>237.10378497981156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9.9709405274981511E-2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4.5322281404394471E-19</v>
      </c>
      <c r="ED163" s="24">
        <f t="shared" si="178"/>
        <v>9.9709405274981511E-2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4.4337866711430253E-14</v>
      </c>
      <c r="P164" s="14">
        <f t="shared" si="141"/>
        <v>7.3222115536967035E-13</v>
      </c>
      <c r="Q164" s="22">
        <f t="shared" si="162"/>
        <v>1.3525069634579169E-12</v>
      </c>
      <c r="R164" s="62">
        <f t="shared" si="109"/>
        <v>293.33333333333468</v>
      </c>
      <c r="S164" s="62">
        <f ca="1">AVERAGE(OFFSET($R$3,0,0,'Données projet'!$E$9+1,1))-AVERAGE(OFFSET($H$3,0,0,'Données projet'!$E$9+1,1))</f>
        <v>288.82868507674738</v>
      </c>
      <c r="T164" s="62">
        <f t="shared" si="142"/>
        <v>283.48738729114024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4.5939619515384861E-2</v>
      </c>
      <c r="AB164" s="23">
        <f>EXP(-LN(2)/2)*AB163+(1-EXP(-LN(2)/2))/(LN(2)/2)*V164*Y164*VLOOKUP('Données projet'!$B$9,Paramètres!$A$1:$I$89,3,0)*0.475*44/12</f>
        <v>6.5113155602536429E-20</v>
      </c>
      <c r="AC164" s="24">
        <f t="shared" si="163"/>
        <v>4.5939619515384861E-2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293.33333333333616</v>
      </c>
      <c r="AN164" s="62">
        <f ca="1">AVERAGE(OFFSET($AM$3,0,0,'Données projet'!$E$10+1,1))-AVERAGE(OFFSET($H$3,0,0,'Données projet'!$E$10+1,1))</f>
        <v>371.95849973474657</v>
      </c>
      <c r="AO164" s="62">
        <f t="shared" si="144"/>
        <v>233.32640143610547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3.6674624392070251E-19</v>
      </c>
      <c r="AX164" s="23">
        <f t="shared" si="166"/>
        <v>3.6674624392070251E-19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1.1882548278663309E-13</v>
      </c>
      <c r="BF164" s="14">
        <f t="shared" si="167"/>
        <v>1.7496137229198366E-12</v>
      </c>
      <c r="BG164" s="22">
        <f t="shared" si="168"/>
        <v>3.2541982832721012E-12</v>
      </c>
      <c r="BH164" s="62">
        <f t="shared" si="116"/>
        <v>293.33333333333655</v>
      </c>
      <c r="BI164" s="62">
        <f ca="1">AVERAGE(OFFSET($BH$3,0,0,'Données projet'!$E$11+1,1))-AVERAGE(OFFSET($H$3,0,0,'Données projet'!$E$11+1,1))</f>
        <v>423.40903481736001</v>
      </c>
      <c r="BJ164" s="62">
        <f t="shared" si="146"/>
        <v>263.03039552465799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4.2365514383943676E-19</v>
      </c>
      <c r="BS164" s="24">
        <f t="shared" si="169"/>
        <v>4.2365514383943676E-19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-1.0231815394945443E-12</v>
      </c>
      <c r="BZ164" s="14">
        <f>BY164*VLOOKUP('Données projet'!$B$12,Paramètres!$A$1:$I$89,3,0)*VLOOKUP('Données projet'!$B$12,Paramètres!$A$1:$I$89,5,0)</f>
        <v>-4.7884896048344669E-13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264.88170274686757</v>
      </c>
      <c r="CE164" s="62">
        <f t="shared" si="148"/>
        <v>160.81140876142001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411.60020200960821</v>
      </c>
      <c r="CZ164" s="62">
        <f t="shared" si="150"/>
        <v>261.95434270986397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7.8259743858872558E-20</v>
      </c>
      <c r="DI164" s="24">
        <f t="shared" si="175"/>
        <v>7.8259743858872558E-20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1.4210854715202004E-13</v>
      </c>
      <c r="DP164" s="18">
        <f>DO164*VLOOKUP('Données projet'!$B$14,Paramètres!$A$1:$I$89,3,0)*VLOOKUP('Données projet'!$B$14,Paramètres!$A$1:$I$89,5,0)</f>
        <v>9.3109520094003535E-14</v>
      </c>
      <c r="DQ164" s="14">
        <f t="shared" si="176"/>
        <v>1.4104420303656732E-12</v>
      </c>
      <c r="DR164" s="22">
        <f t="shared" si="177"/>
        <v>2.6186856170506036E-12</v>
      </c>
      <c r="DS164" s="62">
        <f t="shared" si="125"/>
        <v>293.33333333333593</v>
      </c>
      <c r="DT164" s="62">
        <f ca="1">AVERAGE(OFFSET($DS$3,0,0,'Données projet'!$E$14+1,1))-AVERAGE(OFFSET($H$3,0,0,'Données projet'!$E$14+1,1))</f>
        <v>240.134073924311</v>
      </c>
      <c r="DU164" s="62">
        <f t="shared" si="152"/>
        <v>237.10378497981156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9.7754164654271183E-2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3.2047692519892294E-19</v>
      </c>
      <c r="ED164" s="24">
        <f t="shared" si="178"/>
        <v>9.7754164654271183E-2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4.4337866711430253E-14</v>
      </c>
      <c r="P165" s="14">
        <f t="shared" si="141"/>
        <v>7.3222115536967035E-13</v>
      </c>
      <c r="Q165" s="22">
        <f t="shared" si="162"/>
        <v>1.3525069634579169E-12</v>
      </c>
      <c r="R165" s="62">
        <f t="shared" si="109"/>
        <v>293.33333333333468</v>
      </c>
      <c r="S165" s="62">
        <f ca="1">AVERAGE(OFFSET($R$3,0,0,'Données projet'!$E$9+1,1))-AVERAGE(OFFSET($H$3,0,0,'Données projet'!$E$9+1,1))</f>
        <v>288.82868507674738</v>
      </c>
      <c r="T165" s="62">
        <f t="shared" si="142"/>
        <v>283.48738729114024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4.4683398203877067E-2</v>
      </c>
      <c r="AB165" s="23">
        <f>EXP(-LN(2)/2)*AB164+(1-EXP(-LN(2)/2))/(LN(2)/2)*V165*Y165*VLOOKUP('Données projet'!$B$9,Paramètres!$A$1:$I$89,3,0)*0.475*44/12</f>
        <v>4.6041953871008348E-20</v>
      </c>
      <c r="AC165" s="24">
        <f t="shared" si="163"/>
        <v>4.4683398203877067E-2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293.33333333333616</v>
      </c>
      <c r="AN165" s="62">
        <f ca="1">AVERAGE(OFFSET($AM$3,0,0,'Données projet'!$E$10+1,1))-AVERAGE(OFFSET($H$3,0,0,'Données projet'!$E$10+1,1))</f>
        <v>371.95849973474657</v>
      </c>
      <c r="AO165" s="62">
        <f t="shared" si="144"/>
        <v>233.32640143610547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2.5932875605102437E-19</v>
      </c>
      <c r="AX165" s="23">
        <f t="shared" si="166"/>
        <v>2.5932875605102437E-19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1.1882548278663309E-13</v>
      </c>
      <c r="BF165" s="14">
        <f t="shared" si="167"/>
        <v>1.7496137229198366E-12</v>
      </c>
      <c r="BG165" s="22">
        <f t="shared" si="168"/>
        <v>3.2541982832721012E-12</v>
      </c>
      <c r="BH165" s="62">
        <f t="shared" si="116"/>
        <v>293.33333333333655</v>
      </c>
      <c r="BI165" s="62">
        <f ca="1">AVERAGE(OFFSET($BH$3,0,0,'Données projet'!$E$11+1,1))-AVERAGE(OFFSET($H$3,0,0,'Données projet'!$E$11+1,1))</f>
        <v>423.40903481736001</v>
      </c>
      <c r="BJ165" s="62">
        <f t="shared" si="146"/>
        <v>263.03039552465799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2.9956942509342794E-19</v>
      </c>
      <c r="BS165" s="24">
        <f t="shared" si="169"/>
        <v>2.9956942509342794E-19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-1.0231815394945443E-12</v>
      </c>
      <c r="BZ165" s="14">
        <f>BY165*VLOOKUP('Données projet'!$B$12,Paramètres!$A$1:$I$89,3,0)*VLOOKUP('Données projet'!$B$12,Paramètres!$A$1:$I$89,5,0)</f>
        <v>-4.7884896048344669E-13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264.88170274686757</v>
      </c>
      <c r="CE165" s="62">
        <f t="shared" si="148"/>
        <v>160.81140876142001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411.60020200960821</v>
      </c>
      <c r="CZ165" s="62">
        <f t="shared" si="150"/>
        <v>261.95434270986397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5.5337995576531053E-20</v>
      </c>
      <c r="DI165" s="24">
        <f t="shared" si="175"/>
        <v>5.5337995576531053E-20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1.4210854715202004E-13</v>
      </c>
      <c r="DP165" s="18">
        <f>DO165*VLOOKUP('Données projet'!$B$14,Paramètres!$A$1:$I$89,3,0)*VLOOKUP('Données projet'!$B$14,Paramètres!$A$1:$I$89,5,0)</f>
        <v>9.3109520094003535E-14</v>
      </c>
      <c r="DQ165" s="14">
        <f t="shared" si="176"/>
        <v>1.4104420303656732E-12</v>
      </c>
      <c r="DR165" s="22">
        <f t="shared" si="177"/>
        <v>2.6186856170506036E-12</v>
      </c>
      <c r="DS165" s="62">
        <f t="shared" si="125"/>
        <v>293.33333333333593</v>
      </c>
      <c r="DT165" s="62">
        <f ca="1">AVERAGE(OFFSET($DS$3,0,0,'Données projet'!$E$14+1,1))-AVERAGE(OFFSET($H$3,0,0,'Données projet'!$E$14+1,1))</f>
        <v>240.134073924311</v>
      </c>
      <c r="DU165" s="62">
        <f t="shared" si="152"/>
        <v>237.10378497981156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9.5837265109553968E-2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2.2661140702197236E-19</v>
      </c>
      <c r="ED165" s="24">
        <f t="shared" si="178"/>
        <v>9.5837265109553968E-2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4.4337866711430253E-14</v>
      </c>
      <c r="P166" s="14">
        <f t="shared" si="141"/>
        <v>7.3222115536967035E-13</v>
      </c>
      <c r="Q166" s="22">
        <f t="shared" si="162"/>
        <v>1.3525069634579169E-12</v>
      </c>
      <c r="R166" s="62">
        <f t="shared" si="109"/>
        <v>293.33333333333468</v>
      </c>
      <c r="S166" s="62">
        <f ca="1">AVERAGE(OFFSET($R$3,0,0,'Données projet'!$E$9+1,1))-AVERAGE(OFFSET($H$3,0,0,'Données projet'!$E$9+1,1))</f>
        <v>288.82868507674738</v>
      </c>
      <c r="T166" s="62">
        <f t="shared" si="142"/>
        <v>283.48738729114024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4.346152833019426E-2</v>
      </c>
      <c r="AB166" s="23">
        <f>EXP(-LN(2)/2)*AB165+(1-EXP(-LN(2)/2))/(LN(2)/2)*V166*Y166*VLOOKUP('Données projet'!$B$9,Paramètres!$A$1:$I$89,3,0)*0.475*44/12</f>
        <v>3.2556577801268215E-20</v>
      </c>
      <c r="AC166" s="24">
        <f t="shared" si="163"/>
        <v>4.346152833019426E-2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293.33333333333616</v>
      </c>
      <c r="AN166" s="62">
        <f ca="1">AVERAGE(OFFSET($AM$3,0,0,'Données projet'!$E$10+1,1))-AVERAGE(OFFSET($H$3,0,0,'Données projet'!$E$10+1,1))</f>
        <v>371.95849973474657</v>
      </c>
      <c r="AO166" s="62">
        <f t="shared" si="144"/>
        <v>233.32640143610547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1.8337312196035125E-19</v>
      </c>
      <c r="AX166" s="23">
        <f t="shared" si="166"/>
        <v>1.8337312196035125E-19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1.1882548278663309E-13</v>
      </c>
      <c r="BF166" s="14">
        <f t="shared" si="167"/>
        <v>1.7496137229198366E-12</v>
      </c>
      <c r="BG166" s="22">
        <f t="shared" si="168"/>
        <v>3.2541982832721012E-12</v>
      </c>
      <c r="BH166" s="62">
        <f t="shared" si="116"/>
        <v>293.33333333333655</v>
      </c>
      <c r="BI166" s="62">
        <f ca="1">AVERAGE(OFFSET($BH$3,0,0,'Données projet'!$E$11+1,1))-AVERAGE(OFFSET($H$3,0,0,'Données projet'!$E$11+1,1))</f>
        <v>423.40903481736001</v>
      </c>
      <c r="BJ166" s="62">
        <f t="shared" si="146"/>
        <v>263.03039552465799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2.118275719197184E-19</v>
      </c>
      <c r="BS166" s="24">
        <f t="shared" si="169"/>
        <v>2.118275719197184E-19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-1.0231815394945443E-12</v>
      </c>
      <c r="BZ166" s="14">
        <f>BY166*VLOOKUP('Données projet'!$B$12,Paramètres!$A$1:$I$89,3,0)*VLOOKUP('Données projet'!$B$12,Paramètres!$A$1:$I$89,5,0)</f>
        <v>-4.7884896048344669E-13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264.88170274686757</v>
      </c>
      <c r="CE166" s="62">
        <f t="shared" si="148"/>
        <v>160.81140876142001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411.60020200960821</v>
      </c>
      <c r="CZ166" s="62">
        <f t="shared" si="150"/>
        <v>261.95434270986397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3.9129871929436279E-20</v>
      </c>
      <c r="DI166" s="24">
        <f t="shared" si="175"/>
        <v>3.9129871929436279E-20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1.4210854715202004E-13</v>
      </c>
      <c r="DP166" s="18">
        <f>DO166*VLOOKUP('Données projet'!$B$14,Paramètres!$A$1:$I$89,3,0)*VLOOKUP('Données projet'!$B$14,Paramètres!$A$1:$I$89,5,0)</f>
        <v>9.3109520094003535E-14</v>
      </c>
      <c r="DQ166" s="14">
        <f t="shared" si="176"/>
        <v>1.4104420303656732E-12</v>
      </c>
      <c r="DR166" s="22">
        <f t="shared" si="177"/>
        <v>2.6186856170506036E-12</v>
      </c>
      <c r="DS166" s="62">
        <f t="shared" si="125"/>
        <v>293.33333333333593</v>
      </c>
      <c r="DT166" s="62">
        <f ca="1">AVERAGE(OFFSET($DS$3,0,0,'Données projet'!$E$14+1,1))-AVERAGE(OFFSET($H$3,0,0,'Données projet'!$E$14+1,1))</f>
        <v>240.134073924311</v>
      </c>
      <c r="DU166" s="62">
        <f t="shared" si="152"/>
        <v>237.10378497981156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9.3957954795715379E-2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1.6023846259946147E-19</v>
      </c>
      <c r="ED166" s="24">
        <f t="shared" si="178"/>
        <v>9.3957954795715379E-2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4.4337866711430253E-14</v>
      </c>
      <c r="P167" s="14">
        <f t="shared" si="141"/>
        <v>7.3222115536967035E-13</v>
      </c>
      <c r="Q167" s="22">
        <f t="shared" si="162"/>
        <v>1.3525069634579169E-12</v>
      </c>
      <c r="R167" s="62">
        <f t="shared" si="109"/>
        <v>293.33333333333468</v>
      </c>
      <c r="S167" s="62">
        <f ca="1">AVERAGE(OFFSET($R$3,0,0,'Données projet'!$E$9+1,1))-AVERAGE(OFFSET($H$3,0,0,'Données projet'!$E$9+1,1))</f>
        <v>288.82868507674738</v>
      </c>
      <c r="T167" s="62">
        <f t="shared" si="142"/>
        <v>283.48738729114024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4.2273070552462655E-2</v>
      </c>
      <c r="AB167" s="23">
        <f>EXP(-LN(2)/2)*AB166+(1-EXP(-LN(2)/2))/(LN(2)/2)*V167*Y167*VLOOKUP('Données projet'!$B$9,Paramètres!$A$1:$I$89,3,0)*0.475*44/12</f>
        <v>2.3020976935504174E-20</v>
      </c>
      <c r="AC167" s="24">
        <f t="shared" si="163"/>
        <v>4.2273070552462655E-2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293.33333333333616</v>
      </c>
      <c r="AN167" s="62">
        <f ca="1">AVERAGE(OFFSET($AM$3,0,0,'Données projet'!$E$10+1,1))-AVERAGE(OFFSET($H$3,0,0,'Données projet'!$E$10+1,1))</f>
        <v>371.95849973474657</v>
      </c>
      <c r="AO167" s="62">
        <f t="shared" si="144"/>
        <v>233.32640143610547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1.2966437802551218E-19</v>
      </c>
      <c r="AX167" s="23">
        <f t="shared" si="166"/>
        <v>1.2966437802551218E-19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1.1882548278663309E-13</v>
      </c>
      <c r="BF167" s="14">
        <f t="shared" si="167"/>
        <v>1.7496137229198366E-12</v>
      </c>
      <c r="BG167" s="22">
        <f t="shared" si="168"/>
        <v>3.2541982832721012E-12</v>
      </c>
      <c r="BH167" s="62">
        <f t="shared" si="116"/>
        <v>293.33333333333655</v>
      </c>
      <c r="BI167" s="62">
        <f ca="1">AVERAGE(OFFSET($BH$3,0,0,'Données projet'!$E$11+1,1))-AVERAGE(OFFSET($H$3,0,0,'Données projet'!$E$11+1,1))</f>
        <v>423.40903481736001</v>
      </c>
      <c r="BJ167" s="62">
        <f t="shared" si="146"/>
        <v>263.03039552465799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1.4978471254671399E-19</v>
      </c>
      <c r="BS167" s="24">
        <f t="shared" si="169"/>
        <v>1.4978471254671399E-19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-1.0231815394945443E-12</v>
      </c>
      <c r="BZ167" s="14">
        <f>BY167*VLOOKUP('Données projet'!$B$12,Paramètres!$A$1:$I$89,3,0)*VLOOKUP('Données projet'!$B$12,Paramètres!$A$1:$I$89,5,0)</f>
        <v>-4.7884896048344669E-13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264.88170274686757</v>
      </c>
      <c r="CE167" s="62">
        <f t="shared" si="148"/>
        <v>160.81140876142001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411.60020200960821</v>
      </c>
      <c r="CZ167" s="62">
        <f t="shared" si="150"/>
        <v>261.95434270986397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2.7668997788265527E-20</v>
      </c>
      <c r="DI167" s="24">
        <f t="shared" si="175"/>
        <v>2.7668997788265527E-20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1.4210854715202004E-13</v>
      </c>
      <c r="DP167" s="18">
        <f>DO167*VLOOKUP('Données projet'!$B$14,Paramètres!$A$1:$I$89,3,0)*VLOOKUP('Données projet'!$B$14,Paramètres!$A$1:$I$89,5,0)</f>
        <v>9.3109520094003535E-14</v>
      </c>
      <c r="DQ167" s="14">
        <f t="shared" si="176"/>
        <v>1.4104420303656732E-12</v>
      </c>
      <c r="DR167" s="22">
        <f t="shared" si="177"/>
        <v>2.6186856170506036E-12</v>
      </c>
      <c r="DS167" s="62">
        <f t="shared" si="125"/>
        <v>293.33333333333593</v>
      </c>
      <c r="DT167" s="62">
        <f ca="1">AVERAGE(OFFSET($DS$3,0,0,'Données projet'!$E$14+1,1))-AVERAGE(OFFSET($H$3,0,0,'Données projet'!$E$14+1,1))</f>
        <v>240.134073924311</v>
      </c>
      <c r="DU167" s="62">
        <f t="shared" si="152"/>
        <v>237.10378497981156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9.2115496610865058E-2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1.1330570351098618E-19</v>
      </c>
      <c r="ED167" s="24">
        <f t="shared" si="178"/>
        <v>9.2115496610865058E-2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4.4337866711430253E-14</v>
      </c>
      <c r="P168" s="14">
        <f t="shared" si="141"/>
        <v>7.3222115536967035E-13</v>
      </c>
      <c r="Q168" s="22">
        <f t="shared" si="162"/>
        <v>1.3525069634579169E-12</v>
      </c>
      <c r="R168" s="62">
        <f t="shared" si="109"/>
        <v>293.33333333333468</v>
      </c>
      <c r="S168" s="62">
        <f ca="1">AVERAGE(OFFSET($R$3,0,0,'Données projet'!$E$9+1,1))-AVERAGE(OFFSET($H$3,0,0,'Données projet'!$E$9+1,1))</f>
        <v>288.82868507674738</v>
      </c>
      <c r="T168" s="62">
        <f t="shared" si="142"/>
        <v>283.48738729114024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4.11171112151614E-2</v>
      </c>
      <c r="AB168" s="23">
        <f>EXP(-LN(2)/2)*AB167+(1-EXP(-LN(2)/2))/(LN(2)/2)*V168*Y168*VLOOKUP('Données projet'!$B$9,Paramètres!$A$1:$I$89,3,0)*0.475*44/12</f>
        <v>1.6278288900634107E-20</v>
      </c>
      <c r="AC168" s="24">
        <f t="shared" si="163"/>
        <v>4.11171112151614E-2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293.33333333333616</v>
      </c>
      <c r="AN168" s="62">
        <f ca="1">AVERAGE(OFFSET($AM$3,0,0,'Données projet'!$E$10+1,1))-AVERAGE(OFFSET($H$3,0,0,'Données projet'!$E$10+1,1))</f>
        <v>371.95849973474657</v>
      </c>
      <c r="AO168" s="62">
        <f t="shared" si="144"/>
        <v>233.32640143610547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9.1686560980175627E-20</v>
      </c>
      <c r="AX168" s="23">
        <f t="shared" si="166"/>
        <v>9.1686560980175627E-20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1.1882548278663309E-13</v>
      </c>
      <c r="BF168" s="14">
        <f t="shared" si="167"/>
        <v>1.7496137229198366E-12</v>
      </c>
      <c r="BG168" s="22">
        <f t="shared" si="168"/>
        <v>3.2541982832721012E-12</v>
      </c>
      <c r="BH168" s="62">
        <f t="shared" si="116"/>
        <v>293.33333333333655</v>
      </c>
      <c r="BI168" s="62">
        <f ca="1">AVERAGE(OFFSET($BH$3,0,0,'Données projet'!$E$11+1,1))-AVERAGE(OFFSET($H$3,0,0,'Données projet'!$E$11+1,1))</f>
        <v>423.40903481736001</v>
      </c>
      <c r="BJ168" s="62">
        <f t="shared" si="146"/>
        <v>263.03039552465799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1.0591378595985921E-19</v>
      </c>
      <c r="BS168" s="24">
        <f t="shared" si="169"/>
        <v>1.0591378595985921E-19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-1.0231815394945443E-12</v>
      </c>
      <c r="BZ168" s="14">
        <f>BY168*VLOOKUP('Données projet'!$B$12,Paramètres!$A$1:$I$89,3,0)*VLOOKUP('Données projet'!$B$12,Paramètres!$A$1:$I$89,5,0)</f>
        <v>-4.7884896048344669E-13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264.88170274686757</v>
      </c>
      <c r="CE168" s="62">
        <f t="shared" si="148"/>
        <v>160.81140876142001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411.60020200960821</v>
      </c>
      <c r="CZ168" s="62">
        <f t="shared" si="150"/>
        <v>261.95434270986397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1.9564935964718139E-20</v>
      </c>
      <c r="DI168" s="24">
        <f t="shared" si="175"/>
        <v>1.9564935964718139E-20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1.4210854715202004E-13</v>
      </c>
      <c r="DP168" s="18">
        <f>DO168*VLOOKUP('Données projet'!$B$14,Paramètres!$A$1:$I$89,3,0)*VLOOKUP('Données projet'!$B$14,Paramètres!$A$1:$I$89,5,0)</f>
        <v>9.3109520094003535E-14</v>
      </c>
      <c r="DQ168" s="14">
        <f t="shared" si="176"/>
        <v>1.4104420303656732E-12</v>
      </c>
      <c r="DR168" s="22">
        <f t="shared" si="177"/>
        <v>2.6186856170506036E-12</v>
      </c>
      <c r="DS168" s="62">
        <f t="shared" si="125"/>
        <v>293.33333333333593</v>
      </c>
      <c r="DT168" s="62">
        <f ca="1">AVERAGE(OFFSET($DS$3,0,0,'Données projet'!$E$14+1,1))-AVERAGE(OFFSET($H$3,0,0,'Données projet'!$E$14+1,1))</f>
        <v>240.134073924311</v>
      </c>
      <c r="DU168" s="62">
        <f t="shared" si="152"/>
        <v>237.10378497981156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9.0309167907231133E-2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8.0119231299730734E-20</v>
      </c>
      <c r="ED168" s="24">
        <f t="shared" si="178"/>
        <v>9.0309167907231133E-2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4.4337866711430253E-14</v>
      </c>
      <c r="P169" s="14">
        <f t="shared" si="141"/>
        <v>7.3222115536967035E-13</v>
      </c>
      <c r="Q169" s="22">
        <f t="shared" si="162"/>
        <v>1.3525069634579169E-12</v>
      </c>
      <c r="R169" s="62">
        <f t="shared" si="109"/>
        <v>293.33333333333468</v>
      </c>
      <c r="S169" s="62">
        <f ca="1">AVERAGE(OFFSET($R$3,0,0,'Données projet'!$E$9+1,1))-AVERAGE(OFFSET($H$3,0,0,'Données projet'!$E$9+1,1))</f>
        <v>288.82868507674738</v>
      </c>
      <c r="T169" s="62">
        <f t="shared" si="142"/>
        <v>283.48738729114024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3.9992761646727909E-2</v>
      </c>
      <c r="AB169" s="23">
        <f>EXP(-LN(2)/2)*AB168+(1-EXP(-LN(2)/2))/(LN(2)/2)*V169*Y169*VLOOKUP('Données projet'!$B$9,Paramètres!$A$1:$I$89,3,0)*0.475*44/12</f>
        <v>1.1510488467752087E-20</v>
      </c>
      <c r="AC169" s="24">
        <f t="shared" si="163"/>
        <v>3.9992761646727909E-2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293.33333333333616</v>
      </c>
      <c r="AN169" s="62">
        <f ca="1">AVERAGE(OFFSET($AM$3,0,0,'Données projet'!$E$10+1,1))-AVERAGE(OFFSET($H$3,0,0,'Données projet'!$E$10+1,1))</f>
        <v>371.95849973474657</v>
      </c>
      <c r="AO169" s="62">
        <f t="shared" si="144"/>
        <v>233.32640143610547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6.4832189012756092E-20</v>
      </c>
      <c r="AX169" s="23">
        <f t="shared" si="166"/>
        <v>6.4832189012756092E-20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1.1882548278663309E-13</v>
      </c>
      <c r="BF169" s="14">
        <f t="shared" si="167"/>
        <v>1.7496137229198366E-12</v>
      </c>
      <c r="BG169" s="22">
        <f t="shared" si="168"/>
        <v>3.2541982832721012E-12</v>
      </c>
      <c r="BH169" s="62">
        <f t="shared" si="116"/>
        <v>293.33333333333655</v>
      </c>
      <c r="BI169" s="62">
        <f ca="1">AVERAGE(OFFSET($BH$3,0,0,'Données projet'!$E$11+1,1))-AVERAGE(OFFSET($H$3,0,0,'Données projet'!$E$11+1,1))</f>
        <v>423.40903481736001</v>
      </c>
      <c r="BJ169" s="62">
        <f t="shared" si="146"/>
        <v>263.03039552465799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7.4892356273357009E-20</v>
      </c>
      <c r="BS169" s="24">
        <f t="shared" si="169"/>
        <v>7.4892356273357009E-20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-1.0231815394945443E-12</v>
      </c>
      <c r="BZ169" s="14">
        <f>BY169*VLOOKUP('Données projet'!$B$12,Paramètres!$A$1:$I$89,3,0)*VLOOKUP('Données projet'!$B$12,Paramètres!$A$1:$I$89,5,0)</f>
        <v>-4.7884896048344669E-13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264.88170274686757</v>
      </c>
      <c r="CE169" s="62">
        <f t="shared" si="148"/>
        <v>160.81140876142001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411.60020200960821</v>
      </c>
      <c r="CZ169" s="62">
        <f t="shared" si="150"/>
        <v>261.95434270986397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1.3834498894132763E-20</v>
      </c>
      <c r="DI169" s="24">
        <f t="shared" si="175"/>
        <v>1.3834498894132763E-20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1.4210854715202004E-13</v>
      </c>
      <c r="DP169" s="18">
        <f>DO169*VLOOKUP('Données projet'!$B$14,Paramètres!$A$1:$I$89,3,0)*VLOOKUP('Données projet'!$B$14,Paramètres!$A$1:$I$89,5,0)</f>
        <v>9.3109520094003535E-14</v>
      </c>
      <c r="DQ169" s="14">
        <f t="shared" si="176"/>
        <v>1.4104420303656732E-12</v>
      </c>
      <c r="DR169" s="22">
        <f t="shared" si="177"/>
        <v>2.6186856170506036E-12</v>
      </c>
      <c r="DS169" s="62">
        <f t="shared" si="125"/>
        <v>293.33333333333593</v>
      </c>
      <c r="DT169" s="62">
        <f ca="1">AVERAGE(OFFSET($DS$3,0,0,'Données projet'!$E$14+1,1))-AVERAGE(OFFSET($H$3,0,0,'Données projet'!$E$14+1,1))</f>
        <v>240.134073924311</v>
      </c>
      <c r="DU169" s="62">
        <f t="shared" si="152"/>
        <v>237.10378497981156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8.8538260207723748E-2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5.6652851755493089E-20</v>
      </c>
      <c r="ED169" s="24">
        <f t="shared" si="178"/>
        <v>8.8538260207723748E-2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4.4337866711430253E-14</v>
      </c>
      <c r="P170" s="14">
        <f t="shared" si="141"/>
        <v>7.3222115536967035E-13</v>
      </c>
      <c r="Q170" s="22">
        <f t="shared" si="162"/>
        <v>1.3525069634579169E-12</v>
      </c>
      <c r="R170" s="62">
        <f t="shared" si="109"/>
        <v>293.33333333333468</v>
      </c>
      <c r="S170" s="62">
        <f ca="1">AVERAGE(OFFSET($R$3,0,0,'Données projet'!$E$9+1,1))-AVERAGE(OFFSET($H$3,0,0,'Données projet'!$E$9+1,1))</f>
        <v>288.82868507674738</v>
      </c>
      <c r="T170" s="62">
        <f t="shared" si="142"/>
        <v>283.48738729114024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3.8899157476370204E-2</v>
      </c>
      <c r="AB170" s="23">
        <f>EXP(-LN(2)/2)*AB169+(1-EXP(-LN(2)/2))/(LN(2)/2)*V170*Y170*VLOOKUP('Données projet'!$B$9,Paramètres!$A$1:$I$89,3,0)*0.475*44/12</f>
        <v>8.1391444503170536E-21</v>
      </c>
      <c r="AC170" s="24">
        <f t="shared" si="163"/>
        <v>3.8899157476370204E-2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293.33333333333616</v>
      </c>
      <c r="AN170" s="62">
        <f ca="1">AVERAGE(OFFSET($AM$3,0,0,'Données projet'!$E$10+1,1))-AVERAGE(OFFSET($H$3,0,0,'Données projet'!$E$10+1,1))</f>
        <v>371.95849973474657</v>
      </c>
      <c r="AO170" s="62">
        <f t="shared" si="144"/>
        <v>233.32640143610547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4.5843280490087813E-20</v>
      </c>
      <c r="AX170" s="23">
        <f t="shared" si="166"/>
        <v>4.5843280490087813E-20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1.1882548278663309E-13</v>
      </c>
      <c r="BF170" s="14">
        <f t="shared" si="167"/>
        <v>1.7496137229198366E-12</v>
      </c>
      <c r="BG170" s="22">
        <f t="shared" si="168"/>
        <v>3.2541982832721012E-12</v>
      </c>
      <c r="BH170" s="62">
        <f t="shared" si="116"/>
        <v>293.33333333333655</v>
      </c>
      <c r="BI170" s="62">
        <f ca="1">AVERAGE(OFFSET($BH$3,0,0,'Données projet'!$E$11+1,1))-AVERAGE(OFFSET($H$3,0,0,'Données projet'!$E$11+1,1))</f>
        <v>423.40903481736001</v>
      </c>
      <c r="BJ170" s="62">
        <f t="shared" si="146"/>
        <v>263.03039552465799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5.2956892979929619E-20</v>
      </c>
      <c r="BS170" s="24">
        <f t="shared" si="169"/>
        <v>5.2956892979929619E-20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-1.0231815394945443E-12</v>
      </c>
      <c r="BZ170" s="14">
        <f>BY170*VLOOKUP('Données projet'!$B$12,Paramètres!$A$1:$I$89,3,0)*VLOOKUP('Données projet'!$B$12,Paramètres!$A$1:$I$89,5,0)</f>
        <v>-4.7884896048344669E-13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264.88170274686757</v>
      </c>
      <c r="CE170" s="62">
        <f t="shared" si="148"/>
        <v>160.81140876142001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411.60020200960821</v>
      </c>
      <c r="CZ170" s="62">
        <f t="shared" si="150"/>
        <v>261.95434270986397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9.7824679823590697E-21</v>
      </c>
      <c r="DI170" s="24">
        <f t="shared" si="175"/>
        <v>9.7824679823590697E-21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1.4210854715202004E-13</v>
      </c>
      <c r="DP170" s="18">
        <f>DO170*VLOOKUP('Données projet'!$B$14,Paramètres!$A$1:$I$89,3,0)*VLOOKUP('Données projet'!$B$14,Paramètres!$A$1:$I$89,5,0)</f>
        <v>9.3109520094003535E-14</v>
      </c>
      <c r="DQ170" s="14">
        <f t="shared" si="176"/>
        <v>1.4104420303656732E-12</v>
      </c>
      <c r="DR170" s="22">
        <f t="shared" si="177"/>
        <v>2.6186856170506036E-12</v>
      </c>
      <c r="DS170" s="62">
        <f t="shared" si="125"/>
        <v>293.33333333333593</v>
      </c>
      <c r="DT170" s="62">
        <f ca="1">AVERAGE(OFFSET($DS$3,0,0,'Données projet'!$E$14+1,1))-AVERAGE(OFFSET($H$3,0,0,'Données projet'!$E$14+1,1))</f>
        <v>240.134073924311</v>
      </c>
      <c r="DU170" s="62">
        <f t="shared" si="152"/>
        <v>237.10378497981156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8.6802078928056664E-2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4.0059615649865367E-20</v>
      </c>
      <c r="ED170" s="24">
        <f t="shared" si="178"/>
        <v>8.6802078928056664E-2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4.4337866711430253E-14</v>
      </c>
      <c r="P171" s="14">
        <f t="shared" si="141"/>
        <v>7.3222115536967035E-13</v>
      </c>
      <c r="Q171" s="22">
        <f t="shared" si="162"/>
        <v>1.3525069634579169E-12</v>
      </c>
      <c r="R171" s="62">
        <f t="shared" si="109"/>
        <v>293.33333333333468</v>
      </c>
      <c r="S171" s="62">
        <f ca="1">AVERAGE(OFFSET($R$3,0,0,'Données projet'!$E$9+1,1))-AVERAGE(OFFSET($H$3,0,0,'Données projet'!$E$9+1,1))</f>
        <v>288.82868507674738</v>
      </c>
      <c r="T171" s="62">
        <f t="shared" si="142"/>
        <v>283.48738729114024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3.7835457969561073E-2</v>
      </c>
      <c r="AB171" s="23">
        <f>EXP(-LN(2)/2)*AB170+(1-EXP(-LN(2)/2))/(LN(2)/2)*V171*Y171*VLOOKUP('Données projet'!$B$9,Paramètres!$A$1:$I$89,3,0)*0.475*44/12</f>
        <v>5.7552442338760436E-21</v>
      </c>
      <c r="AC171" s="24">
        <f t="shared" si="163"/>
        <v>3.7835457969561073E-2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293.33333333333616</v>
      </c>
      <c r="AN171" s="62">
        <f ca="1">AVERAGE(OFFSET($AM$3,0,0,'Données projet'!$E$10+1,1))-AVERAGE(OFFSET($H$3,0,0,'Données projet'!$E$10+1,1))</f>
        <v>371.95849973474657</v>
      </c>
      <c r="AO171" s="62">
        <f t="shared" si="144"/>
        <v>233.32640143610547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3.2416094506378046E-20</v>
      </c>
      <c r="AX171" s="23">
        <f t="shared" si="166"/>
        <v>3.2416094506378046E-20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1.1882548278663309E-13</v>
      </c>
      <c r="BF171" s="14">
        <f t="shared" si="167"/>
        <v>1.7496137229198366E-12</v>
      </c>
      <c r="BG171" s="22">
        <f t="shared" si="168"/>
        <v>3.2541982832721012E-12</v>
      </c>
      <c r="BH171" s="62">
        <f t="shared" si="116"/>
        <v>293.33333333333655</v>
      </c>
      <c r="BI171" s="62">
        <f ca="1">AVERAGE(OFFSET($BH$3,0,0,'Données projet'!$E$11+1,1))-AVERAGE(OFFSET($H$3,0,0,'Données projet'!$E$11+1,1))</f>
        <v>423.40903481736001</v>
      </c>
      <c r="BJ171" s="62">
        <f t="shared" si="146"/>
        <v>263.03039552465799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3.744617813667851E-20</v>
      </c>
      <c r="BS171" s="24">
        <f t="shared" si="169"/>
        <v>3.744617813667851E-20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-1.0231815394945443E-12</v>
      </c>
      <c r="BZ171" s="14">
        <f>BY171*VLOOKUP('Données projet'!$B$12,Paramètres!$A$1:$I$89,3,0)*VLOOKUP('Données projet'!$B$12,Paramètres!$A$1:$I$89,5,0)</f>
        <v>-4.7884896048344669E-13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264.88170274686757</v>
      </c>
      <c r="CE171" s="62">
        <f t="shared" si="148"/>
        <v>160.81140876142001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411.60020200960821</v>
      </c>
      <c r="CZ171" s="62">
        <f t="shared" si="150"/>
        <v>261.95434270986397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6.9172494470663816E-21</v>
      </c>
      <c r="DI171" s="24">
        <f t="shared" si="175"/>
        <v>6.9172494470663816E-21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1.4210854715202004E-13</v>
      </c>
      <c r="DP171" s="18">
        <f>DO171*VLOOKUP('Données projet'!$B$14,Paramètres!$A$1:$I$89,3,0)*VLOOKUP('Données projet'!$B$14,Paramètres!$A$1:$I$89,5,0)</f>
        <v>9.3109520094003535E-14</v>
      </c>
      <c r="DQ171" s="14">
        <f t="shared" si="176"/>
        <v>1.4104420303656732E-12</v>
      </c>
      <c r="DR171" s="22">
        <f t="shared" si="177"/>
        <v>2.6186856170506036E-12</v>
      </c>
      <c r="DS171" s="62">
        <f t="shared" si="125"/>
        <v>293.33333333333593</v>
      </c>
      <c r="DT171" s="62">
        <f ca="1">AVERAGE(OFFSET($DS$3,0,0,'Données projet'!$E$14+1,1))-AVERAGE(OFFSET($H$3,0,0,'Données projet'!$E$14+1,1))</f>
        <v>240.134073924311</v>
      </c>
      <c r="DU171" s="62">
        <f t="shared" si="152"/>
        <v>237.10378497981156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8.5099943104317829E-2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2.8326425877746545E-20</v>
      </c>
      <c r="ED171" s="24">
        <f t="shared" si="178"/>
        <v>8.5099943104317829E-2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4.4337866711430253E-14</v>
      </c>
      <c r="P172" s="14">
        <f t="shared" si="141"/>
        <v>7.3222115536967035E-13</v>
      </c>
      <c r="Q172" s="22">
        <f t="shared" si="162"/>
        <v>1.3525069634579169E-12</v>
      </c>
      <c r="R172" s="62">
        <f t="shared" si="109"/>
        <v>293.33333333333468</v>
      </c>
      <c r="S172" s="62">
        <f ca="1">AVERAGE(OFFSET($R$3,0,0,'Données projet'!$E$9+1,1))-AVERAGE(OFFSET($H$3,0,0,'Données projet'!$E$9+1,1))</f>
        <v>288.82868507674738</v>
      </c>
      <c r="T172" s="62">
        <f t="shared" si="142"/>
        <v>283.48738729114024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3.6800845381703168E-2</v>
      </c>
      <c r="AB172" s="23">
        <f>EXP(-LN(2)/2)*AB171+(1-EXP(-LN(2)/2))/(LN(2)/2)*V172*Y172*VLOOKUP('Données projet'!$B$9,Paramètres!$A$1:$I$89,3,0)*0.475*44/12</f>
        <v>4.0695722251585268E-21</v>
      </c>
      <c r="AC172" s="24">
        <f t="shared" si="163"/>
        <v>3.6800845381703168E-2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293.33333333333616</v>
      </c>
      <c r="AN172" s="62">
        <f ca="1">AVERAGE(OFFSET($AM$3,0,0,'Données projet'!$E$10+1,1))-AVERAGE(OFFSET($H$3,0,0,'Données projet'!$E$10+1,1))</f>
        <v>371.95849973474657</v>
      </c>
      <c r="AO172" s="62">
        <f t="shared" si="144"/>
        <v>233.32640143610547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2.2921640245043907E-20</v>
      </c>
      <c r="AX172" s="23">
        <f t="shared" si="166"/>
        <v>2.2921640245043907E-20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1.1882548278663309E-13</v>
      </c>
      <c r="BF172" s="14">
        <f t="shared" si="167"/>
        <v>1.7496137229198366E-12</v>
      </c>
      <c r="BG172" s="22">
        <f t="shared" si="168"/>
        <v>3.2541982832721012E-12</v>
      </c>
      <c r="BH172" s="62">
        <f t="shared" si="116"/>
        <v>293.33333333333655</v>
      </c>
      <c r="BI172" s="62">
        <f ca="1">AVERAGE(OFFSET($BH$3,0,0,'Données projet'!$E$11+1,1))-AVERAGE(OFFSET($H$3,0,0,'Données projet'!$E$11+1,1))</f>
        <v>423.40903481736001</v>
      </c>
      <c r="BJ172" s="62">
        <f t="shared" si="146"/>
        <v>263.03039552465799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2.6478446489964812E-20</v>
      </c>
      <c r="BS172" s="24">
        <f t="shared" si="169"/>
        <v>2.6478446489964812E-20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-1.0231815394945443E-12</v>
      </c>
      <c r="BZ172" s="14">
        <f>BY172*VLOOKUP('Données projet'!$B$12,Paramètres!$A$1:$I$89,3,0)*VLOOKUP('Données projet'!$B$12,Paramètres!$A$1:$I$89,5,0)</f>
        <v>-4.7884896048344669E-13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264.88170274686757</v>
      </c>
      <c r="CE172" s="62">
        <f t="shared" si="148"/>
        <v>160.81140876142001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411.60020200960821</v>
      </c>
      <c r="CZ172" s="62">
        <f t="shared" si="150"/>
        <v>261.95434270986397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4.8912339911795349E-21</v>
      </c>
      <c r="DI172" s="24">
        <f t="shared" si="175"/>
        <v>4.8912339911795349E-21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1.4210854715202004E-13</v>
      </c>
      <c r="DP172" s="18">
        <f>DO172*VLOOKUP('Données projet'!$B$14,Paramètres!$A$1:$I$89,3,0)*VLOOKUP('Données projet'!$B$14,Paramètres!$A$1:$I$89,5,0)</f>
        <v>9.3109520094003535E-14</v>
      </c>
      <c r="DQ172" s="14">
        <f t="shared" si="176"/>
        <v>1.4104420303656732E-12</v>
      </c>
      <c r="DR172" s="22">
        <f t="shared" si="177"/>
        <v>2.6186856170506036E-12</v>
      </c>
      <c r="DS172" s="62">
        <f t="shared" si="125"/>
        <v>293.33333333333593</v>
      </c>
      <c r="DT172" s="62">
        <f ca="1">AVERAGE(OFFSET($DS$3,0,0,'Données projet'!$E$14+1,1))-AVERAGE(OFFSET($H$3,0,0,'Données projet'!$E$14+1,1))</f>
        <v>240.134073924311</v>
      </c>
      <c r="DU172" s="62">
        <f t="shared" si="152"/>
        <v>237.10378497981156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8.3431185125882171E-2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2.0029807824932684E-20</v>
      </c>
      <c r="ED172" s="24">
        <f t="shared" si="178"/>
        <v>8.3431185125882171E-2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4.4337866711430253E-14</v>
      </c>
      <c r="P173" s="14">
        <f t="shared" si="141"/>
        <v>7.3222115536967035E-13</v>
      </c>
      <c r="Q173" s="22">
        <f t="shared" si="162"/>
        <v>1.3525069634579169E-12</v>
      </c>
      <c r="R173" s="62">
        <f t="shared" si="109"/>
        <v>293.33333333333468</v>
      </c>
      <c r="S173" s="62">
        <f ca="1">AVERAGE(OFFSET($R$3,0,0,'Données projet'!$E$9+1,1))-AVERAGE(OFFSET($H$3,0,0,'Données projet'!$E$9+1,1))</f>
        <v>288.82868507674738</v>
      </c>
      <c r="T173" s="62">
        <f t="shared" si="142"/>
        <v>283.48738729114024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3.5794524329468148E-2</v>
      </c>
      <c r="AB173" s="23">
        <f>EXP(-LN(2)/2)*AB172+(1-EXP(-LN(2)/2))/(LN(2)/2)*V173*Y173*VLOOKUP('Données projet'!$B$9,Paramètres!$A$1:$I$89,3,0)*0.475*44/12</f>
        <v>2.8776221169380218E-21</v>
      </c>
      <c r="AC173" s="24">
        <f t="shared" si="163"/>
        <v>3.5794524329468148E-2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293.33333333333616</v>
      </c>
      <c r="AN173" s="62">
        <f ca="1">AVERAGE(OFFSET($AM$3,0,0,'Données projet'!$E$10+1,1))-AVERAGE(OFFSET($H$3,0,0,'Données projet'!$E$10+1,1))</f>
        <v>371.95849973474657</v>
      </c>
      <c r="AO173" s="62">
        <f t="shared" si="144"/>
        <v>233.32640143610547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1.6208047253189023E-20</v>
      </c>
      <c r="AX173" s="23">
        <f t="shared" si="166"/>
        <v>1.6208047253189023E-20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1.1882548278663309E-13</v>
      </c>
      <c r="BF173" s="14">
        <f t="shared" si="167"/>
        <v>1.7496137229198366E-12</v>
      </c>
      <c r="BG173" s="22">
        <f t="shared" si="168"/>
        <v>3.2541982832721012E-12</v>
      </c>
      <c r="BH173" s="62">
        <f t="shared" si="116"/>
        <v>293.33333333333655</v>
      </c>
      <c r="BI173" s="62">
        <f ca="1">AVERAGE(OFFSET($BH$3,0,0,'Données projet'!$E$11+1,1))-AVERAGE(OFFSET($H$3,0,0,'Données projet'!$E$11+1,1))</f>
        <v>423.40903481736001</v>
      </c>
      <c r="BJ173" s="62">
        <f t="shared" si="146"/>
        <v>263.03039552465799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1.8723089068339258E-20</v>
      </c>
      <c r="BS173" s="24">
        <f t="shared" si="169"/>
        <v>1.8723089068339258E-20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-1.0231815394945443E-12</v>
      </c>
      <c r="BZ173" s="14">
        <f>BY173*VLOOKUP('Données projet'!$B$12,Paramètres!$A$1:$I$89,3,0)*VLOOKUP('Données projet'!$B$12,Paramètres!$A$1:$I$89,5,0)</f>
        <v>-4.7884896048344669E-13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264.88170274686757</v>
      </c>
      <c r="CE173" s="62">
        <f t="shared" si="148"/>
        <v>160.81140876142001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411.60020200960821</v>
      </c>
      <c r="CZ173" s="62">
        <f t="shared" si="150"/>
        <v>261.95434270986397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3.4586247235331908E-21</v>
      </c>
      <c r="DI173" s="24">
        <f t="shared" si="175"/>
        <v>3.4586247235331908E-21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1.4210854715202004E-13</v>
      </c>
      <c r="DP173" s="18">
        <f>DO173*VLOOKUP('Données projet'!$B$14,Paramètres!$A$1:$I$89,3,0)*VLOOKUP('Données projet'!$B$14,Paramètres!$A$1:$I$89,5,0)</f>
        <v>9.3109520094003535E-14</v>
      </c>
      <c r="DQ173" s="14">
        <f t="shared" si="176"/>
        <v>1.4104420303656732E-12</v>
      </c>
      <c r="DR173" s="22">
        <f t="shared" si="177"/>
        <v>2.6186856170506036E-12</v>
      </c>
      <c r="DS173" s="62">
        <f t="shared" si="125"/>
        <v>293.33333333333593</v>
      </c>
      <c r="DT173" s="62">
        <f ca="1">AVERAGE(OFFSET($DS$3,0,0,'Données projet'!$E$14+1,1))-AVERAGE(OFFSET($H$3,0,0,'Données projet'!$E$14+1,1))</f>
        <v>240.134073924311</v>
      </c>
      <c r="DU173" s="62">
        <f t="shared" si="152"/>
        <v>237.10378497981156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8.179515047356177E-2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1.4163212938873272E-20</v>
      </c>
      <c r="ED173" s="24">
        <f t="shared" si="178"/>
        <v>8.179515047356177E-2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4.4337866711430253E-14</v>
      </c>
      <c r="P174" s="14">
        <f t="shared" si="141"/>
        <v>7.3222115536967035E-13</v>
      </c>
      <c r="Q174" s="22">
        <f t="shared" si="162"/>
        <v>1.3525069634579169E-12</v>
      </c>
      <c r="R174" s="62">
        <f t="shared" si="109"/>
        <v>293.33333333333468</v>
      </c>
      <c r="S174" s="62">
        <f ca="1">AVERAGE(OFFSET($R$3,0,0,'Données projet'!$E$9+1,1))-AVERAGE(OFFSET($H$3,0,0,'Données projet'!$E$9+1,1))</f>
        <v>288.82868507674738</v>
      </c>
      <c r="T174" s="62">
        <f t="shared" si="142"/>
        <v>283.48738729114024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3.4815721179326617E-2</v>
      </c>
      <c r="AB174" s="23">
        <f>EXP(-LN(2)/2)*AB173+(1-EXP(-LN(2)/2))/(LN(2)/2)*V174*Y174*VLOOKUP('Données projet'!$B$9,Paramètres!$A$1:$I$89,3,0)*0.475*44/12</f>
        <v>2.0347861125792634E-21</v>
      </c>
      <c r="AC174" s="24">
        <f t="shared" si="163"/>
        <v>3.4815721179326617E-2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293.33333333333616</v>
      </c>
      <c r="AN174" s="62">
        <f ca="1">AVERAGE(OFFSET($AM$3,0,0,'Données projet'!$E$10+1,1))-AVERAGE(OFFSET($H$3,0,0,'Données projet'!$E$10+1,1))</f>
        <v>371.95849973474657</v>
      </c>
      <c r="AO174" s="62">
        <f t="shared" si="144"/>
        <v>233.32640143610547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1.1460820122521953E-20</v>
      </c>
      <c r="AX174" s="23">
        <f t="shared" si="166"/>
        <v>1.1460820122521953E-20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1.1882548278663309E-13</v>
      </c>
      <c r="BF174" s="14">
        <f t="shared" si="167"/>
        <v>1.7496137229198366E-12</v>
      </c>
      <c r="BG174" s="22">
        <f t="shared" si="168"/>
        <v>3.2541982832721012E-12</v>
      </c>
      <c r="BH174" s="62">
        <f t="shared" si="116"/>
        <v>293.33333333333655</v>
      </c>
      <c r="BI174" s="62">
        <f ca="1">AVERAGE(OFFSET($BH$3,0,0,'Données projet'!$E$11+1,1))-AVERAGE(OFFSET($H$3,0,0,'Données projet'!$E$11+1,1))</f>
        <v>423.40903481736001</v>
      </c>
      <c r="BJ174" s="62">
        <f t="shared" si="146"/>
        <v>263.03039552465799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1.3239223244982409E-20</v>
      </c>
      <c r="BS174" s="24">
        <f t="shared" si="169"/>
        <v>1.3239223244982409E-20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-1.0231815394945443E-12</v>
      </c>
      <c r="BZ174" s="14">
        <f>BY174*VLOOKUP('Données projet'!$B$12,Paramètres!$A$1:$I$89,3,0)*VLOOKUP('Données projet'!$B$12,Paramètres!$A$1:$I$89,5,0)</f>
        <v>-4.7884896048344669E-13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264.88170274686757</v>
      </c>
      <c r="CE174" s="62">
        <f t="shared" si="148"/>
        <v>160.81140876142001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411.60020200960821</v>
      </c>
      <c r="CZ174" s="62">
        <f t="shared" si="150"/>
        <v>261.95434270986397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2.4456169955897674E-21</v>
      </c>
      <c r="DI174" s="24">
        <f t="shared" si="175"/>
        <v>2.4456169955897674E-21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1.4210854715202004E-13</v>
      </c>
      <c r="DP174" s="18">
        <f>DO174*VLOOKUP('Données projet'!$B$14,Paramètres!$A$1:$I$89,3,0)*VLOOKUP('Données projet'!$B$14,Paramètres!$A$1:$I$89,5,0)</f>
        <v>9.3109520094003535E-14</v>
      </c>
      <c r="DQ174" s="14">
        <f t="shared" si="176"/>
        <v>1.4104420303656732E-12</v>
      </c>
      <c r="DR174" s="22">
        <f t="shared" si="177"/>
        <v>2.6186856170506036E-12</v>
      </c>
      <c r="DS174" s="62">
        <f t="shared" si="125"/>
        <v>293.33333333333593</v>
      </c>
      <c r="DT174" s="62">
        <f ca="1">AVERAGE(OFFSET($DS$3,0,0,'Données projet'!$E$14+1,1))-AVERAGE(OFFSET($H$3,0,0,'Données projet'!$E$14+1,1))</f>
        <v>240.134073924311</v>
      </c>
      <c r="DU174" s="62">
        <f t="shared" si="152"/>
        <v>237.10378497981156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8.0191197462890773E-2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1.0014903912466342E-20</v>
      </c>
      <c r="ED174" s="24">
        <f t="shared" si="178"/>
        <v>8.0191197462890773E-2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4.4337866711430253E-14</v>
      </c>
      <c r="P175" s="14">
        <f t="shared" si="141"/>
        <v>7.3222115536967035E-13</v>
      </c>
      <c r="Q175" s="22">
        <f t="shared" si="162"/>
        <v>1.3525069634579169E-12</v>
      </c>
      <c r="R175" s="62">
        <f t="shared" si="109"/>
        <v>293.33333333333468</v>
      </c>
      <c r="S175" s="62">
        <f ca="1">AVERAGE(OFFSET($R$3,0,0,'Données projet'!$E$9+1,1))-AVERAGE(OFFSET($H$3,0,0,'Données projet'!$E$9+1,1))</f>
        <v>288.82868507674738</v>
      </c>
      <c r="T175" s="62">
        <f t="shared" si="142"/>
        <v>283.48738729114024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3.3863683452798728E-2</v>
      </c>
      <c r="AB175" s="23">
        <f>EXP(-LN(2)/2)*AB174+(1-EXP(-LN(2)/2))/(LN(2)/2)*V175*Y175*VLOOKUP('Données projet'!$B$9,Paramètres!$A$1:$I$89,3,0)*0.475*44/12</f>
        <v>1.4388110584690109E-21</v>
      </c>
      <c r="AC175" s="24">
        <f t="shared" si="163"/>
        <v>3.3863683452798728E-2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293.33333333333616</v>
      </c>
      <c r="AN175" s="62">
        <f ca="1">AVERAGE(OFFSET($AM$3,0,0,'Données projet'!$E$10+1,1))-AVERAGE(OFFSET($H$3,0,0,'Données projet'!$E$10+1,1))</f>
        <v>371.95849973474657</v>
      </c>
      <c r="AO175" s="62">
        <f t="shared" si="144"/>
        <v>233.32640143610547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8.1040236265945115E-21</v>
      </c>
      <c r="AX175" s="23">
        <f t="shared" si="166"/>
        <v>8.1040236265945115E-21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1.1882548278663309E-13</v>
      </c>
      <c r="BF175" s="14">
        <f t="shared" si="167"/>
        <v>1.7496137229198366E-12</v>
      </c>
      <c r="BG175" s="22">
        <f t="shared" si="168"/>
        <v>3.2541982832721012E-12</v>
      </c>
      <c r="BH175" s="62">
        <f t="shared" si="116"/>
        <v>293.33333333333655</v>
      </c>
      <c r="BI175" s="62">
        <f ca="1">AVERAGE(OFFSET($BH$3,0,0,'Données projet'!$E$11+1,1))-AVERAGE(OFFSET($H$3,0,0,'Données projet'!$E$11+1,1))</f>
        <v>423.40903481736001</v>
      </c>
      <c r="BJ175" s="62">
        <f t="shared" si="146"/>
        <v>263.03039552465799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9.3615445341696306E-21</v>
      </c>
      <c r="BS175" s="24">
        <f t="shared" si="169"/>
        <v>9.3615445341696306E-21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-1.0231815394945443E-12</v>
      </c>
      <c r="BZ175" s="14">
        <f>BY175*VLOOKUP('Données projet'!$B$12,Paramètres!$A$1:$I$89,3,0)*VLOOKUP('Données projet'!$B$12,Paramètres!$A$1:$I$89,5,0)</f>
        <v>-4.7884896048344669E-13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264.88170274686757</v>
      </c>
      <c r="CE175" s="62">
        <f t="shared" si="148"/>
        <v>160.81140876142001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411.60020200960821</v>
      </c>
      <c r="CZ175" s="62">
        <f t="shared" si="150"/>
        <v>261.95434270986397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1.7293123617665954E-21</v>
      </c>
      <c r="DI175" s="24">
        <f t="shared" si="175"/>
        <v>1.7293123617665954E-21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1.4210854715202004E-13</v>
      </c>
      <c r="DP175" s="18">
        <f>DO175*VLOOKUP('Données projet'!$B$14,Paramètres!$A$1:$I$89,3,0)*VLOOKUP('Données projet'!$B$14,Paramètres!$A$1:$I$89,5,0)</f>
        <v>9.3109520094003535E-14</v>
      </c>
      <c r="DQ175" s="14">
        <f t="shared" si="176"/>
        <v>1.4104420303656732E-12</v>
      </c>
      <c r="DR175" s="22">
        <f t="shared" si="177"/>
        <v>2.6186856170506036E-12</v>
      </c>
      <c r="DS175" s="62">
        <f t="shared" si="125"/>
        <v>293.33333333333593</v>
      </c>
      <c r="DT175" s="62">
        <f ca="1">AVERAGE(OFFSET($DS$3,0,0,'Données projet'!$E$14+1,1))-AVERAGE(OFFSET($H$3,0,0,'Données projet'!$E$14+1,1))</f>
        <v>240.134073924311</v>
      </c>
      <c r="DU175" s="62">
        <f t="shared" si="152"/>
        <v>237.10378497981156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7.8618696992444295E-2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7.0816064694366362E-21</v>
      </c>
      <c r="ED175" s="24">
        <f t="shared" si="178"/>
        <v>7.8618696992444295E-2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4.4337866711430253E-14</v>
      </c>
      <c r="P176" s="14">
        <f t="shared" si="141"/>
        <v>7.3222115536967035E-13</v>
      </c>
      <c r="Q176" s="22">
        <f t="shared" si="162"/>
        <v>1.3525069634579169E-12</v>
      </c>
      <c r="R176" s="62">
        <f t="shared" si="109"/>
        <v>293.33333333333468</v>
      </c>
      <c r="S176" s="62">
        <f ca="1">AVERAGE(OFFSET($R$3,0,0,'Données projet'!$E$9+1,1))-AVERAGE(OFFSET($H$3,0,0,'Données projet'!$E$9+1,1))</f>
        <v>288.82868507674738</v>
      </c>
      <c r="T176" s="62">
        <f t="shared" si="142"/>
        <v>283.48738729114024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3.2937679247968227E-2</v>
      </c>
      <c r="AB176" s="23">
        <f>EXP(-LN(2)/2)*AB175+(1-EXP(-LN(2)/2))/(LN(2)/2)*V176*Y176*VLOOKUP('Données projet'!$B$9,Paramètres!$A$1:$I$89,3,0)*0.475*44/12</f>
        <v>1.0173930562896317E-21</v>
      </c>
      <c r="AC176" s="24">
        <f t="shared" si="163"/>
        <v>3.2937679247968227E-2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293.33333333333616</v>
      </c>
      <c r="AN176" s="62">
        <f ca="1">AVERAGE(OFFSET($AM$3,0,0,'Données projet'!$E$10+1,1))-AVERAGE(OFFSET($H$3,0,0,'Données projet'!$E$10+1,1))</f>
        <v>371.95849973474657</v>
      </c>
      <c r="AO176" s="62">
        <f t="shared" si="144"/>
        <v>233.32640143610547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5.7304100612609767E-21</v>
      </c>
      <c r="AX176" s="23">
        <f t="shared" si="166"/>
        <v>5.7304100612609767E-21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1.1882548278663309E-13</v>
      </c>
      <c r="BF176" s="14">
        <f t="shared" si="167"/>
        <v>1.7496137229198366E-12</v>
      </c>
      <c r="BG176" s="22">
        <f t="shared" si="168"/>
        <v>3.2541982832721012E-12</v>
      </c>
      <c r="BH176" s="62">
        <f t="shared" si="116"/>
        <v>293.33333333333655</v>
      </c>
      <c r="BI176" s="62">
        <f ca="1">AVERAGE(OFFSET($BH$3,0,0,'Données projet'!$E$11+1,1))-AVERAGE(OFFSET($H$3,0,0,'Données projet'!$E$11+1,1))</f>
        <v>423.40903481736001</v>
      </c>
      <c r="BJ176" s="62">
        <f t="shared" si="146"/>
        <v>263.03039552465799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6.6196116224912053E-21</v>
      </c>
      <c r="BS176" s="24">
        <f t="shared" si="169"/>
        <v>6.6196116224912053E-21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-1.0231815394945443E-12</v>
      </c>
      <c r="BZ176" s="14">
        <f>BY176*VLOOKUP('Données projet'!$B$12,Paramètres!$A$1:$I$89,3,0)*VLOOKUP('Données projet'!$B$12,Paramètres!$A$1:$I$89,5,0)</f>
        <v>-4.7884896048344669E-13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264.88170274686757</v>
      </c>
      <c r="CE176" s="62">
        <f t="shared" si="148"/>
        <v>160.81140876142001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411.60020200960821</v>
      </c>
      <c r="CZ176" s="62">
        <f t="shared" si="150"/>
        <v>261.95434270986397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1.2228084977948837E-21</v>
      </c>
      <c r="DI176" s="24">
        <f t="shared" si="175"/>
        <v>1.2228084977948837E-21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1.4210854715202004E-13</v>
      </c>
      <c r="DP176" s="18">
        <f>DO176*VLOOKUP('Données projet'!$B$14,Paramètres!$A$1:$I$89,3,0)*VLOOKUP('Données projet'!$B$14,Paramètres!$A$1:$I$89,5,0)</f>
        <v>9.3109520094003535E-14</v>
      </c>
      <c r="DQ176" s="14">
        <f t="shared" si="176"/>
        <v>1.4104420303656732E-12</v>
      </c>
      <c r="DR176" s="22">
        <f t="shared" si="177"/>
        <v>2.6186856170506036E-12</v>
      </c>
      <c r="DS176" s="62">
        <f t="shared" si="125"/>
        <v>293.33333333333593</v>
      </c>
      <c r="DT176" s="62">
        <f ca="1">AVERAGE(OFFSET($DS$3,0,0,'Données projet'!$E$14+1,1))-AVERAGE(OFFSET($H$3,0,0,'Données projet'!$E$14+1,1))</f>
        <v>240.134073924311</v>
      </c>
      <c r="DU176" s="62">
        <f t="shared" si="152"/>
        <v>237.10378497981156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7.7077032297092701E-2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5.0074519562331709E-21</v>
      </c>
      <c r="ED176" s="24">
        <f t="shared" si="178"/>
        <v>7.7077032297092701E-2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4.4337866711430253E-14</v>
      </c>
      <c r="P177" s="14">
        <f t="shared" si="141"/>
        <v>7.3222115536967035E-13</v>
      </c>
      <c r="Q177" s="22">
        <f t="shared" si="162"/>
        <v>1.3525069634579169E-12</v>
      </c>
      <c r="R177" s="62">
        <f t="shared" si="109"/>
        <v>293.33333333333468</v>
      </c>
      <c r="S177" s="62">
        <f ca="1">AVERAGE(OFFSET($R$3,0,0,'Données projet'!$E$9+1,1))-AVERAGE(OFFSET($H$3,0,0,'Données projet'!$E$9+1,1))</f>
        <v>288.82868507674738</v>
      </c>
      <c r="T177" s="62">
        <f t="shared" si="142"/>
        <v>283.48738729114024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3.2036996676815262E-2</v>
      </c>
      <c r="AB177" s="23">
        <f>EXP(-LN(2)/2)*AB176+(1-EXP(-LN(2)/2))/(LN(2)/2)*V177*Y177*VLOOKUP('Données projet'!$B$9,Paramètres!$A$1:$I$89,3,0)*0.475*44/12</f>
        <v>7.1940552923450544E-22</v>
      </c>
      <c r="AC177" s="24">
        <f t="shared" si="163"/>
        <v>3.2036996676815262E-2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293.33333333333616</v>
      </c>
      <c r="AN177" s="62">
        <f ca="1">AVERAGE(OFFSET($AM$3,0,0,'Données projet'!$E$10+1,1))-AVERAGE(OFFSET($H$3,0,0,'Données projet'!$E$10+1,1))</f>
        <v>371.95849973474657</v>
      </c>
      <c r="AO177" s="62">
        <f t="shared" si="144"/>
        <v>233.32640143610547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4.0520118132972558E-21</v>
      </c>
      <c r="AX177" s="23">
        <f t="shared" si="166"/>
        <v>4.0520118132972558E-21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1.1882548278663309E-13</v>
      </c>
      <c r="BF177" s="14">
        <f t="shared" si="167"/>
        <v>1.7496137229198366E-12</v>
      </c>
      <c r="BG177" s="22">
        <f t="shared" si="168"/>
        <v>3.2541982832721012E-12</v>
      </c>
      <c r="BH177" s="62">
        <f t="shared" si="116"/>
        <v>293.33333333333655</v>
      </c>
      <c r="BI177" s="62">
        <f ca="1">AVERAGE(OFFSET($BH$3,0,0,'Données projet'!$E$11+1,1))-AVERAGE(OFFSET($H$3,0,0,'Données projet'!$E$11+1,1))</f>
        <v>423.40903481736001</v>
      </c>
      <c r="BJ177" s="62">
        <f t="shared" si="146"/>
        <v>263.03039552465799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4.6807722670848161E-21</v>
      </c>
      <c r="BS177" s="24">
        <f t="shared" si="169"/>
        <v>4.6807722670848161E-21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-1.0231815394945443E-12</v>
      </c>
      <c r="BZ177" s="14">
        <f>BY177*VLOOKUP('Données projet'!$B$12,Paramètres!$A$1:$I$89,3,0)*VLOOKUP('Données projet'!$B$12,Paramètres!$A$1:$I$89,5,0)</f>
        <v>-4.7884896048344669E-13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264.88170274686757</v>
      </c>
      <c r="CE177" s="62">
        <f t="shared" si="148"/>
        <v>160.81140876142001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411.60020200960821</v>
      </c>
      <c r="CZ177" s="62">
        <f t="shared" si="150"/>
        <v>261.95434270986397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8.6465618088329771E-22</v>
      </c>
      <c r="DI177" s="24">
        <f t="shared" si="175"/>
        <v>8.6465618088329771E-22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1.4210854715202004E-13</v>
      </c>
      <c r="DP177" s="18">
        <f>DO177*VLOOKUP('Données projet'!$B$14,Paramètres!$A$1:$I$89,3,0)*VLOOKUP('Données projet'!$B$14,Paramètres!$A$1:$I$89,5,0)</f>
        <v>9.3109520094003535E-14</v>
      </c>
      <c r="DQ177" s="14">
        <f t="shared" si="176"/>
        <v>1.4104420303656732E-12</v>
      </c>
      <c r="DR177" s="22">
        <f t="shared" si="177"/>
        <v>2.6186856170506036E-12</v>
      </c>
      <c r="DS177" s="62">
        <f t="shared" si="125"/>
        <v>293.33333333333593</v>
      </c>
      <c r="DT177" s="62">
        <f ca="1">AVERAGE(OFFSET($DS$3,0,0,'Données projet'!$E$14+1,1))-AVERAGE(OFFSET($H$3,0,0,'Données projet'!$E$14+1,1))</f>
        <v>240.134073924311</v>
      </c>
      <c r="DU177" s="62">
        <f t="shared" si="152"/>
        <v>237.10378497981156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7.5565598706094333E-2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3.5408032347183181E-21</v>
      </c>
      <c r="ED177" s="24">
        <f t="shared" si="178"/>
        <v>7.5565598706094333E-2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4.4337866711430253E-14</v>
      </c>
      <c r="P178" s="14">
        <f t="shared" si="141"/>
        <v>7.3222115536967035E-13</v>
      </c>
      <c r="Q178" s="22">
        <f t="shared" si="162"/>
        <v>1.3525069634579169E-12</v>
      </c>
      <c r="R178" s="62">
        <f t="shared" si="109"/>
        <v>293.33333333333468</v>
      </c>
      <c r="S178" s="62">
        <f ca="1">AVERAGE(OFFSET($R$3,0,0,'Données projet'!$E$9+1,1))-AVERAGE(OFFSET($H$3,0,0,'Données projet'!$E$9+1,1))</f>
        <v>288.82868507674738</v>
      </c>
      <c r="T178" s="62">
        <f t="shared" si="142"/>
        <v>283.48738729114024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3.1160943317935313E-2</v>
      </c>
      <c r="AB178" s="23">
        <f>EXP(-LN(2)/2)*AB177+(1-EXP(-LN(2)/2))/(LN(2)/2)*V178*Y178*VLOOKUP('Données projet'!$B$9,Paramètres!$A$1:$I$89,3,0)*0.475*44/12</f>
        <v>5.0869652814481585E-22</v>
      </c>
      <c r="AC178" s="24">
        <f t="shared" si="163"/>
        <v>3.1160943317935313E-2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293.33333333333616</v>
      </c>
      <c r="AN178" s="62">
        <f ca="1">AVERAGE(OFFSET($AM$3,0,0,'Données projet'!$E$10+1,1))-AVERAGE(OFFSET($H$3,0,0,'Données projet'!$E$10+1,1))</f>
        <v>371.95849973474657</v>
      </c>
      <c r="AO178" s="62">
        <f t="shared" si="144"/>
        <v>233.32640143610547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2.8652050306304883E-21</v>
      </c>
      <c r="AX178" s="23">
        <f t="shared" si="166"/>
        <v>2.8652050306304883E-21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1.1882548278663309E-13</v>
      </c>
      <c r="BF178" s="14">
        <f t="shared" si="167"/>
        <v>1.7496137229198366E-12</v>
      </c>
      <c r="BG178" s="22">
        <f t="shared" si="168"/>
        <v>3.2541982832721012E-12</v>
      </c>
      <c r="BH178" s="62">
        <f t="shared" si="116"/>
        <v>293.33333333333655</v>
      </c>
      <c r="BI178" s="62">
        <f ca="1">AVERAGE(OFFSET($BH$3,0,0,'Données projet'!$E$11+1,1))-AVERAGE(OFFSET($H$3,0,0,'Données projet'!$E$11+1,1))</f>
        <v>423.40903481736001</v>
      </c>
      <c r="BJ178" s="62">
        <f t="shared" si="146"/>
        <v>263.03039552465799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3.3098058112456034E-21</v>
      </c>
      <c r="BS178" s="24">
        <f t="shared" si="169"/>
        <v>3.3098058112456034E-21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-1.0231815394945443E-12</v>
      </c>
      <c r="BZ178" s="14">
        <f>BY178*VLOOKUP('Données projet'!$B$12,Paramètres!$A$1:$I$89,3,0)*VLOOKUP('Données projet'!$B$12,Paramètres!$A$1:$I$89,5,0)</f>
        <v>-4.7884896048344669E-13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264.88170274686757</v>
      </c>
      <c r="CE178" s="62">
        <f t="shared" si="148"/>
        <v>160.81140876142001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411.60020200960821</v>
      </c>
      <c r="CZ178" s="62">
        <f t="shared" si="150"/>
        <v>261.95434270986397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6.1140424889744186E-22</v>
      </c>
      <c r="DI178" s="24">
        <f t="shared" si="175"/>
        <v>6.1140424889744186E-22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1.4210854715202004E-13</v>
      </c>
      <c r="DP178" s="18">
        <f>DO178*VLOOKUP('Données projet'!$B$14,Paramètres!$A$1:$I$89,3,0)*VLOOKUP('Données projet'!$B$14,Paramètres!$A$1:$I$89,5,0)</f>
        <v>9.3109520094003535E-14</v>
      </c>
      <c r="DQ178" s="14">
        <f t="shared" si="176"/>
        <v>1.4104420303656732E-12</v>
      </c>
      <c r="DR178" s="22">
        <f t="shared" si="177"/>
        <v>2.6186856170506036E-12</v>
      </c>
      <c r="DS178" s="62">
        <f t="shared" si="125"/>
        <v>293.33333333333593</v>
      </c>
      <c r="DT178" s="62">
        <f ca="1">AVERAGE(OFFSET($DS$3,0,0,'Données projet'!$E$14+1,1))-AVERAGE(OFFSET($H$3,0,0,'Données projet'!$E$14+1,1))</f>
        <v>240.134073924311</v>
      </c>
      <c r="DU178" s="62">
        <f t="shared" si="152"/>
        <v>237.10378497981156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7.4083803405931972E-2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2.5037259781165854E-21</v>
      </c>
      <c r="ED178" s="24">
        <f t="shared" si="178"/>
        <v>7.4083803405931972E-2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4.4337866711430253E-14</v>
      </c>
      <c r="P179" s="14">
        <f t="shared" si="141"/>
        <v>7.3222115536967035E-13</v>
      </c>
      <c r="Q179" s="22">
        <f t="shared" si="162"/>
        <v>1.3525069634579169E-12</v>
      </c>
      <c r="R179" s="62">
        <f t="shared" si="109"/>
        <v>293.33333333333468</v>
      </c>
      <c r="S179" s="62">
        <f ca="1">AVERAGE(OFFSET($R$3,0,0,'Données projet'!$E$9+1,1))-AVERAGE(OFFSET($H$3,0,0,'Données projet'!$E$9+1,1))</f>
        <v>288.82868507674738</v>
      </c>
      <c r="T179" s="62">
        <f t="shared" si="142"/>
        <v>283.48738729114024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3.0308845684223581E-2</v>
      </c>
      <c r="AB179" s="23">
        <f>EXP(-LN(2)/2)*AB178+(1-EXP(-LN(2)/2))/(LN(2)/2)*V179*Y179*VLOOKUP('Données projet'!$B$9,Paramètres!$A$1:$I$89,3,0)*0.475*44/12</f>
        <v>3.5970276461725272E-22</v>
      </c>
      <c r="AC179" s="24">
        <f t="shared" si="163"/>
        <v>3.0308845684223581E-2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293.33333333333616</v>
      </c>
      <c r="AN179" s="62">
        <f ca="1">AVERAGE(OFFSET($AM$3,0,0,'Données projet'!$E$10+1,1))-AVERAGE(OFFSET($H$3,0,0,'Données projet'!$E$10+1,1))</f>
        <v>371.95849973474657</v>
      </c>
      <c r="AO179" s="62">
        <f t="shared" si="144"/>
        <v>233.32640143610547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2.0260059066486279E-21</v>
      </c>
      <c r="AX179" s="23">
        <f t="shared" si="166"/>
        <v>2.0260059066486279E-21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1.1882548278663309E-13</v>
      </c>
      <c r="BF179" s="14">
        <f t="shared" si="167"/>
        <v>1.7496137229198366E-12</v>
      </c>
      <c r="BG179" s="22">
        <f t="shared" si="168"/>
        <v>3.2541982832721012E-12</v>
      </c>
      <c r="BH179" s="62">
        <f t="shared" si="116"/>
        <v>293.33333333333655</v>
      </c>
      <c r="BI179" s="62">
        <f ca="1">AVERAGE(OFFSET($BH$3,0,0,'Données projet'!$E$11+1,1))-AVERAGE(OFFSET($H$3,0,0,'Données projet'!$E$11+1,1))</f>
        <v>423.40903481736001</v>
      </c>
      <c r="BJ179" s="62">
        <f t="shared" si="146"/>
        <v>263.03039552465799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2.3403861335424084E-21</v>
      </c>
      <c r="BS179" s="24">
        <f t="shared" si="169"/>
        <v>2.3403861335424084E-21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-1.0231815394945443E-12</v>
      </c>
      <c r="BZ179" s="14">
        <f>BY179*VLOOKUP('Données projet'!$B$12,Paramètres!$A$1:$I$89,3,0)*VLOOKUP('Données projet'!$B$12,Paramètres!$A$1:$I$89,5,0)</f>
        <v>-4.7884896048344669E-13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264.88170274686757</v>
      </c>
      <c r="CE179" s="62">
        <f t="shared" si="148"/>
        <v>160.81140876142001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411.60020200960821</v>
      </c>
      <c r="CZ179" s="62">
        <f t="shared" si="150"/>
        <v>261.95434270986397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4.3232809044164885E-22</v>
      </c>
      <c r="DI179" s="24">
        <f t="shared" si="175"/>
        <v>4.3232809044164885E-22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1.4210854715202004E-13</v>
      </c>
      <c r="DP179" s="18">
        <f>DO179*VLOOKUP('Données projet'!$B$14,Paramètres!$A$1:$I$89,3,0)*VLOOKUP('Données projet'!$B$14,Paramètres!$A$1:$I$89,5,0)</f>
        <v>9.3109520094003535E-14</v>
      </c>
      <c r="DQ179" s="14">
        <f t="shared" si="176"/>
        <v>1.4104420303656732E-12</v>
      </c>
      <c r="DR179" s="22">
        <f t="shared" si="177"/>
        <v>2.6186856170506036E-12</v>
      </c>
      <c r="DS179" s="62">
        <f t="shared" si="125"/>
        <v>293.33333333333593</v>
      </c>
      <c r="DT179" s="62">
        <f ca="1">AVERAGE(OFFSET($DS$3,0,0,'Données projet'!$E$14+1,1))-AVERAGE(OFFSET($H$3,0,0,'Données projet'!$E$14+1,1))</f>
        <v>240.134073924311</v>
      </c>
      <c r="DU179" s="62">
        <f t="shared" si="152"/>
        <v>237.10378497981156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7.2631065207799911E-2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1.770401617359159E-21</v>
      </c>
      <c r="ED179" s="24">
        <f t="shared" si="178"/>
        <v>7.2631065207799911E-2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4.4337866711430253E-14</v>
      </c>
      <c r="P180" s="14">
        <f t="shared" si="141"/>
        <v>7.3222115536967035E-13</v>
      </c>
      <c r="Q180" s="22">
        <f t="shared" si="162"/>
        <v>1.3525069634579169E-12</v>
      </c>
      <c r="R180" s="62">
        <f t="shared" si="109"/>
        <v>293.33333333333468</v>
      </c>
      <c r="S180" s="62">
        <f ca="1">AVERAGE(OFFSET($R$3,0,0,'Données projet'!$E$9+1,1))-AVERAGE(OFFSET($H$3,0,0,'Données projet'!$E$9+1,1))</f>
        <v>288.82868507674738</v>
      </c>
      <c r="T180" s="62">
        <f t="shared" si="142"/>
        <v>283.48738729114024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2.9480048705115565E-2</v>
      </c>
      <c r="AB180" s="23">
        <f>EXP(-LN(2)/2)*AB179+(1-EXP(-LN(2)/2))/(LN(2)/2)*V180*Y180*VLOOKUP('Données projet'!$B$9,Paramètres!$A$1:$I$89,3,0)*0.475*44/12</f>
        <v>2.5434826407240793E-22</v>
      </c>
      <c r="AC180" s="24">
        <f t="shared" si="163"/>
        <v>2.9480048705115565E-2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293.33333333333616</v>
      </c>
      <c r="AN180" s="62">
        <f ca="1">AVERAGE(OFFSET($AM$3,0,0,'Données projet'!$E$10+1,1))-AVERAGE(OFFSET($H$3,0,0,'Données projet'!$E$10+1,1))</f>
        <v>371.95849973474657</v>
      </c>
      <c r="AO180" s="62">
        <f t="shared" si="144"/>
        <v>233.32640143610547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1.4326025153152442E-21</v>
      </c>
      <c r="AX180" s="23">
        <f t="shared" si="166"/>
        <v>1.4326025153152442E-21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1.1882548278663309E-13</v>
      </c>
      <c r="BF180" s="14">
        <f t="shared" si="167"/>
        <v>1.7496137229198366E-12</v>
      </c>
      <c r="BG180" s="22">
        <f t="shared" si="168"/>
        <v>3.2541982832721012E-12</v>
      </c>
      <c r="BH180" s="62">
        <f t="shared" si="116"/>
        <v>293.33333333333655</v>
      </c>
      <c r="BI180" s="62">
        <f ca="1">AVERAGE(OFFSET($BH$3,0,0,'Données projet'!$E$11+1,1))-AVERAGE(OFFSET($H$3,0,0,'Données projet'!$E$11+1,1))</f>
        <v>423.40903481736001</v>
      </c>
      <c r="BJ180" s="62">
        <f t="shared" si="146"/>
        <v>263.03039552465799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1.6549029056228019E-21</v>
      </c>
      <c r="BS180" s="24">
        <f t="shared" si="169"/>
        <v>1.6549029056228019E-21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-1.0231815394945443E-12</v>
      </c>
      <c r="BZ180" s="14">
        <f>BY180*VLOOKUP('Données projet'!$B$12,Paramètres!$A$1:$I$89,3,0)*VLOOKUP('Données projet'!$B$12,Paramètres!$A$1:$I$89,5,0)</f>
        <v>-4.7884896048344669E-13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264.88170274686757</v>
      </c>
      <c r="CE180" s="62">
        <f t="shared" si="148"/>
        <v>160.81140876142001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411.60020200960821</v>
      </c>
      <c r="CZ180" s="62">
        <f t="shared" si="150"/>
        <v>261.95434270986397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3.0570212444872093E-22</v>
      </c>
      <c r="DI180" s="24">
        <f t="shared" si="175"/>
        <v>3.0570212444872093E-22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1.4210854715202004E-13</v>
      </c>
      <c r="DP180" s="18">
        <f>DO180*VLOOKUP('Données projet'!$B$14,Paramètres!$A$1:$I$89,3,0)*VLOOKUP('Données projet'!$B$14,Paramètres!$A$1:$I$89,5,0)</f>
        <v>9.3109520094003535E-14</v>
      </c>
      <c r="DQ180" s="14">
        <f t="shared" si="176"/>
        <v>1.4104420303656732E-12</v>
      </c>
      <c r="DR180" s="22">
        <f t="shared" si="177"/>
        <v>2.6186856170506036E-12</v>
      </c>
      <c r="DS180" s="62">
        <f t="shared" si="125"/>
        <v>293.33333333333593</v>
      </c>
      <c r="DT180" s="62">
        <f ca="1">AVERAGE(OFFSET($DS$3,0,0,'Données projet'!$E$14+1,1))-AVERAGE(OFFSET($H$3,0,0,'Données projet'!$E$14+1,1))</f>
        <v>240.134073924311</v>
      </c>
      <c r="DU180" s="62">
        <f t="shared" si="152"/>
        <v>237.10378497981156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7.1206814319650411E-2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1.2518629890582927E-21</v>
      </c>
      <c r="ED180" s="24">
        <f t="shared" si="178"/>
        <v>7.1206814319650411E-2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4.4337866711430253E-14</v>
      </c>
      <c r="P181" s="14">
        <f t="shared" si="141"/>
        <v>7.3222115536967035E-13</v>
      </c>
      <c r="Q181" s="22">
        <f t="shared" si="162"/>
        <v>1.3525069634579169E-12</v>
      </c>
      <c r="R181" s="62">
        <f t="shared" si="109"/>
        <v>293.33333333333468</v>
      </c>
      <c r="S181" s="62">
        <f ca="1">AVERAGE(OFFSET($R$3,0,0,'Données projet'!$E$9+1,1))-AVERAGE(OFFSET($H$3,0,0,'Données projet'!$E$9+1,1))</f>
        <v>288.82868507674738</v>
      </c>
      <c r="T181" s="62">
        <f t="shared" si="142"/>
        <v>283.48738729114024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2.8673915222985794E-2</v>
      </c>
      <c r="AB181" s="23">
        <f>EXP(-LN(2)/2)*AB180+(1-EXP(-LN(2)/2))/(LN(2)/2)*V181*Y181*VLOOKUP('Données projet'!$B$9,Paramètres!$A$1:$I$89,3,0)*0.475*44/12</f>
        <v>1.7985138230862636E-22</v>
      </c>
      <c r="AC181" s="24">
        <f t="shared" si="163"/>
        <v>2.8673915222985794E-2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293.33333333333616</v>
      </c>
      <c r="AN181" s="62">
        <f ca="1">AVERAGE(OFFSET($AM$3,0,0,'Données projet'!$E$10+1,1))-AVERAGE(OFFSET($H$3,0,0,'Données projet'!$E$10+1,1))</f>
        <v>371.95849973474657</v>
      </c>
      <c r="AO181" s="62">
        <f t="shared" si="144"/>
        <v>233.32640143610547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1.0130029533243139E-21</v>
      </c>
      <c r="AX181" s="23">
        <f t="shared" si="166"/>
        <v>1.0130029533243139E-21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1.1882548278663309E-13</v>
      </c>
      <c r="BF181" s="14">
        <f t="shared" si="167"/>
        <v>1.7496137229198366E-12</v>
      </c>
      <c r="BG181" s="22">
        <f t="shared" si="168"/>
        <v>3.2541982832721012E-12</v>
      </c>
      <c r="BH181" s="62">
        <f t="shared" si="116"/>
        <v>293.33333333333655</v>
      </c>
      <c r="BI181" s="62">
        <f ca="1">AVERAGE(OFFSET($BH$3,0,0,'Données projet'!$E$11+1,1))-AVERAGE(OFFSET($H$3,0,0,'Données projet'!$E$11+1,1))</f>
        <v>423.40903481736001</v>
      </c>
      <c r="BJ181" s="62">
        <f t="shared" si="146"/>
        <v>263.03039552465799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1.1701930667712044E-21</v>
      </c>
      <c r="BS181" s="24">
        <f t="shared" si="169"/>
        <v>1.1701930667712044E-21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-1.0231815394945443E-12</v>
      </c>
      <c r="BZ181" s="14">
        <f>BY181*VLOOKUP('Données projet'!$B$12,Paramètres!$A$1:$I$89,3,0)*VLOOKUP('Données projet'!$B$12,Paramètres!$A$1:$I$89,5,0)</f>
        <v>-4.7884896048344669E-13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264.88170274686757</v>
      </c>
      <c r="CE181" s="62">
        <f t="shared" si="148"/>
        <v>160.81140876142001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411.60020200960821</v>
      </c>
      <c r="CZ181" s="62">
        <f t="shared" si="150"/>
        <v>261.95434270986397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2.1616404522082443E-22</v>
      </c>
      <c r="DI181" s="24">
        <f t="shared" si="175"/>
        <v>2.1616404522082443E-22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1.4210854715202004E-13</v>
      </c>
      <c r="DP181" s="18">
        <f>DO181*VLOOKUP('Données projet'!$B$14,Paramètres!$A$1:$I$89,3,0)*VLOOKUP('Données projet'!$B$14,Paramètres!$A$1:$I$89,5,0)</f>
        <v>9.3109520094003535E-14</v>
      </c>
      <c r="DQ181" s="14">
        <f t="shared" si="176"/>
        <v>1.4104420303656732E-12</v>
      </c>
      <c r="DR181" s="22">
        <f t="shared" si="177"/>
        <v>2.6186856170506036E-12</v>
      </c>
      <c r="DS181" s="62">
        <f t="shared" si="125"/>
        <v>293.33333333333593</v>
      </c>
      <c r="DT181" s="62">
        <f ca="1">AVERAGE(OFFSET($DS$3,0,0,'Données projet'!$E$14+1,1))-AVERAGE(OFFSET($H$3,0,0,'Données projet'!$E$14+1,1))</f>
        <v>240.134073924311</v>
      </c>
      <c r="DU181" s="62">
        <f t="shared" si="152"/>
        <v>237.10378497981156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6.981049212271026E-2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8.8520080867957952E-22</v>
      </c>
      <c r="ED181" s="24">
        <f t="shared" si="178"/>
        <v>6.981049212271026E-2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4.4337866711430253E-14</v>
      </c>
      <c r="P182" s="14">
        <f t="shared" si="141"/>
        <v>7.3222115536967035E-13</v>
      </c>
      <c r="Q182" s="22">
        <f t="shared" si="162"/>
        <v>1.3525069634579169E-12</v>
      </c>
      <c r="R182" s="62">
        <f t="shared" si="109"/>
        <v>293.33333333333468</v>
      </c>
      <c r="S182" s="62">
        <f ca="1">AVERAGE(OFFSET($R$3,0,0,'Données projet'!$E$9+1,1))-AVERAGE(OFFSET($H$3,0,0,'Données projet'!$E$9+1,1))</f>
        <v>288.82868507674738</v>
      </c>
      <c r="T182" s="62">
        <f t="shared" si="142"/>
        <v>283.48738729114024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2.7889825503317582E-2</v>
      </c>
      <c r="AB182" s="23">
        <f>EXP(-LN(2)/2)*AB181+(1-EXP(-LN(2)/2))/(LN(2)/2)*V182*Y182*VLOOKUP('Données projet'!$B$9,Paramètres!$A$1:$I$89,3,0)*0.475*44/12</f>
        <v>1.2717413203620396E-22</v>
      </c>
      <c r="AC182" s="24">
        <f t="shared" si="163"/>
        <v>2.7889825503317582E-2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293.33333333333616</v>
      </c>
      <c r="AN182" s="62">
        <f ca="1">AVERAGE(OFFSET($AM$3,0,0,'Données projet'!$E$10+1,1))-AVERAGE(OFFSET($H$3,0,0,'Données projet'!$E$10+1,1))</f>
        <v>371.95849973474657</v>
      </c>
      <c r="AO182" s="62">
        <f t="shared" si="144"/>
        <v>233.32640143610547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7.1630125765762208E-22</v>
      </c>
      <c r="AX182" s="23">
        <f t="shared" si="166"/>
        <v>7.1630125765762208E-22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1.1882548278663309E-13</v>
      </c>
      <c r="BF182" s="14">
        <f t="shared" si="167"/>
        <v>1.7496137229198366E-12</v>
      </c>
      <c r="BG182" s="22">
        <f t="shared" si="168"/>
        <v>3.2541982832721012E-12</v>
      </c>
      <c r="BH182" s="62">
        <f t="shared" si="116"/>
        <v>293.33333333333655</v>
      </c>
      <c r="BI182" s="62">
        <f ca="1">AVERAGE(OFFSET($BH$3,0,0,'Données projet'!$E$11+1,1))-AVERAGE(OFFSET($H$3,0,0,'Données projet'!$E$11+1,1))</f>
        <v>423.40903481736001</v>
      </c>
      <c r="BJ182" s="62">
        <f t="shared" si="146"/>
        <v>263.03039552465799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8.2745145281140104E-22</v>
      </c>
      <c r="BS182" s="24">
        <f t="shared" si="169"/>
        <v>8.2745145281140104E-22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-1.0231815394945443E-12</v>
      </c>
      <c r="BZ182" s="14">
        <f>BY182*VLOOKUP('Données projet'!$B$12,Paramètres!$A$1:$I$89,3,0)*VLOOKUP('Données projet'!$B$12,Paramètres!$A$1:$I$89,5,0)</f>
        <v>-4.7884896048344669E-13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264.88170274686757</v>
      </c>
      <c r="CE182" s="62">
        <f t="shared" si="148"/>
        <v>160.81140876142001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411.60020200960821</v>
      </c>
      <c r="CZ182" s="62">
        <f t="shared" si="150"/>
        <v>261.95434270986397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1.5285106222436046E-22</v>
      </c>
      <c r="DI182" s="24">
        <f t="shared" si="175"/>
        <v>1.5285106222436046E-22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1.4210854715202004E-13</v>
      </c>
      <c r="DP182" s="18">
        <f>DO182*VLOOKUP('Données projet'!$B$14,Paramètres!$A$1:$I$89,3,0)*VLOOKUP('Données projet'!$B$14,Paramètres!$A$1:$I$89,5,0)</f>
        <v>9.3109520094003535E-14</v>
      </c>
      <c r="DQ182" s="14">
        <f t="shared" si="176"/>
        <v>1.4104420303656732E-12</v>
      </c>
      <c r="DR182" s="22">
        <f t="shared" si="177"/>
        <v>2.6186856170506036E-12</v>
      </c>
      <c r="DS182" s="62">
        <f t="shared" si="125"/>
        <v>293.33333333333593</v>
      </c>
      <c r="DT182" s="62">
        <f ca="1">AVERAGE(OFFSET($DS$3,0,0,'Données projet'!$E$14+1,1))-AVERAGE(OFFSET($H$3,0,0,'Données projet'!$E$14+1,1))</f>
        <v>240.134073924311</v>
      </c>
      <c r="DU182" s="62">
        <f t="shared" si="152"/>
        <v>237.10378497981156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6.8441550952379665E-2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6.2593149452914636E-22</v>
      </c>
      <c r="ED182" s="24">
        <f t="shared" si="178"/>
        <v>6.8441550952379665E-2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4.4337866711430253E-14</v>
      </c>
      <c r="P183" s="14">
        <f t="shared" si="141"/>
        <v>7.3222115536967035E-13</v>
      </c>
      <c r="Q183" s="22">
        <f t="shared" si="162"/>
        <v>1.3525069634579169E-12</v>
      </c>
      <c r="R183" s="62">
        <f t="shared" si="109"/>
        <v>293.33333333333468</v>
      </c>
      <c r="S183" s="62">
        <f ca="1">AVERAGE(OFFSET($R$3,0,0,'Données projet'!$E$9+1,1))-AVERAGE(OFFSET($H$3,0,0,'Données projet'!$E$9+1,1))</f>
        <v>288.82868507674738</v>
      </c>
      <c r="T183" s="62">
        <f t="shared" si="142"/>
        <v>283.48738729114024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2.7127176758267181E-2</v>
      </c>
      <c r="AB183" s="23">
        <f>EXP(-LN(2)/2)*AB182+(1-EXP(-LN(2)/2))/(LN(2)/2)*V183*Y183*VLOOKUP('Données projet'!$B$9,Paramètres!$A$1:$I$89,3,0)*0.475*44/12</f>
        <v>8.992569115431318E-23</v>
      </c>
      <c r="AC183" s="24">
        <f t="shared" si="163"/>
        <v>2.7127176758267181E-2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293.33333333333616</v>
      </c>
      <c r="AN183" s="62">
        <f ca="1">AVERAGE(OFFSET($AM$3,0,0,'Données projet'!$E$10+1,1))-AVERAGE(OFFSET($H$3,0,0,'Données projet'!$E$10+1,1))</f>
        <v>371.95849973474657</v>
      </c>
      <c r="AO183" s="62">
        <f t="shared" si="144"/>
        <v>233.32640143610547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5.0650147666215697E-22</v>
      </c>
      <c r="AX183" s="23">
        <f t="shared" si="166"/>
        <v>5.0650147666215697E-22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1.1882548278663309E-13</v>
      </c>
      <c r="BF183" s="14">
        <f t="shared" si="167"/>
        <v>1.7496137229198366E-12</v>
      </c>
      <c r="BG183" s="22">
        <f t="shared" si="168"/>
        <v>3.2541982832721012E-12</v>
      </c>
      <c r="BH183" s="62">
        <f t="shared" si="116"/>
        <v>293.33333333333655</v>
      </c>
      <c r="BI183" s="62">
        <f ca="1">AVERAGE(OFFSET($BH$3,0,0,'Données projet'!$E$11+1,1))-AVERAGE(OFFSET($H$3,0,0,'Données projet'!$E$11+1,1))</f>
        <v>423.40903481736001</v>
      </c>
      <c r="BJ183" s="62">
        <f t="shared" si="146"/>
        <v>263.03039552465799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5.8509653338560229E-22</v>
      </c>
      <c r="BS183" s="24">
        <f t="shared" si="169"/>
        <v>5.8509653338560229E-22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-1.0231815394945443E-12</v>
      </c>
      <c r="BZ183" s="14">
        <f>BY183*VLOOKUP('Données projet'!$B$12,Paramètres!$A$1:$I$89,3,0)*VLOOKUP('Données projet'!$B$12,Paramètres!$A$1:$I$89,5,0)</f>
        <v>-4.7884896048344669E-13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264.88170274686757</v>
      </c>
      <c r="CE183" s="62">
        <f t="shared" si="148"/>
        <v>160.81140876142001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411.60020200960821</v>
      </c>
      <c r="CZ183" s="62">
        <f t="shared" si="150"/>
        <v>261.95434270986397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1.0808202261041221E-22</v>
      </c>
      <c r="DI183" s="24">
        <f t="shared" si="175"/>
        <v>1.0808202261041221E-22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1.4210854715202004E-13</v>
      </c>
      <c r="DP183" s="18">
        <f>DO183*VLOOKUP('Données projet'!$B$14,Paramètres!$A$1:$I$89,3,0)*VLOOKUP('Données projet'!$B$14,Paramètres!$A$1:$I$89,5,0)</f>
        <v>9.3109520094003535E-14</v>
      </c>
      <c r="DQ183" s="14">
        <f t="shared" si="176"/>
        <v>1.4104420303656732E-12</v>
      </c>
      <c r="DR183" s="22">
        <f t="shared" si="177"/>
        <v>2.6186856170506036E-12</v>
      </c>
      <c r="DS183" s="62">
        <f t="shared" si="125"/>
        <v>293.33333333333593</v>
      </c>
      <c r="DT183" s="62">
        <f ca="1">AVERAGE(OFFSET($DS$3,0,0,'Données projet'!$E$14+1,1))-AVERAGE(OFFSET($H$3,0,0,'Données projet'!$E$14+1,1))</f>
        <v>240.134073924311</v>
      </c>
      <c r="DU183" s="62">
        <f t="shared" si="152"/>
        <v>237.10378497981156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6.7099453883427584E-2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4.4260040433978976E-22</v>
      </c>
      <c r="ED183" s="24">
        <f t="shared" si="178"/>
        <v>6.7099453883427584E-2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4.4337866711430253E-14</v>
      </c>
      <c r="P184" s="14">
        <f t="shared" si="141"/>
        <v>7.3222115536967035E-13</v>
      </c>
      <c r="Q184" s="22">
        <f t="shared" si="162"/>
        <v>1.3525069634579169E-12</v>
      </c>
      <c r="R184" s="62">
        <f t="shared" si="109"/>
        <v>293.33333333333468</v>
      </c>
      <c r="S184" s="62">
        <f ca="1">AVERAGE(OFFSET($R$3,0,0,'Données projet'!$E$9+1,1))-AVERAGE(OFFSET($H$3,0,0,'Données projet'!$E$9+1,1))</f>
        <v>288.82868507674738</v>
      </c>
      <c r="T184" s="62">
        <f t="shared" si="142"/>
        <v>283.48738729114024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2.6385382683256138E-2</v>
      </c>
      <c r="AB184" s="23">
        <f>EXP(-LN(2)/2)*AB183+(1-EXP(-LN(2)/2))/(LN(2)/2)*V184*Y184*VLOOKUP('Données projet'!$B$9,Paramètres!$A$1:$I$89,3,0)*0.475*44/12</f>
        <v>6.3587066018101982E-23</v>
      </c>
      <c r="AC184" s="24">
        <f t="shared" si="163"/>
        <v>2.6385382683256138E-2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293.33333333333616</v>
      </c>
      <c r="AN184" s="62">
        <f ca="1">AVERAGE(OFFSET($AM$3,0,0,'Données projet'!$E$10+1,1))-AVERAGE(OFFSET($H$3,0,0,'Données projet'!$E$10+1,1))</f>
        <v>371.95849973474657</v>
      </c>
      <c r="AO184" s="62">
        <f t="shared" si="144"/>
        <v>233.32640143610547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3.5815062882881104E-22</v>
      </c>
      <c r="AX184" s="23">
        <f t="shared" si="166"/>
        <v>3.5815062882881104E-22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1.1882548278663309E-13</v>
      </c>
      <c r="BF184" s="14">
        <f t="shared" si="167"/>
        <v>1.7496137229198366E-12</v>
      </c>
      <c r="BG184" s="22">
        <f t="shared" si="168"/>
        <v>3.2541982832721012E-12</v>
      </c>
      <c r="BH184" s="62">
        <f t="shared" si="116"/>
        <v>293.33333333333655</v>
      </c>
      <c r="BI184" s="62">
        <f ca="1">AVERAGE(OFFSET($BH$3,0,0,'Données projet'!$E$11+1,1))-AVERAGE(OFFSET($H$3,0,0,'Données projet'!$E$11+1,1))</f>
        <v>423.40903481736001</v>
      </c>
      <c r="BJ184" s="62">
        <f t="shared" si="146"/>
        <v>263.03039552465799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4.1372572640570062E-22</v>
      </c>
      <c r="BS184" s="24">
        <f t="shared" si="169"/>
        <v>4.1372572640570062E-22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-1.0231815394945443E-12</v>
      </c>
      <c r="BZ184" s="14">
        <f>BY184*VLOOKUP('Données projet'!$B$12,Paramètres!$A$1:$I$89,3,0)*VLOOKUP('Données projet'!$B$12,Paramètres!$A$1:$I$89,5,0)</f>
        <v>-4.7884896048344669E-13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264.88170274686757</v>
      </c>
      <c r="CE184" s="62">
        <f t="shared" si="148"/>
        <v>160.81140876142001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411.60020200960821</v>
      </c>
      <c r="CZ184" s="62">
        <f t="shared" si="150"/>
        <v>261.95434270986397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7.6425531112180232E-23</v>
      </c>
      <c r="DI184" s="24">
        <f t="shared" si="175"/>
        <v>7.6425531112180232E-23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1.4210854715202004E-13</v>
      </c>
      <c r="DP184" s="18">
        <f>DO184*VLOOKUP('Données projet'!$B$14,Paramètres!$A$1:$I$89,3,0)*VLOOKUP('Données projet'!$B$14,Paramètres!$A$1:$I$89,5,0)</f>
        <v>9.3109520094003535E-14</v>
      </c>
      <c r="DQ184" s="14">
        <f t="shared" si="176"/>
        <v>1.4104420303656732E-12</v>
      </c>
      <c r="DR184" s="22">
        <f t="shared" si="177"/>
        <v>2.6186856170506036E-12</v>
      </c>
      <c r="DS184" s="62">
        <f t="shared" si="125"/>
        <v>293.33333333333593</v>
      </c>
      <c r="DT184" s="62">
        <f ca="1">AVERAGE(OFFSET($DS$3,0,0,'Données projet'!$E$14+1,1))-AVERAGE(OFFSET($H$3,0,0,'Données projet'!$E$14+1,1))</f>
        <v>240.134073924311</v>
      </c>
      <c r="DU184" s="62">
        <f t="shared" si="152"/>
        <v>237.10378497981156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6.5783674519399274E-2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3.1296574726457318E-22</v>
      </c>
      <c r="ED184" s="24">
        <f t="shared" si="178"/>
        <v>6.5783674519399274E-2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4.4337866711430253E-14</v>
      </c>
      <c r="P185" s="14">
        <f t="shared" si="141"/>
        <v>7.3222115536967035E-13</v>
      </c>
      <c r="Q185" s="22">
        <f t="shared" si="162"/>
        <v>1.3525069634579169E-12</v>
      </c>
      <c r="R185" s="62">
        <f t="shared" si="109"/>
        <v>293.33333333333468</v>
      </c>
      <c r="S185" s="62">
        <f ca="1">AVERAGE(OFFSET($R$3,0,0,'Données projet'!$E$9+1,1))-AVERAGE(OFFSET($H$3,0,0,'Données projet'!$E$9+1,1))</f>
        <v>288.82868507674738</v>
      </c>
      <c r="T185" s="62">
        <f t="shared" si="142"/>
        <v>283.48738729114024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2.566387300623553E-2</v>
      </c>
      <c r="AB185" s="23">
        <f>EXP(-LN(2)/2)*AB184+(1-EXP(-LN(2)/2))/(LN(2)/2)*V185*Y185*VLOOKUP('Données projet'!$B$9,Paramètres!$A$1:$I$89,3,0)*0.475*44/12</f>
        <v>4.496284557715659E-23</v>
      </c>
      <c r="AC185" s="24">
        <f t="shared" si="163"/>
        <v>2.566387300623553E-2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293.33333333333616</v>
      </c>
      <c r="AN185" s="62">
        <f ca="1">AVERAGE(OFFSET($AM$3,0,0,'Données projet'!$E$10+1,1))-AVERAGE(OFFSET($H$3,0,0,'Données projet'!$E$10+1,1))</f>
        <v>371.95849973474657</v>
      </c>
      <c r="AO185" s="62">
        <f t="shared" si="144"/>
        <v>233.32640143610547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2.5325073833107848E-22</v>
      </c>
      <c r="AX185" s="23">
        <f t="shared" si="166"/>
        <v>2.5325073833107848E-22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1.1882548278663309E-13</v>
      </c>
      <c r="BF185" s="14">
        <f t="shared" si="167"/>
        <v>1.7496137229198366E-12</v>
      </c>
      <c r="BG185" s="22">
        <f t="shared" si="168"/>
        <v>3.2541982832721012E-12</v>
      </c>
      <c r="BH185" s="62">
        <f t="shared" si="116"/>
        <v>293.33333333333655</v>
      </c>
      <c r="BI185" s="62">
        <f ca="1">AVERAGE(OFFSET($BH$3,0,0,'Données projet'!$E$11+1,1))-AVERAGE(OFFSET($H$3,0,0,'Données projet'!$E$11+1,1))</f>
        <v>423.40903481736001</v>
      </c>
      <c r="BJ185" s="62">
        <f t="shared" si="146"/>
        <v>263.03039552465799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2.9254826669280119E-22</v>
      </c>
      <c r="BS185" s="24">
        <f t="shared" si="169"/>
        <v>2.9254826669280119E-22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-1.0231815394945443E-12</v>
      </c>
      <c r="BZ185" s="14">
        <f>BY185*VLOOKUP('Données projet'!$B$12,Paramètres!$A$1:$I$89,3,0)*VLOOKUP('Données projet'!$B$12,Paramètres!$A$1:$I$89,5,0)</f>
        <v>-4.7884896048344669E-13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264.88170274686757</v>
      </c>
      <c r="CE185" s="62">
        <f t="shared" si="148"/>
        <v>160.81140876142001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411.60020200960821</v>
      </c>
      <c r="CZ185" s="62">
        <f t="shared" si="150"/>
        <v>261.95434270986397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5.4041011305206107E-23</v>
      </c>
      <c r="DI185" s="24">
        <f t="shared" si="175"/>
        <v>5.4041011305206107E-23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1.4210854715202004E-13</v>
      </c>
      <c r="DP185" s="18">
        <f>DO185*VLOOKUP('Données projet'!$B$14,Paramètres!$A$1:$I$89,3,0)*VLOOKUP('Données projet'!$B$14,Paramètres!$A$1:$I$89,5,0)</f>
        <v>9.3109520094003535E-14</v>
      </c>
      <c r="DQ185" s="14">
        <f t="shared" si="176"/>
        <v>1.4104420303656732E-12</v>
      </c>
      <c r="DR185" s="22">
        <f t="shared" si="177"/>
        <v>2.6186856170506036E-12</v>
      </c>
      <c r="DS185" s="62">
        <f t="shared" si="125"/>
        <v>293.33333333333593</v>
      </c>
      <c r="DT185" s="62">
        <f ca="1">AVERAGE(OFFSET($DS$3,0,0,'Données projet'!$E$14+1,1))-AVERAGE(OFFSET($H$3,0,0,'Données projet'!$E$14+1,1))</f>
        <v>240.134073924311</v>
      </c>
      <c r="DU185" s="62">
        <f t="shared" si="152"/>
        <v>237.10378497981156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6.4493696786153382E-2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2.2130020216989488E-22</v>
      </c>
      <c r="ED185" s="24">
        <f t="shared" si="178"/>
        <v>6.4493696786153382E-2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4.4337866711430253E-14</v>
      </c>
      <c r="P186" s="14">
        <f t="shared" si="141"/>
        <v>7.3222115536967035E-13</v>
      </c>
      <c r="Q186" s="22">
        <f t="shared" si="162"/>
        <v>1.3525069634579169E-12</v>
      </c>
      <c r="R186" s="62">
        <f t="shared" si="109"/>
        <v>293.33333333333468</v>
      </c>
      <c r="S186" s="62">
        <f ca="1">AVERAGE(OFFSET($R$3,0,0,'Données projet'!$E$9+1,1))-AVERAGE(OFFSET($H$3,0,0,'Données projet'!$E$9+1,1))</f>
        <v>288.82868507674738</v>
      </c>
      <c r="T186" s="62">
        <f t="shared" si="142"/>
        <v>283.48738729114024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2.4962093049275592E-2</v>
      </c>
      <c r="AB186" s="23">
        <f>EXP(-LN(2)/2)*AB185+(1-EXP(-LN(2)/2))/(LN(2)/2)*V186*Y186*VLOOKUP('Données projet'!$B$9,Paramètres!$A$1:$I$89,3,0)*0.475*44/12</f>
        <v>3.1793533009050991E-23</v>
      </c>
      <c r="AC186" s="24">
        <f t="shared" si="163"/>
        <v>2.4962093049275592E-2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293.33333333333616</v>
      </c>
      <c r="AN186" s="62">
        <f ca="1">AVERAGE(OFFSET($AM$3,0,0,'Données projet'!$E$10+1,1))-AVERAGE(OFFSET($H$3,0,0,'Données projet'!$E$10+1,1))</f>
        <v>371.95849973474657</v>
      </c>
      <c r="AO186" s="62">
        <f t="shared" si="144"/>
        <v>233.32640143610547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1.7907531441440552E-22</v>
      </c>
      <c r="AX186" s="23">
        <f t="shared" si="166"/>
        <v>1.7907531441440552E-22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1.1882548278663309E-13</v>
      </c>
      <c r="BF186" s="14">
        <f t="shared" si="167"/>
        <v>1.7496137229198366E-12</v>
      </c>
      <c r="BG186" s="22">
        <f t="shared" si="168"/>
        <v>3.2541982832721012E-12</v>
      </c>
      <c r="BH186" s="62">
        <f t="shared" si="116"/>
        <v>293.33333333333655</v>
      </c>
      <c r="BI186" s="62">
        <f ca="1">AVERAGE(OFFSET($BH$3,0,0,'Données projet'!$E$11+1,1))-AVERAGE(OFFSET($H$3,0,0,'Données projet'!$E$11+1,1))</f>
        <v>423.40903481736001</v>
      </c>
      <c r="BJ186" s="62">
        <f t="shared" si="146"/>
        <v>263.03039552465799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2.0686286320285033E-22</v>
      </c>
      <c r="BS186" s="24">
        <f t="shared" si="169"/>
        <v>2.0686286320285033E-22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-1.0231815394945443E-12</v>
      </c>
      <c r="BZ186" s="14">
        <f>BY186*VLOOKUP('Données projet'!$B$12,Paramètres!$A$1:$I$89,3,0)*VLOOKUP('Données projet'!$B$12,Paramètres!$A$1:$I$89,5,0)</f>
        <v>-4.7884896048344669E-13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264.88170274686757</v>
      </c>
      <c r="CE186" s="62">
        <f t="shared" si="148"/>
        <v>160.81140876142001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411.60020200960821</v>
      </c>
      <c r="CZ186" s="62">
        <f t="shared" si="150"/>
        <v>261.95434270986397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3.8212765556090116E-23</v>
      </c>
      <c r="DI186" s="24">
        <f t="shared" si="175"/>
        <v>3.8212765556090116E-23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1.4210854715202004E-13</v>
      </c>
      <c r="DP186" s="18">
        <f>DO186*VLOOKUP('Données projet'!$B$14,Paramètres!$A$1:$I$89,3,0)*VLOOKUP('Données projet'!$B$14,Paramètres!$A$1:$I$89,5,0)</f>
        <v>9.3109520094003535E-14</v>
      </c>
      <c r="DQ186" s="14">
        <f t="shared" si="176"/>
        <v>1.4104420303656732E-12</v>
      </c>
      <c r="DR186" s="22">
        <f t="shared" si="177"/>
        <v>2.6186856170506036E-12</v>
      </c>
      <c r="DS186" s="62">
        <f t="shared" si="125"/>
        <v>293.33333333333593</v>
      </c>
      <c r="DT186" s="62">
        <f ca="1">AVERAGE(OFFSET($DS$3,0,0,'Données projet'!$E$14+1,1))-AVERAGE(OFFSET($H$3,0,0,'Données projet'!$E$14+1,1))</f>
        <v>240.134073924311</v>
      </c>
      <c r="DU186" s="62">
        <f t="shared" si="152"/>
        <v>237.10378497981156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6.3229014729447724E-2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1.5648287363228659E-22</v>
      </c>
      <c r="ED186" s="24">
        <f t="shared" si="178"/>
        <v>6.3229014729447724E-2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4.4337866711430253E-14</v>
      </c>
      <c r="P187" s="14">
        <f t="shared" si="141"/>
        <v>7.3222115536967035E-13</v>
      </c>
      <c r="Q187" s="22">
        <f t="shared" si="162"/>
        <v>1.3525069634579169E-12</v>
      </c>
      <c r="R187" s="62">
        <f t="shared" si="109"/>
        <v>293.33333333333468</v>
      </c>
      <c r="S187" s="62">
        <f ca="1">AVERAGE(OFFSET($R$3,0,0,'Données projet'!$E$9+1,1))-AVERAGE(OFFSET($H$3,0,0,'Données projet'!$E$9+1,1))</f>
        <v>288.82868507674738</v>
      </c>
      <c r="T187" s="62">
        <f t="shared" si="142"/>
        <v>283.48738729114024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2.4279503302143728E-2</v>
      </c>
      <c r="AB187" s="23">
        <f>EXP(-LN(2)/2)*AB186+(1-EXP(-LN(2)/2))/(LN(2)/2)*V187*Y187*VLOOKUP('Données projet'!$B$9,Paramètres!$A$1:$I$89,3,0)*0.475*44/12</f>
        <v>2.2481422788578295E-23</v>
      </c>
      <c r="AC187" s="24">
        <f t="shared" si="163"/>
        <v>2.4279503302143728E-2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293.33333333333616</v>
      </c>
      <c r="AN187" s="62">
        <f ca="1">AVERAGE(OFFSET($AM$3,0,0,'Données projet'!$E$10+1,1))-AVERAGE(OFFSET($H$3,0,0,'Données projet'!$E$10+1,1))</f>
        <v>371.95849973474657</v>
      </c>
      <c r="AO187" s="62">
        <f t="shared" si="144"/>
        <v>233.32640143610547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1.2662536916553924E-22</v>
      </c>
      <c r="AX187" s="23">
        <f t="shared" si="166"/>
        <v>1.2662536916553924E-22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1.1882548278663309E-13</v>
      </c>
      <c r="BF187" s="14">
        <f t="shared" si="167"/>
        <v>1.7496137229198366E-12</v>
      </c>
      <c r="BG187" s="22">
        <f t="shared" si="168"/>
        <v>3.2541982832721012E-12</v>
      </c>
      <c r="BH187" s="62">
        <f t="shared" si="116"/>
        <v>293.33333333333655</v>
      </c>
      <c r="BI187" s="62">
        <f ca="1">AVERAGE(OFFSET($BH$3,0,0,'Données projet'!$E$11+1,1))-AVERAGE(OFFSET($H$3,0,0,'Données projet'!$E$11+1,1))</f>
        <v>423.40903481736001</v>
      </c>
      <c r="BJ187" s="62">
        <f t="shared" si="146"/>
        <v>263.03039552465799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1.4627413334640062E-22</v>
      </c>
      <c r="BS187" s="24">
        <f t="shared" si="169"/>
        <v>1.4627413334640062E-22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-1.0231815394945443E-12</v>
      </c>
      <c r="BZ187" s="14">
        <f>BY187*VLOOKUP('Données projet'!$B$12,Paramètres!$A$1:$I$89,3,0)*VLOOKUP('Données projet'!$B$12,Paramètres!$A$1:$I$89,5,0)</f>
        <v>-4.7884896048344669E-13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264.88170274686757</v>
      </c>
      <c r="CE187" s="62">
        <f t="shared" si="148"/>
        <v>160.81140876142001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411.60020200960821</v>
      </c>
      <c r="CZ187" s="62">
        <f t="shared" si="150"/>
        <v>261.95434270986397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2.7020505652603053E-23</v>
      </c>
      <c r="DI187" s="24">
        <f t="shared" si="175"/>
        <v>2.7020505652603053E-23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1.4210854715202004E-13</v>
      </c>
      <c r="DP187" s="18">
        <f>DO187*VLOOKUP('Données projet'!$B$14,Paramètres!$A$1:$I$89,3,0)*VLOOKUP('Données projet'!$B$14,Paramètres!$A$1:$I$89,5,0)</f>
        <v>9.3109520094003535E-14</v>
      </c>
      <c r="DQ187" s="14">
        <f t="shared" si="176"/>
        <v>1.4104420303656732E-12</v>
      </c>
      <c r="DR187" s="22">
        <f t="shared" si="177"/>
        <v>2.6186856170506036E-12</v>
      </c>
      <c r="DS187" s="62">
        <f t="shared" si="125"/>
        <v>293.33333333333593</v>
      </c>
      <c r="DT187" s="62">
        <f ca="1">AVERAGE(OFFSET($DS$3,0,0,'Données projet'!$E$14+1,1))-AVERAGE(OFFSET($H$3,0,0,'Données projet'!$E$14+1,1))</f>
        <v>240.134073924311</v>
      </c>
      <c r="DU187" s="62">
        <f t="shared" si="152"/>
        <v>237.10378497981156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6.1989132316494173E-2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1.1065010108494744E-22</v>
      </c>
      <c r="ED187" s="24">
        <f t="shared" si="178"/>
        <v>6.1989132316494173E-2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4.4337866711430253E-14</v>
      </c>
      <c r="P188" s="14">
        <f t="shared" si="141"/>
        <v>7.3222115536967035E-13</v>
      </c>
      <c r="Q188" s="22">
        <f t="shared" si="162"/>
        <v>1.3525069634579169E-12</v>
      </c>
      <c r="R188" s="62">
        <f t="shared" si="109"/>
        <v>293.33333333333468</v>
      </c>
      <c r="S188" s="62">
        <f ca="1">AVERAGE(OFFSET($R$3,0,0,'Données projet'!$E$9+1,1))-AVERAGE(OFFSET($H$3,0,0,'Données projet'!$E$9+1,1))</f>
        <v>288.82868507674738</v>
      </c>
      <c r="T188" s="62">
        <f t="shared" si="142"/>
        <v>283.48738729114024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2.3615579007543019E-2</v>
      </c>
      <c r="AB188" s="23">
        <f>EXP(-LN(2)/2)*AB187+(1-EXP(-LN(2)/2))/(LN(2)/2)*V188*Y188*VLOOKUP('Données projet'!$B$9,Paramètres!$A$1:$I$89,3,0)*0.475*44/12</f>
        <v>1.5896766504525495E-23</v>
      </c>
      <c r="AC188" s="24">
        <f t="shared" si="163"/>
        <v>2.3615579007543019E-2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293.33333333333616</v>
      </c>
      <c r="AN188" s="62">
        <f ca="1">AVERAGE(OFFSET($AM$3,0,0,'Données projet'!$E$10+1,1))-AVERAGE(OFFSET($H$3,0,0,'Données projet'!$E$10+1,1))</f>
        <v>371.95849973474657</v>
      </c>
      <c r="AO188" s="62">
        <f t="shared" si="144"/>
        <v>233.32640143610547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8.953765720720276E-23</v>
      </c>
      <c r="AX188" s="23">
        <f t="shared" si="166"/>
        <v>8.953765720720276E-23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1.1882548278663309E-13</v>
      </c>
      <c r="BF188" s="14">
        <f t="shared" si="167"/>
        <v>1.7496137229198366E-12</v>
      </c>
      <c r="BG188" s="22">
        <f t="shared" si="168"/>
        <v>3.2541982832721012E-12</v>
      </c>
      <c r="BH188" s="62">
        <f t="shared" si="116"/>
        <v>293.33333333333655</v>
      </c>
      <c r="BI188" s="62">
        <f ca="1">AVERAGE(OFFSET($BH$3,0,0,'Données projet'!$E$11+1,1))-AVERAGE(OFFSET($H$3,0,0,'Données projet'!$E$11+1,1))</f>
        <v>423.40903481736001</v>
      </c>
      <c r="BJ188" s="62">
        <f t="shared" si="146"/>
        <v>263.03039552465799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1.0343143160142519E-22</v>
      </c>
      <c r="BS188" s="24">
        <f t="shared" si="169"/>
        <v>1.0343143160142519E-22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-1.0231815394945443E-12</v>
      </c>
      <c r="BZ188" s="14">
        <f>BY188*VLOOKUP('Données projet'!$B$12,Paramètres!$A$1:$I$89,3,0)*VLOOKUP('Données projet'!$B$12,Paramètres!$A$1:$I$89,5,0)</f>
        <v>-4.7884896048344669E-13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264.88170274686757</v>
      </c>
      <c r="CE188" s="62">
        <f t="shared" si="148"/>
        <v>160.81140876142001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411.60020200960821</v>
      </c>
      <c r="CZ188" s="62">
        <f t="shared" si="150"/>
        <v>261.95434270986397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1.9106382778045058E-23</v>
      </c>
      <c r="DI188" s="24">
        <f t="shared" si="175"/>
        <v>1.9106382778045058E-23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1.4210854715202004E-13</v>
      </c>
      <c r="DP188" s="18">
        <f>DO188*VLOOKUP('Données projet'!$B$14,Paramètres!$A$1:$I$89,3,0)*VLOOKUP('Données projet'!$B$14,Paramètres!$A$1:$I$89,5,0)</f>
        <v>9.3109520094003535E-14</v>
      </c>
      <c r="DQ188" s="14">
        <f t="shared" si="176"/>
        <v>1.4104420303656732E-12</v>
      </c>
      <c r="DR188" s="22">
        <f t="shared" si="177"/>
        <v>2.6186856170506036E-12</v>
      </c>
      <c r="DS188" s="62">
        <f t="shared" si="125"/>
        <v>293.33333333333593</v>
      </c>
      <c r="DT188" s="62">
        <f ca="1">AVERAGE(OFFSET($DS$3,0,0,'Données projet'!$E$14+1,1))-AVERAGE(OFFSET($H$3,0,0,'Données projet'!$E$14+1,1))</f>
        <v>240.134073924311</v>
      </c>
      <c r="DU188" s="62">
        <f t="shared" si="152"/>
        <v>237.10378497981156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6.0773563241405044E-2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7.8241436816143295E-23</v>
      </c>
      <c r="ED188" s="24">
        <f t="shared" si="178"/>
        <v>6.0773563241405044E-2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4.4337866711430253E-14</v>
      </c>
      <c r="P189" s="14">
        <f t="shared" si="141"/>
        <v>7.3222115536967035E-13</v>
      </c>
      <c r="Q189" s="22">
        <f t="shared" si="162"/>
        <v>1.3525069634579169E-12</v>
      </c>
      <c r="R189" s="62">
        <f t="shared" si="109"/>
        <v>293.33333333333468</v>
      </c>
      <c r="S189" s="62">
        <f ca="1">AVERAGE(OFFSET($R$3,0,0,'Données projet'!$E$9+1,1))-AVERAGE(OFFSET($H$3,0,0,'Données projet'!$E$9+1,1))</f>
        <v>288.82868507674738</v>
      </c>
      <c r="T189" s="62">
        <f t="shared" si="142"/>
        <v>283.48738729114024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2.296980975769243E-2</v>
      </c>
      <c r="AB189" s="23">
        <f>EXP(-LN(2)/2)*AB188+(1-EXP(-LN(2)/2))/(LN(2)/2)*V189*Y189*VLOOKUP('Données projet'!$B$9,Paramètres!$A$1:$I$89,3,0)*0.475*44/12</f>
        <v>1.1240711394289148E-23</v>
      </c>
      <c r="AC189" s="24">
        <f t="shared" si="163"/>
        <v>2.296980975769243E-2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293.33333333333616</v>
      </c>
      <c r="AN189" s="62">
        <f ca="1">AVERAGE(OFFSET($AM$3,0,0,'Données projet'!$E$10+1,1))-AVERAGE(OFFSET($H$3,0,0,'Données projet'!$E$10+1,1))</f>
        <v>371.95849973474657</v>
      </c>
      <c r="AO189" s="62">
        <f t="shared" si="144"/>
        <v>233.32640143610547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6.3312684582769621E-23</v>
      </c>
      <c r="AX189" s="23">
        <f t="shared" si="166"/>
        <v>6.3312684582769621E-23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1.1882548278663309E-13</v>
      </c>
      <c r="BF189" s="14">
        <f t="shared" si="167"/>
        <v>1.7496137229198366E-12</v>
      </c>
      <c r="BG189" s="22">
        <f t="shared" si="168"/>
        <v>3.2541982832721012E-12</v>
      </c>
      <c r="BH189" s="62">
        <f t="shared" si="116"/>
        <v>293.33333333333655</v>
      </c>
      <c r="BI189" s="62">
        <f ca="1">AVERAGE(OFFSET($BH$3,0,0,'Données projet'!$E$11+1,1))-AVERAGE(OFFSET($H$3,0,0,'Données projet'!$E$11+1,1))</f>
        <v>423.40903481736001</v>
      </c>
      <c r="BJ189" s="62">
        <f t="shared" si="146"/>
        <v>263.03039552465799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7.3137066673200322E-23</v>
      </c>
      <c r="BS189" s="24">
        <f t="shared" si="169"/>
        <v>7.3137066673200322E-23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-1.0231815394945443E-12</v>
      </c>
      <c r="BZ189" s="14">
        <f>BY189*VLOOKUP('Données projet'!$B$12,Paramètres!$A$1:$I$89,3,0)*VLOOKUP('Données projet'!$B$12,Paramètres!$A$1:$I$89,5,0)</f>
        <v>-4.7884896048344669E-13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264.88170274686757</v>
      </c>
      <c r="CE189" s="62">
        <f t="shared" si="148"/>
        <v>160.81140876142001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411.60020200960821</v>
      </c>
      <c r="CZ189" s="62">
        <f t="shared" si="150"/>
        <v>261.95434270986397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1.3510252826301527E-23</v>
      </c>
      <c r="DI189" s="24">
        <f t="shared" si="175"/>
        <v>1.3510252826301527E-23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1.4210854715202004E-13</v>
      </c>
      <c r="DP189" s="18">
        <f>DO189*VLOOKUP('Données projet'!$B$14,Paramètres!$A$1:$I$89,3,0)*VLOOKUP('Données projet'!$B$14,Paramètres!$A$1:$I$89,5,0)</f>
        <v>9.3109520094003535E-14</v>
      </c>
      <c r="DQ189" s="14">
        <f t="shared" si="176"/>
        <v>1.4104420303656732E-12</v>
      </c>
      <c r="DR189" s="22">
        <f t="shared" si="177"/>
        <v>2.6186856170506036E-12</v>
      </c>
      <c r="DS189" s="62">
        <f t="shared" si="125"/>
        <v>293.33333333333593</v>
      </c>
      <c r="DT189" s="62">
        <f ca="1">AVERAGE(OFFSET($DS$3,0,0,'Données projet'!$E$14+1,1))-AVERAGE(OFFSET($H$3,0,0,'Données projet'!$E$14+1,1))</f>
        <v>240.134073924311</v>
      </c>
      <c r="DU189" s="62">
        <f t="shared" si="152"/>
        <v>237.10378497981156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5.9581830734454486E-2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5.532505054247372E-23</v>
      </c>
      <c r="ED189" s="24">
        <f t="shared" si="178"/>
        <v>5.9581830734454486E-2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4.4337866711430253E-14</v>
      </c>
      <c r="P190" s="14">
        <f t="shared" si="141"/>
        <v>7.3222115536967035E-13</v>
      </c>
      <c r="Q190" s="22">
        <f t="shared" si="162"/>
        <v>1.3525069634579169E-12</v>
      </c>
      <c r="R190" s="62">
        <f t="shared" si="109"/>
        <v>293.33333333333468</v>
      </c>
      <c r="S190" s="62">
        <f ca="1">AVERAGE(OFFSET($R$3,0,0,'Données projet'!$E$9+1,1))-AVERAGE(OFFSET($H$3,0,0,'Données projet'!$E$9+1,1))</f>
        <v>288.82868507674738</v>
      </c>
      <c r="T190" s="62">
        <f t="shared" si="142"/>
        <v>283.48738729114024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2.2341699101938534E-2</v>
      </c>
      <c r="AB190" s="23">
        <f>EXP(-LN(2)/2)*AB189+(1-EXP(-LN(2)/2))/(LN(2)/2)*V190*Y190*VLOOKUP('Données projet'!$B$9,Paramètres!$A$1:$I$89,3,0)*0.475*44/12</f>
        <v>7.9483832522627477E-24</v>
      </c>
      <c r="AC190" s="24">
        <f t="shared" si="163"/>
        <v>2.2341699101938534E-2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293.33333333333616</v>
      </c>
      <c r="AN190" s="62">
        <f ca="1">AVERAGE(OFFSET($AM$3,0,0,'Données projet'!$E$10+1,1))-AVERAGE(OFFSET($H$3,0,0,'Données projet'!$E$10+1,1))</f>
        <v>371.95849973474657</v>
      </c>
      <c r="AO190" s="62">
        <f t="shared" si="144"/>
        <v>233.32640143610547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4.476882860360138E-23</v>
      </c>
      <c r="AX190" s="23">
        <f t="shared" si="166"/>
        <v>4.476882860360138E-23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1.1882548278663309E-13</v>
      </c>
      <c r="BF190" s="14">
        <f t="shared" si="167"/>
        <v>1.7496137229198366E-12</v>
      </c>
      <c r="BG190" s="22">
        <f t="shared" si="168"/>
        <v>3.2541982832721012E-12</v>
      </c>
      <c r="BH190" s="62">
        <f t="shared" si="116"/>
        <v>293.33333333333655</v>
      </c>
      <c r="BI190" s="62">
        <f ca="1">AVERAGE(OFFSET($BH$3,0,0,'Données projet'!$E$11+1,1))-AVERAGE(OFFSET($H$3,0,0,'Données projet'!$E$11+1,1))</f>
        <v>423.40903481736001</v>
      </c>
      <c r="BJ190" s="62">
        <f t="shared" si="146"/>
        <v>263.03039552465799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5.17157158007126E-23</v>
      </c>
      <c r="BS190" s="24">
        <f t="shared" si="169"/>
        <v>5.17157158007126E-23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-1.0231815394945443E-12</v>
      </c>
      <c r="BZ190" s="14">
        <f>BY190*VLOOKUP('Données projet'!$B$12,Paramètres!$A$1:$I$89,3,0)*VLOOKUP('Données projet'!$B$12,Paramètres!$A$1:$I$89,5,0)</f>
        <v>-4.7884896048344669E-13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264.88170274686757</v>
      </c>
      <c r="CE190" s="62">
        <f t="shared" si="148"/>
        <v>160.81140876142001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411.60020200960821</v>
      </c>
      <c r="CZ190" s="62">
        <f t="shared" si="150"/>
        <v>261.95434270986397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9.553191389022529E-24</v>
      </c>
      <c r="DI190" s="24">
        <f t="shared" si="175"/>
        <v>9.553191389022529E-24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1.4210854715202004E-13</v>
      </c>
      <c r="DP190" s="18">
        <f>DO190*VLOOKUP('Données projet'!$B$14,Paramètres!$A$1:$I$89,3,0)*VLOOKUP('Données projet'!$B$14,Paramètres!$A$1:$I$89,5,0)</f>
        <v>9.3109520094003535E-14</v>
      </c>
      <c r="DQ190" s="14">
        <f t="shared" si="176"/>
        <v>1.4104420303656732E-12</v>
      </c>
      <c r="DR190" s="22">
        <f t="shared" si="177"/>
        <v>2.6186856170506036E-12</v>
      </c>
      <c r="DS190" s="62">
        <f t="shared" si="125"/>
        <v>293.33333333333593</v>
      </c>
      <c r="DT190" s="62">
        <f ca="1">AVERAGE(OFFSET($DS$3,0,0,'Données projet'!$E$14+1,1))-AVERAGE(OFFSET($H$3,0,0,'Données projet'!$E$14+1,1))</f>
        <v>240.134073924311</v>
      </c>
      <c r="DU190" s="62">
        <f t="shared" si="152"/>
        <v>237.10378497981156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5.8413467375080172E-2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3.9120718408071647E-23</v>
      </c>
      <c r="ED190" s="24">
        <f t="shared" si="178"/>
        <v>5.8413467375080172E-2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4.4337866711430253E-14</v>
      </c>
      <c r="P191" s="14">
        <f t="shared" si="141"/>
        <v>7.3222115536967035E-13</v>
      </c>
      <c r="Q191" s="22">
        <f t="shared" si="162"/>
        <v>1.3525069634579169E-12</v>
      </c>
      <c r="R191" s="62">
        <f t="shared" si="109"/>
        <v>293.33333333333468</v>
      </c>
      <c r="S191" s="62">
        <f ca="1">AVERAGE(OFFSET($R$3,0,0,'Données projet'!$E$9+1,1))-AVERAGE(OFFSET($H$3,0,0,'Données projet'!$E$9+1,1))</f>
        <v>288.82868507674738</v>
      </c>
      <c r="T191" s="62">
        <f t="shared" si="142"/>
        <v>283.48738729114024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2.173076416509713E-2</v>
      </c>
      <c r="AB191" s="23">
        <f>EXP(-LN(2)/2)*AB190+(1-EXP(-LN(2)/2))/(LN(2)/2)*V191*Y191*VLOOKUP('Données projet'!$B$9,Paramètres!$A$1:$I$89,3,0)*0.475*44/12</f>
        <v>5.6203556971445738E-24</v>
      </c>
      <c r="AC191" s="24">
        <f t="shared" si="163"/>
        <v>2.173076416509713E-2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293.33333333333616</v>
      </c>
      <c r="AN191" s="62">
        <f ca="1">AVERAGE(OFFSET($AM$3,0,0,'Données projet'!$E$10+1,1))-AVERAGE(OFFSET($H$3,0,0,'Données projet'!$E$10+1,1))</f>
        <v>371.95849973474657</v>
      </c>
      <c r="AO191" s="62">
        <f t="shared" si="144"/>
        <v>233.32640143610547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3.1656342291384811E-23</v>
      </c>
      <c r="AX191" s="23">
        <f t="shared" si="166"/>
        <v>3.1656342291384811E-23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1.1882548278663309E-13</v>
      </c>
      <c r="BF191" s="14">
        <f t="shared" si="167"/>
        <v>1.7496137229198366E-12</v>
      </c>
      <c r="BG191" s="22">
        <f t="shared" si="168"/>
        <v>3.2541982832721012E-12</v>
      </c>
      <c r="BH191" s="62">
        <f t="shared" si="116"/>
        <v>293.33333333333655</v>
      </c>
      <c r="BI191" s="62">
        <f ca="1">AVERAGE(OFFSET($BH$3,0,0,'Données projet'!$E$11+1,1))-AVERAGE(OFFSET($H$3,0,0,'Données projet'!$E$11+1,1))</f>
        <v>423.40903481736001</v>
      </c>
      <c r="BJ191" s="62">
        <f t="shared" si="146"/>
        <v>263.03039552465799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3.6568533336600167E-23</v>
      </c>
      <c r="BS191" s="24">
        <f t="shared" si="169"/>
        <v>3.6568533336600167E-23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-1.0231815394945443E-12</v>
      </c>
      <c r="BZ191" s="14">
        <f>BY191*VLOOKUP('Données projet'!$B$12,Paramètres!$A$1:$I$89,3,0)*VLOOKUP('Données projet'!$B$12,Paramètres!$A$1:$I$89,5,0)</f>
        <v>-4.7884896048344669E-13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264.88170274686757</v>
      </c>
      <c r="CE191" s="62">
        <f t="shared" si="148"/>
        <v>160.81140876142001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411.60020200960821</v>
      </c>
      <c r="CZ191" s="62">
        <f t="shared" si="150"/>
        <v>261.95434270986397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6.7551264131507633E-24</v>
      </c>
      <c r="DI191" s="24">
        <f t="shared" si="175"/>
        <v>6.7551264131507633E-24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1.4210854715202004E-13</v>
      </c>
      <c r="DP191" s="18">
        <f>DO191*VLOOKUP('Données projet'!$B$14,Paramètres!$A$1:$I$89,3,0)*VLOOKUP('Données projet'!$B$14,Paramètres!$A$1:$I$89,5,0)</f>
        <v>9.3109520094003535E-14</v>
      </c>
      <c r="DQ191" s="14">
        <f t="shared" si="176"/>
        <v>1.4104420303656732E-12</v>
      </c>
      <c r="DR191" s="22">
        <f t="shared" si="177"/>
        <v>2.6186856170506036E-12</v>
      </c>
      <c r="DS191" s="62">
        <f t="shared" si="125"/>
        <v>293.33333333333593</v>
      </c>
      <c r="DT191" s="62">
        <f ca="1">AVERAGE(OFFSET($DS$3,0,0,'Données projet'!$E$14+1,1))-AVERAGE(OFFSET($H$3,0,0,'Données projet'!$E$14+1,1))</f>
        <v>240.134073924311</v>
      </c>
      <c r="DU191" s="62">
        <f t="shared" si="152"/>
        <v>237.10378497981156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5.7268014908551906E-2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2.766252527123686E-23</v>
      </c>
      <c r="ED191" s="24">
        <f t="shared" si="178"/>
        <v>5.7268014908551906E-2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4.4337866711430253E-14</v>
      </c>
      <c r="P192" s="14">
        <f t="shared" si="141"/>
        <v>7.3222115536967035E-13</v>
      </c>
      <c r="Q192" s="22">
        <f t="shared" si="162"/>
        <v>1.3525069634579169E-12</v>
      </c>
      <c r="R192" s="62">
        <f t="shared" si="109"/>
        <v>293.33333333333468</v>
      </c>
      <c r="S192" s="62">
        <f ca="1">AVERAGE(OFFSET($R$3,0,0,'Données projet'!$E$9+1,1))-AVERAGE(OFFSET($H$3,0,0,'Données projet'!$E$9+1,1))</f>
        <v>288.82868507674738</v>
      </c>
      <c r="T192" s="62">
        <f t="shared" si="142"/>
        <v>283.48738729114024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2.1136535276231327E-2</v>
      </c>
      <c r="AB192" s="23">
        <f>EXP(-LN(2)/2)*AB191+(1-EXP(-LN(2)/2))/(LN(2)/2)*V192*Y192*VLOOKUP('Données projet'!$B$9,Paramètres!$A$1:$I$89,3,0)*0.475*44/12</f>
        <v>3.9741916261313738E-24</v>
      </c>
      <c r="AC192" s="24">
        <f t="shared" si="163"/>
        <v>2.1136535276231327E-2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293.33333333333616</v>
      </c>
      <c r="AN192" s="62">
        <f ca="1">AVERAGE(OFFSET($AM$3,0,0,'Données projet'!$E$10+1,1))-AVERAGE(OFFSET($H$3,0,0,'Données projet'!$E$10+1,1))</f>
        <v>371.95849973474657</v>
      </c>
      <c r="AO192" s="62">
        <f t="shared" si="144"/>
        <v>233.32640143610547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2.238441430180069E-23</v>
      </c>
      <c r="AX192" s="23">
        <f t="shared" si="166"/>
        <v>2.238441430180069E-23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1.1882548278663309E-13</v>
      </c>
      <c r="BF192" s="14">
        <f t="shared" si="167"/>
        <v>1.7496137229198366E-12</v>
      </c>
      <c r="BG192" s="22">
        <f t="shared" si="168"/>
        <v>3.2541982832721012E-12</v>
      </c>
      <c r="BH192" s="62">
        <f t="shared" si="116"/>
        <v>293.33333333333655</v>
      </c>
      <c r="BI192" s="62">
        <f ca="1">AVERAGE(OFFSET($BH$3,0,0,'Données projet'!$E$11+1,1))-AVERAGE(OFFSET($H$3,0,0,'Données projet'!$E$11+1,1))</f>
        <v>423.40903481736001</v>
      </c>
      <c r="BJ192" s="62">
        <f t="shared" si="146"/>
        <v>263.03039552465799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2.5857857900356303E-23</v>
      </c>
      <c r="BS192" s="24">
        <f t="shared" si="169"/>
        <v>2.5857857900356303E-23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-1.0231815394945443E-12</v>
      </c>
      <c r="BZ192" s="14">
        <f>BY192*VLOOKUP('Données projet'!$B$12,Paramètres!$A$1:$I$89,3,0)*VLOOKUP('Données projet'!$B$12,Paramètres!$A$1:$I$89,5,0)</f>
        <v>-4.7884896048344669E-13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264.88170274686757</v>
      </c>
      <c r="CE192" s="62">
        <f t="shared" si="148"/>
        <v>160.81140876142001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411.60020200960821</v>
      </c>
      <c r="CZ192" s="62">
        <f t="shared" si="150"/>
        <v>261.95434270986397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4.7765956945112645E-24</v>
      </c>
      <c r="DI192" s="24">
        <f t="shared" si="175"/>
        <v>4.7765956945112645E-24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1.4210854715202004E-13</v>
      </c>
      <c r="DP192" s="18">
        <f>DO192*VLOOKUP('Données projet'!$B$14,Paramètres!$A$1:$I$89,3,0)*VLOOKUP('Données projet'!$B$14,Paramètres!$A$1:$I$89,5,0)</f>
        <v>9.3109520094003535E-14</v>
      </c>
      <c r="DQ192" s="14">
        <f t="shared" si="176"/>
        <v>1.4104420303656732E-12</v>
      </c>
      <c r="DR192" s="22">
        <f t="shared" si="177"/>
        <v>2.6186856170506036E-12</v>
      </c>
      <c r="DS192" s="62">
        <f t="shared" si="125"/>
        <v>293.33333333333593</v>
      </c>
      <c r="DT192" s="62">
        <f ca="1">AVERAGE(OFFSET($DS$3,0,0,'Données projet'!$E$14+1,1))-AVERAGE(OFFSET($H$3,0,0,'Données projet'!$E$14+1,1))</f>
        <v>240.134073924311</v>
      </c>
      <c r="DU192" s="62">
        <f t="shared" si="152"/>
        <v>237.10378497981156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5.6145024066235241E-2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1.9560359204035824E-23</v>
      </c>
      <c r="ED192" s="24">
        <f t="shared" si="178"/>
        <v>5.6145024066235241E-2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4.4337866711430253E-14</v>
      </c>
      <c r="P193" s="14">
        <f t="shared" si="141"/>
        <v>7.3222115536967035E-13</v>
      </c>
      <c r="Q193" s="22">
        <f t="shared" si="162"/>
        <v>1.3525069634579169E-12</v>
      </c>
      <c r="R193" s="62">
        <f t="shared" si="109"/>
        <v>293.33333333333468</v>
      </c>
      <c r="S193" s="62">
        <f ca="1">AVERAGE(OFFSET($R$3,0,0,'Données projet'!$E$9+1,1))-AVERAGE(OFFSET($H$3,0,0,'Données projet'!$E$9+1,1))</f>
        <v>288.82868507674738</v>
      </c>
      <c r="T193" s="62">
        <f t="shared" si="142"/>
        <v>283.48738729114024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2.05585556075807E-2</v>
      </c>
      <c r="AB193" s="23">
        <f>EXP(-LN(2)/2)*AB192+(1-EXP(-LN(2)/2))/(LN(2)/2)*V193*Y193*VLOOKUP('Données projet'!$B$9,Paramètres!$A$1:$I$89,3,0)*0.475*44/12</f>
        <v>2.8101778485722869E-24</v>
      </c>
      <c r="AC193" s="24">
        <f t="shared" si="163"/>
        <v>2.05585556075807E-2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293.33333333333616</v>
      </c>
      <c r="AN193" s="62">
        <f ca="1">AVERAGE(OFFSET($AM$3,0,0,'Données projet'!$E$10+1,1))-AVERAGE(OFFSET($H$3,0,0,'Données projet'!$E$10+1,1))</f>
        <v>371.95849973474657</v>
      </c>
      <c r="AO193" s="62">
        <f t="shared" si="144"/>
        <v>233.32640143610547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1.5828171145692405E-23</v>
      </c>
      <c r="AX193" s="23">
        <f t="shared" si="166"/>
        <v>1.5828171145692405E-23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1.1882548278663309E-13</v>
      </c>
      <c r="BF193" s="14">
        <f t="shared" si="167"/>
        <v>1.7496137229198366E-12</v>
      </c>
      <c r="BG193" s="22">
        <f t="shared" si="168"/>
        <v>3.2541982832721012E-12</v>
      </c>
      <c r="BH193" s="62">
        <f t="shared" si="116"/>
        <v>293.33333333333655</v>
      </c>
      <c r="BI193" s="62">
        <f ca="1">AVERAGE(OFFSET($BH$3,0,0,'Données projet'!$E$11+1,1))-AVERAGE(OFFSET($H$3,0,0,'Données projet'!$E$11+1,1))</f>
        <v>423.40903481736001</v>
      </c>
      <c r="BJ193" s="62">
        <f t="shared" si="146"/>
        <v>263.03039552465799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1.8284266668300086E-23</v>
      </c>
      <c r="BS193" s="24">
        <f t="shared" si="169"/>
        <v>1.8284266668300086E-23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-1.0231815394945443E-12</v>
      </c>
      <c r="BZ193" s="14">
        <f>BY193*VLOOKUP('Données projet'!$B$12,Paramètres!$A$1:$I$89,3,0)*VLOOKUP('Données projet'!$B$12,Paramètres!$A$1:$I$89,5,0)</f>
        <v>-4.7884896048344669E-13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264.88170274686757</v>
      </c>
      <c r="CE193" s="62">
        <f t="shared" si="148"/>
        <v>160.81140876142001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411.60020200960821</v>
      </c>
      <c r="CZ193" s="62">
        <f t="shared" si="150"/>
        <v>261.95434270986397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3.3775632065753817E-24</v>
      </c>
      <c r="DI193" s="24">
        <f t="shared" si="175"/>
        <v>3.3775632065753817E-24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1.4210854715202004E-13</v>
      </c>
      <c r="DP193" s="18">
        <f>DO193*VLOOKUP('Données projet'!$B$14,Paramètres!$A$1:$I$89,3,0)*VLOOKUP('Données projet'!$B$14,Paramètres!$A$1:$I$89,5,0)</f>
        <v>9.3109520094003535E-14</v>
      </c>
      <c r="DQ193" s="14">
        <f t="shared" si="176"/>
        <v>1.4104420303656732E-12</v>
      </c>
      <c r="DR193" s="22">
        <f t="shared" si="177"/>
        <v>2.6186856170506036E-12</v>
      </c>
      <c r="DS193" s="62">
        <f t="shared" si="125"/>
        <v>293.33333333333593</v>
      </c>
      <c r="DT193" s="62">
        <f ca="1">AVERAGE(OFFSET($DS$3,0,0,'Données projet'!$E$14+1,1))-AVERAGE(OFFSET($H$3,0,0,'Données projet'!$E$14+1,1))</f>
        <v>240.134073924311</v>
      </c>
      <c r="DU193" s="62">
        <f t="shared" si="152"/>
        <v>237.10378497981156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5.5044054389379628E-2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1.383126263561843E-23</v>
      </c>
      <c r="ED193" s="24">
        <f t="shared" si="178"/>
        <v>5.5044054389379628E-2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4.4337866711430253E-14</v>
      </c>
      <c r="P194" s="14">
        <f t="shared" si="141"/>
        <v>7.3222115536967035E-13</v>
      </c>
      <c r="Q194" s="22">
        <f t="shared" si="162"/>
        <v>1.3525069634579169E-12</v>
      </c>
      <c r="R194" s="62">
        <f t="shared" si="109"/>
        <v>293.33333333333468</v>
      </c>
      <c r="S194" s="62">
        <f ca="1">AVERAGE(OFFSET($R$3,0,0,'Données projet'!$E$9+1,1))-AVERAGE(OFFSET($H$3,0,0,'Données projet'!$E$9+1,1))</f>
        <v>288.82868507674738</v>
      </c>
      <c r="T194" s="62">
        <f t="shared" si="142"/>
        <v>283.48738729114024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1.9996380823363955E-2</v>
      </c>
      <c r="AB194" s="23">
        <f>EXP(-LN(2)/2)*AB193+(1-EXP(-LN(2)/2))/(LN(2)/2)*V194*Y194*VLOOKUP('Données projet'!$B$9,Paramètres!$A$1:$I$89,3,0)*0.475*44/12</f>
        <v>1.9870958130656869E-24</v>
      </c>
      <c r="AC194" s="24">
        <f t="shared" si="163"/>
        <v>1.9996380823363955E-2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293.33333333333616</v>
      </c>
      <c r="AN194" s="62">
        <f ca="1">AVERAGE(OFFSET($AM$3,0,0,'Données projet'!$E$10+1,1))-AVERAGE(OFFSET($H$3,0,0,'Données projet'!$E$10+1,1))</f>
        <v>371.95849973474657</v>
      </c>
      <c r="AO194" s="62">
        <f t="shared" si="144"/>
        <v>233.32640143610547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1.1192207150900345E-23</v>
      </c>
      <c r="AX194" s="23">
        <f t="shared" si="166"/>
        <v>1.1192207150900345E-23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1.1882548278663309E-13</v>
      </c>
      <c r="BF194" s="14">
        <f t="shared" si="167"/>
        <v>1.7496137229198366E-12</v>
      </c>
      <c r="BG194" s="22">
        <f t="shared" si="168"/>
        <v>3.2541982832721012E-12</v>
      </c>
      <c r="BH194" s="62">
        <f t="shared" si="116"/>
        <v>293.33333333333655</v>
      </c>
      <c r="BI194" s="62">
        <f ca="1">AVERAGE(OFFSET($BH$3,0,0,'Données projet'!$E$11+1,1))-AVERAGE(OFFSET($H$3,0,0,'Données projet'!$E$11+1,1))</f>
        <v>423.40903481736001</v>
      </c>
      <c r="BJ194" s="62">
        <f t="shared" si="146"/>
        <v>263.03039552465799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1.2928928950178155E-23</v>
      </c>
      <c r="BS194" s="24">
        <f t="shared" si="169"/>
        <v>1.2928928950178155E-23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-1.0231815394945443E-12</v>
      </c>
      <c r="BZ194" s="14">
        <f>BY194*VLOOKUP('Données projet'!$B$12,Paramètres!$A$1:$I$89,3,0)*VLOOKUP('Données projet'!$B$12,Paramètres!$A$1:$I$89,5,0)</f>
        <v>-4.7884896048344669E-13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264.88170274686757</v>
      </c>
      <c r="CE194" s="62">
        <f t="shared" si="148"/>
        <v>160.81140876142001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411.60020200960821</v>
      </c>
      <c r="CZ194" s="62">
        <f t="shared" si="150"/>
        <v>261.95434270986397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2.3882978472556323E-24</v>
      </c>
      <c r="DI194" s="24">
        <f t="shared" si="175"/>
        <v>2.3882978472556323E-24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1.4210854715202004E-13</v>
      </c>
      <c r="DP194" s="18">
        <f>DO194*VLOOKUP('Données projet'!$B$14,Paramètres!$A$1:$I$89,3,0)*VLOOKUP('Données projet'!$B$14,Paramètres!$A$1:$I$89,5,0)</f>
        <v>9.3109520094003535E-14</v>
      </c>
      <c r="DQ194" s="14">
        <f t="shared" si="176"/>
        <v>1.4104420303656732E-12</v>
      </c>
      <c r="DR194" s="22">
        <f t="shared" si="177"/>
        <v>2.6186856170506036E-12</v>
      </c>
      <c r="DS194" s="62">
        <f t="shared" si="125"/>
        <v>293.33333333333593</v>
      </c>
      <c r="DT194" s="62">
        <f ca="1">AVERAGE(OFFSET($DS$3,0,0,'Données projet'!$E$14+1,1))-AVERAGE(OFFSET($H$3,0,0,'Données projet'!$E$14+1,1))</f>
        <v>240.134073924311</v>
      </c>
      <c r="DU194" s="62">
        <f t="shared" si="152"/>
        <v>237.10378497981156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5.3964674056361954E-2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9.7801796020179119E-24</v>
      </c>
      <c r="ED194" s="24">
        <f t="shared" si="178"/>
        <v>5.3964674056361954E-2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4.4337866711430253E-14</v>
      </c>
      <c r="P195" s="14">
        <f t="shared" si="141"/>
        <v>7.3222115536967035E-13</v>
      </c>
      <c r="Q195" s="22">
        <f t="shared" si="162"/>
        <v>1.3525069634579169E-12</v>
      </c>
      <c r="R195" s="62">
        <f t="shared" ref="R195:R203" si="191">Q195+(I195+J195)*44/12</f>
        <v>293.33333333333468</v>
      </c>
      <c r="S195" s="62">
        <f ca="1">AVERAGE(OFFSET($R$3,0,0,'Données projet'!$E$9+1,1))-AVERAGE(OFFSET($H$3,0,0,'Données projet'!$E$9+1,1))</f>
        <v>288.82868507674738</v>
      </c>
      <c r="T195" s="62">
        <f t="shared" si="142"/>
        <v>283.48738729114024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1.9449578738185102E-2</v>
      </c>
      <c r="AB195" s="23">
        <f>EXP(-LN(2)/2)*AB194+(1-EXP(-LN(2)/2))/(LN(2)/2)*V195*Y195*VLOOKUP('Données projet'!$B$9,Paramètres!$A$1:$I$89,3,0)*0.475*44/12</f>
        <v>1.4050889242861434E-24</v>
      </c>
      <c r="AC195" s="24">
        <f t="shared" si="163"/>
        <v>1.9449578738185102E-2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293.33333333333616</v>
      </c>
      <c r="AN195" s="62">
        <f ca="1">AVERAGE(OFFSET($AM$3,0,0,'Données projet'!$E$10+1,1))-AVERAGE(OFFSET($H$3,0,0,'Données projet'!$E$10+1,1))</f>
        <v>371.95849973474657</v>
      </c>
      <c r="AO195" s="62">
        <f t="shared" si="144"/>
        <v>233.32640143610547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7.9140855728462027E-24</v>
      </c>
      <c r="AX195" s="23">
        <f t="shared" si="166"/>
        <v>7.9140855728462027E-24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1.1882548278663309E-13</v>
      </c>
      <c r="BF195" s="14">
        <f t="shared" si="167"/>
        <v>1.7496137229198366E-12</v>
      </c>
      <c r="BG195" s="22">
        <f t="shared" si="168"/>
        <v>3.2541982832721012E-12</v>
      </c>
      <c r="BH195" s="62">
        <f t="shared" si="116"/>
        <v>293.33333333333655</v>
      </c>
      <c r="BI195" s="62">
        <f ca="1">AVERAGE(OFFSET($BH$3,0,0,'Données projet'!$E$11+1,1))-AVERAGE(OFFSET($H$3,0,0,'Données projet'!$E$11+1,1))</f>
        <v>423.40903481736001</v>
      </c>
      <c r="BJ195" s="62">
        <f t="shared" si="146"/>
        <v>263.03039552465799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9.1421333341500446E-24</v>
      </c>
      <c r="BS195" s="24">
        <f t="shared" si="169"/>
        <v>9.1421333341500446E-24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-1.0231815394945443E-12</v>
      </c>
      <c r="BZ195" s="14">
        <f>BY195*VLOOKUP('Données projet'!$B$12,Paramètres!$A$1:$I$89,3,0)*VLOOKUP('Données projet'!$B$12,Paramètres!$A$1:$I$89,5,0)</f>
        <v>-4.7884896048344669E-13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264.88170274686757</v>
      </c>
      <c r="CE195" s="62">
        <f t="shared" si="148"/>
        <v>160.81140876142001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411.60020200960821</v>
      </c>
      <c r="CZ195" s="62">
        <f t="shared" si="150"/>
        <v>261.95434270986397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1.6887816032876908E-24</v>
      </c>
      <c r="DI195" s="24">
        <f t="shared" si="175"/>
        <v>1.6887816032876908E-24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1.4210854715202004E-13</v>
      </c>
      <c r="DP195" s="18">
        <f>DO195*VLOOKUP('Données projet'!$B$14,Paramètres!$A$1:$I$89,3,0)*VLOOKUP('Données projet'!$B$14,Paramètres!$A$1:$I$89,5,0)</f>
        <v>9.3109520094003535E-14</v>
      </c>
      <c r="DQ195" s="14">
        <f t="shared" si="176"/>
        <v>1.4104420303656732E-12</v>
      </c>
      <c r="DR195" s="22">
        <f t="shared" si="177"/>
        <v>2.6186856170506036E-12</v>
      </c>
      <c r="DS195" s="62">
        <f t="shared" si="125"/>
        <v>293.33333333333593</v>
      </c>
      <c r="DT195" s="62">
        <f ca="1">AVERAGE(OFFSET($DS$3,0,0,'Données projet'!$E$14+1,1))-AVERAGE(OFFSET($H$3,0,0,'Données projet'!$E$14+1,1))</f>
        <v>240.134073924311</v>
      </c>
      <c r="DU195" s="62">
        <f t="shared" si="152"/>
        <v>237.10378497981156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5.2906459713317762E-2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6.915631317809215E-24</v>
      </c>
      <c r="ED195" s="24">
        <f t="shared" si="178"/>
        <v>5.2906459713317762E-2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4.4337866711430253E-14</v>
      </c>
      <c r="P196" s="14">
        <f t="shared" si="141"/>
        <v>7.3222115536967035E-13</v>
      </c>
      <c r="Q196" s="22">
        <f t="shared" si="162"/>
        <v>1.3525069634579169E-12</v>
      </c>
      <c r="R196" s="62">
        <f t="shared" si="191"/>
        <v>293.33333333333468</v>
      </c>
      <c r="S196" s="62">
        <f ca="1">AVERAGE(OFFSET($R$3,0,0,'Données projet'!$E$9+1,1))-AVERAGE(OFFSET($H$3,0,0,'Données projet'!$E$9+1,1))</f>
        <v>288.82868507674738</v>
      </c>
      <c r="T196" s="62">
        <f t="shared" si="142"/>
        <v>283.48738729114024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1.8917728984780537E-2</v>
      </c>
      <c r="AB196" s="23">
        <f>EXP(-LN(2)/2)*AB195+(1-EXP(-LN(2)/2))/(LN(2)/2)*V196*Y196*VLOOKUP('Données projet'!$B$9,Paramètres!$A$1:$I$89,3,0)*0.475*44/12</f>
        <v>9.9354790653284346E-25</v>
      </c>
      <c r="AC196" s="24">
        <f t="shared" si="163"/>
        <v>1.8917728984780537E-2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293.33333333333616</v>
      </c>
      <c r="AN196" s="62">
        <f ca="1">AVERAGE(OFFSET($AM$3,0,0,'Données projet'!$E$10+1,1))-AVERAGE(OFFSET($H$3,0,0,'Données projet'!$E$10+1,1))</f>
        <v>371.95849973474657</v>
      </c>
      <c r="AO196" s="62">
        <f t="shared" si="144"/>
        <v>233.32640143610547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5.5961035754501725E-24</v>
      </c>
      <c r="AX196" s="23">
        <f t="shared" si="166"/>
        <v>5.5961035754501725E-24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1.1882548278663309E-13</v>
      </c>
      <c r="BF196" s="14">
        <f t="shared" si="167"/>
        <v>1.7496137229198366E-12</v>
      </c>
      <c r="BG196" s="22">
        <f t="shared" si="168"/>
        <v>3.2541982832721012E-12</v>
      </c>
      <c r="BH196" s="62">
        <f t="shared" ref="BH196:BH203" si="194">BG196+(AY196+AZ196)*44/12</f>
        <v>293.33333333333655</v>
      </c>
      <c r="BI196" s="62">
        <f ca="1">AVERAGE(OFFSET($BH$3,0,0,'Données projet'!$E$11+1,1))-AVERAGE(OFFSET($H$3,0,0,'Données projet'!$E$11+1,1))</f>
        <v>423.40903481736001</v>
      </c>
      <c r="BJ196" s="62">
        <f t="shared" si="146"/>
        <v>263.03039552465799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6.464464475089078E-24</v>
      </c>
      <c r="BS196" s="24">
        <f t="shared" si="169"/>
        <v>6.464464475089078E-24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-1.0231815394945443E-12</v>
      </c>
      <c r="BZ196" s="14">
        <f>BY196*VLOOKUP('Données projet'!$B$12,Paramètres!$A$1:$I$89,3,0)*VLOOKUP('Données projet'!$B$12,Paramètres!$A$1:$I$89,5,0)</f>
        <v>-4.7884896048344669E-13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264.88170274686757</v>
      </c>
      <c r="CE196" s="62">
        <f t="shared" si="148"/>
        <v>160.81140876142001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411.60020200960821</v>
      </c>
      <c r="CZ196" s="62">
        <f t="shared" si="150"/>
        <v>261.95434270986397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1.1941489236278161E-24</v>
      </c>
      <c r="DI196" s="24">
        <f t="shared" si="175"/>
        <v>1.1941489236278161E-24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1.4210854715202004E-13</v>
      </c>
      <c r="DP196" s="18">
        <f>DO196*VLOOKUP('Données projet'!$B$14,Paramètres!$A$1:$I$89,3,0)*VLOOKUP('Données projet'!$B$14,Paramètres!$A$1:$I$89,5,0)</f>
        <v>9.3109520094003535E-14</v>
      </c>
      <c r="DQ196" s="14">
        <f t="shared" si="176"/>
        <v>1.4104420303656732E-12</v>
      </c>
      <c r="DR196" s="22">
        <f t="shared" si="177"/>
        <v>2.6186856170506036E-12</v>
      </c>
      <c r="DS196" s="62">
        <f t="shared" ref="DS196:DS203" si="197">DR196+(DJ196+DK196)*44/12</f>
        <v>293.33333333333593</v>
      </c>
      <c r="DT196" s="62">
        <f ca="1">AVERAGE(OFFSET($DS$3,0,0,'Données projet'!$E$14+1,1))-AVERAGE(OFFSET($H$3,0,0,'Données projet'!$E$14+1,1))</f>
        <v>240.134073924311</v>
      </c>
      <c r="DU196" s="62">
        <f t="shared" si="152"/>
        <v>237.10378497981156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5.1868996308093655E-2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4.8900898010089559E-24</v>
      </c>
      <c r="ED196" s="24">
        <f t="shared" si="178"/>
        <v>5.1868996308093655E-2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4.4337866711430253E-14</v>
      </c>
      <c r="P197" s="14">
        <f t="shared" ref="P197:P203" si="203">EXP(-1.0587+0.8836*LN(O197)+0.284)</f>
        <v>7.3222115536967035E-13</v>
      </c>
      <c r="Q197" s="22">
        <f t="shared" si="162"/>
        <v>1.3525069634579169E-12</v>
      </c>
      <c r="R197" s="62">
        <f t="shared" si="191"/>
        <v>293.33333333333468</v>
      </c>
      <c r="S197" s="62">
        <f ca="1">AVERAGE(OFFSET($R$3,0,0,'Données projet'!$E$9+1,1))-AVERAGE(OFFSET($H$3,0,0,'Données projet'!$E$9+1,1))</f>
        <v>288.82868507674738</v>
      </c>
      <c r="T197" s="62">
        <f t="shared" ref="T197:T203" si="204">$T$3</f>
        <v>283.48738729114024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1.8400422690851584E-2</v>
      </c>
      <c r="AB197" s="23">
        <f>EXP(-LN(2)/2)*AB196+(1-EXP(-LN(2)/2))/(LN(2)/2)*V197*Y197*VLOOKUP('Données projet'!$B$9,Paramètres!$A$1:$I$89,3,0)*0.475*44/12</f>
        <v>7.0254446214307172E-25</v>
      </c>
      <c r="AC197" s="24">
        <f t="shared" si="163"/>
        <v>1.8400422690851584E-2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293.33333333333616</v>
      </c>
      <c r="AN197" s="62">
        <f ca="1">AVERAGE(OFFSET($AM$3,0,0,'Données projet'!$E$10+1,1))-AVERAGE(OFFSET($H$3,0,0,'Données projet'!$E$10+1,1))</f>
        <v>371.95849973474657</v>
      </c>
      <c r="AO197" s="62">
        <f t="shared" ref="AO197:AO203" si="205">$AO$3</f>
        <v>233.32640143610547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3.9570427864231013E-24</v>
      </c>
      <c r="AX197" s="23">
        <f t="shared" si="166"/>
        <v>3.9570427864231013E-24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1.1882548278663309E-13</v>
      </c>
      <c r="BF197" s="14">
        <f t="shared" si="167"/>
        <v>1.7496137229198366E-12</v>
      </c>
      <c r="BG197" s="22">
        <f t="shared" si="168"/>
        <v>3.2541982832721012E-12</v>
      </c>
      <c r="BH197" s="62">
        <f t="shared" si="194"/>
        <v>293.33333333333655</v>
      </c>
      <c r="BI197" s="62">
        <f ca="1">AVERAGE(OFFSET($BH$3,0,0,'Données projet'!$E$11+1,1))-AVERAGE(OFFSET($H$3,0,0,'Données projet'!$E$11+1,1))</f>
        <v>423.40903481736001</v>
      </c>
      <c r="BJ197" s="62">
        <f t="shared" ref="BJ197:BJ203" si="206">$BJ$3</f>
        <v>263.03039552465799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4.571066667075023E-24</v>
      </c>
      <c r="BS197" s="24">
        <f t="shared" si="169"/>
        <v>4.571066667075023E-24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-1.0231815394945443E-12</v>
      </c>
      <c r="BZ197" s="14">
        <f>BY197*VLOOKUP('Données projet'!$B$12,Paramètres!$A$1:$I$89,3,0)*VLOOKUP('Données projet'!$B$12,Paramètres!$A$1:$I$89,5,0)</f>
        <v>-4.7884896048344669E-13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264.88170274686757</v>
      </c>
      <c r="CE197" s="62">
        <f t="shared" ref="CE197:CE203" si="207">$CE$3</f>
        <v>160.81140876142001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411.60020200960821</v>
      </c>
      <c r="CZ197" s="62">
        <f t="shared" ref="CZ197:CZ203" si="208">$CZ$3</f>
        <v>261.95434270986397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8.4439080164384542E-25</v>
      </c>
      <c r="DI197" s="24">
        <f t="shared" si="175"/>
        <v>8.4439080164384542E-25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1.4210854715202004E-13</v>
      </c>
      <c r="DP197" s="18">
        <f>DO197*VLOOKUP('Données projet'!$B$14,Paramètres!$A$1:$I$89,3,0)*VLOOKUP('Données projet'!$B$14,Paramètres!$A$1:$I$89,5,0)</f>
        <v>9.3109520094003535E-14</v>
      </c>
      <c r="DQ197" s="14">
        <f t="shared" si="176"/>
        <v>1.4104420303656732E-12</v>
      </c>
      <c r="DR197" s="22">
        <f t="shared" si="177"/>
        <v>2.6186856170506036E-12</v>
      </c>
      <c r="DS197" s="62">
        <f t="shared" si="197"/>
        <v>293.33333333333593</v>
      </c>
      <c r="DT197" s="62">
        <f ca="1">AVERAGE(OFFSET($DS$3,0,0,'Données projet'!$E$14+1,1))-AVERAGE(OFFSET($H$3,0,0,'Données projet'!$E$14+1,1))</f>
        <v>240.134073924311</v>
      </c>
      <c r="DU197" s="62">
        <f t="shared" ref="DU197:DU203" si="209">$DU$3</f>
        <v>237.10378497981156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5.0851876927455797E-2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3.4578156589046075E-24</v>
      </c>
      <c r="ED197" s="24">
        <f t="shared" si="178"/>
        <v>5.0851876927455797E-2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4.4337866711430253E-14</v>
      </c>
      <c r="P198" s="14">
        <f t="shared" si="203"/>
        <v>7.3222115536967035E-13</v>
      </c>
      <c r="Q198" s="22">
        <f t="shared" si="162"/>
        <v>1.3525069634579169E-12</v>
      </c>
      <c r="R198" s="62">
        <f t="shared" si="191"/>
        <v>293.33333333333468</v>
      </c>
      <c r="S198" s="62">
        <f ca="1">AVERAGE(OFFSET($R$3,0,0,'Données projet'!$E$9+1,1))-AVERAGE(OFFSET($H$3,0,0,'Données projet'!$E$9+1,1))</f>
        <v>288.82868507674738</v>
      </c>
      <c r="T198" s="62">
        <f t="shared" si="204"/>
        <v>283.48738729114024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1.7897262164734074E-2</v>
      </c>
      <c r="AB198" s="23">
        <f>EXP(-LN(2)/2)*AB197+(1-EXP(-LN(2)/2))/(LN(2)/2)*V198*Y198*VLOOKUP('Données projet'!$B$9,Paramètres!$A$1:$I$89,3,0)*0.475*44/12</f>
        <v>4.9677395326642173E-25</v>
      </c>
      <c r="AC198" s="24">
        <f t="shared" si="163"/>
        <v>1.7897262164734074E-2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293.33333333333616</v>
      </c>
      <c r="AN198" s="62">
        <f ca="1">AVERAGE(OFFSET($AM$3,0,0,'Données projet'!$E$10+1,1))-AVERAGE(OFFSET($H$3,0,0,'Données projet'!$E$10+1,1))</f>
        <v>371.95849973474657</v>
      </c>
      <c r="AO198" s="62">
        <f t="shared" si="205"/>
        <v>233.32640143610547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2.7980517877250863E-24</v>
      </c>
      <c r="AX198" s="23">
        <f t="shared" si="166"/>
        <v>2.7980517877250863E-24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1.1882548278663309E-13</v>
      </c>
      <c r="BF198" s="14">
        <f t="shared" si="167"/>
        <v>1.7496137229198366E-12</v>
      </c>
      <c r="BG198" s="22">
        <f t="shared" si="168"/>
        <v>3.2541982832721012E-12</v>
      </c>
      <c r="BH198" s="62">
        <f t="shared" si="194"/>
        <v>293.33333333333655</v>
      </c>
      <c r="BI198" s="62">
        <f ca="1">AVERAGE(OFFSET($BH$3,0,0,'Données projet'!$E$11+1,1))-AVERAGE(OFFSET($H$3,0,0,'Données projet'!$E$11+1,1))</f>
        <v>423.40903481736001</v>
      </c>
      <c r="BJ198" s="62">
        <f t="shared" si="206"/>
        <v>263.03039552465799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3.2322322375445397E-24</v>
      </c>
      <c r="BS198" s="24">
        <f t="shared" si="169"/>
        <v>3.2322322375445397E-24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-1.0231815394945443E-12</v>
      </c>
      <c r="BZ198" s="14">
        <f>BY198*VLOOKUP('Données projet'!$B$12,Paramètres!$A$1:$I$89,3,0)*VLOOKUP('Données projet'!$B$12,Paramètres!$A$1:$I$89,5,0)</f>
        <v>-4.7884896048344669E-13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264.88170274686757</v>
      </c>
      <c r="CE198" s="62">
        <f t="shared" si="207"/>
        <v>160.81140876142001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411.60020200960821</v>
      </c>
      <c r="CZ198" s="62">
        <f t="shared" si="208"/>
        <v>261.95434270986397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5.9707446181390806E-25</v>
      </c>
      <c r="DI198" s="24">
        <f t="shared" si="175"/>
        <v>5.9707446181390806E-25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1.4210854715202004E-13</v>
      </c>
      <c r="DP198" s="18">
        <f>DO198*VLOOKUP('Données projet'!$B$14,Paramètres!$A$1:$I$89,3,0)*VLOOKUP('Données projet'!$B$14,Paramètres!$A$1:$I$89,5,0)</f>
        <v>9.3109520094003535E-14</v>
      </c>
      <c r="DQ198" s="14">
        <f t="shared" si="176"/>
        <v>1.4104420303656732E-12</v>
      </c>
      <c r="DR198" s="22">
        <f t="shared" si="177"/>
        <v>2.6186856170506036E-12</v>
      </c>
      <c r="DS198" s="62">
        <f t="shared" si="197"/>
        <v>293.33333333333593</v>
      </c>
      <c r="DT198" s="62">
        <f ca="1">AVERAGE(OFFSET($DS$3,0,0,'Données projet'!$E$14+1,1))-AVERAGE(OFFSET($H$3,0,0,'Données projet'!$E$14+1,1))</f>
        <v>240.134073924311</v>
      </c>
      <c r="DU198" s="62">
        <f t="shared" si="209"/>
        <v>237.10378497981156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4.9854702637490679E-2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2.445044900504478E-24</v>
      </c>
      <c r="ED198" s="24">
        <f t="shared" si="178"/>
        <v>4.9854702637490679E-2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4.4337866711430253E-14</v>
      </c>
      <c r="P199" s="14">
        <f t="shared" si="203"/>
        <v>7.3222115536967035E-13</v>
      </c>
      <c r="Q199" s="22">
        <f t="shared" si="162"/>
        <v>1.3525069634579169E-12</v>
      </c>
      <c r="R199" s="62">
        <f t="shared" si="191"/>
        <v>293.33333333333468</v>
      </c>
      <c r="S199" s="62">
        <f ca="1">AVERAGE(OFFSET($R$3,0,0,'Données projet'!$E$9+1,1))-AVERAGE(OFFSET($H$3,0,0,'Données projet'!$E$9+1,1))</f>
        <v>288.82868507674738</v>
      </c>
      <c r="T199" s="62">
        <f t="shared" si="204"/>
        <v>283.48738729114024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1.7407860589663308E-2</v>
      </c>
      <c r="AB199" s="23">
        <f>EXP(-LN(2)/2)*AB198+(1-EXP(-LN(2)/2))/(LN(2)/2)*V199*Y199*VLOOKUP('Données projet'!$B$9,Paramètres!$A$1:$I$89,3,0)*0.475*44/12</f>
        <v>3.5127223107153586E-25</v>
      </c>
      <c r="AC199" s="24">
        <f t="shared" si="163"/>
        <v>1.7407860589663308E-2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293.33333333333616</v>
      </c>
      <c r="AN199" s="62">
        <f ca="1">AVERAGE(OFFSET($AM$3,0,0,'Données projet'!$E$10+1,1))-AVERAGE(OFFSET($H$3,0,0,'Données projet'!$E$10+1,1))</f>
        <v>371.95849973474657</v>
      </c>
      <c r="AO199" s="62">
        <f t="shared" si="205"/>
        <v>233.32640143610547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1.9785213932115507E-24</v>
      </c>
      <c r="AX199" s="23">
        <f t="shared" si="166"/>
        <v>1.9785213932115507E-24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1.1882548278663309E-13</v>
      </c>
      <c r="BF199" s="14">
        <f t="shared" si="167"/>
        <v>1.7496137229198366E-12</v>
      </c>
      <c r="BG199" s="22">
        <f t="shared" si="168"/>
        <v>3.2541982832721012E-12</v>
      </c>
      <c r="BH199" s="62">
        <f t="shared" si="194"/>
        <v>293.33333333333655</v>
      </c>
      <c r="BI199" s="62">
        <f ca="1">AVERAGE(OFFSET($BH$3,0,0,'Données projet'!$E$11+1,1))-AVERAGE(OFFSET($H$3,0,0,'Données projet'!$E$11+1,1))</f>
        <v>423.40903481736001</v>
      </c>
      <c r="BJ199" s="62">
        <f t="shared" si="206"/>
        <v>263.03039552465799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2.2855333335375119E-24</v>
      </c>
      <c r="BS199" s="24">
        <f t="shared" si="169"/>
        <v>2.2855333335375119E-24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-1.0231815394945443E-12</v>
      </c>
      <c r="BZ199" s="14">
        <f>BY199*VLOOKUP('Données projet'!$B$12,Paramètres!$A$1:$I$89,3,0)*VLOOKUP('Données projet'!$B$12,Paramètres!$A$1:$I$89,5,0)</f>
        <v>-4.7884896048344669E-13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264.88170274686757</v>
      </c>
      <c r="CE199" s="62">
        <f t="shared" si="207"/>
        <v>160.81140876142001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411.60020200960821</v>
      </c>
      <c r="CZ199" s="62">
        <f t="shared" si="208"/>
        <v>261.95434270986397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4.2219540082192271E-25</v>
      </c>
      <c r="DI199" s="24">
        <f t="shared" si="175"/>
        <v>4.2219540082192271E-25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1.4210854715202004E-13</v>
      </c>
      <c r="DP199" s="18">
        <f>DO199*VLOOKUP('Données projet'!$B$14,Paramètres!$A$1:$I$89,3,0)*VLOOKUP('Données projet'!$B$14,Paramètres!$A$1:$I$89,5,0)</f>
        <v>9.3109520094003535E-14</v>
      </c>
      <c r="DQ199" s="14">
        <f t="shared" si="176"/>
        <v>1.4104420303656732E-12</v>
      </c>
      <c r="DR199" s="22">
        <f t="shared" si="177"/>
        <v>2.6186856170506036E-12</v>
      </c>
      <c r="DS199" s="62">
        <f t="shared" si="197"/>
        <v>293.33333333333593</v>
      </c>
      <c r="DT199" s="62">
        <f ca="1">AVERAGE(OFFSET($DS$3,0,0,'Données projet'!$E$14+1,1))-AVERAGE(OFFSET($H$3,0,0,'Données projet'!$E$14+1,1))</f>
        <v>240.134073924311</v>
      </c>
      <c r="DU199" s="62">
        <f t="shared" si="209"/>
        <v>237.10378497981156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4.8877082327135522E-2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1.7289078294523038E-24</v>
      </c>
      <c r="ED199" s="24">
        <f t="shared" si="178"/>
        <v>4.8877082327135522E-2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4.4337866711430253E-14</v>
      </c>
      <c r="P200" s="14">
        <f t="shared" si="203"/>
        <v>7.3222115536967035E-13</v>
      </c>
      <c r="Q200" s="22">
        <f t="shared" si="162"/>
        <v>1.3525069634579169E-12</v>
      </c>
      <c r="R200" s="62">
        <f t="shared" si="191"/>
        <v>293.33333333333468</v>
      </c>
      <c r="S200" s="62">
        <f ca="1">AVERAGE(OFFSET($R$3,0,0,'Données projet'!$E$9+1,1))-AVERAGE(OFFSET($H$3,0,0,'Données projet'!$E$9+1,1))</f>
        <v>288.82868507674738</v>
      </c>
      <c r="T200" s="62">
        <f t="shared" si="204"/>
        <v>283.48738729114024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1.6931841726399364E-2</v>
      </c>
      <c r="AB200" s="23">
        <f>EXP(-LN(2)/2)*AB199+(1-EXP(-LN(2)/2))/(LN(2)/2)*V200*Y200*VLOOKUP('Données projet'!$B$9,Paramètres!$A$1:$I$89,3,0)*0.475*44/12</f>
        <v>2.4838697663321087E-25</v>
      </c>
      <c r="AC200" s="24">
        <f t="shared" si="163"/>
        <v>1.6931841726399364E-2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293.33333333333616</v>
      </c>
      <c r="AN200" s="62">
        <f ca="1">AVERAGE(OFFSET($AM$3,0,0,'Données projet'!$E$10+1,1))-AVERAGE(OFFSET($H$3,0,0,'Données projet'!$E$10+1,1))</f>
        <v>371.95849973474657</v>
      </c>
      <c r="AO200" s="62">
        <f t="shared" si="205"/>
        <v>233.32640143610547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1.3990258938625431E-24</v>
      </c>
      <c r="AX200" s="23">
        <f t="shared" si="166"/>
        <v>1.3990258938625431E-24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1.1882548278663309E-13</v>
      </c>
      <c r="BF200" s="14">
        <f t="shared" si="167"/>
        <v>1.7496137229198366E-12</v>
      </c>
      <c r="BG200" s="22">
        <f t="shared" si="168"/>
        <v>3.2541982832721012E-12</v>
      </c>
      <c r="BH200" s="62">
        <f t="shared" si="194"/>
        <v>293.33333333333655</v>
      </c>
      <c r="BI200" s="62">
        <f ca="1">AVERAGE(OFFSET($BH$3,0,0,'Données projet'!$E$11+1,1))-AVERAGE(OFFSET($H$3,0,0,'Données projet'!$E$11+1,1))</f>
        <v>423.40903481736001</v>
      </c>
      <c r="BJ200" s="62">
        <f t="shared" si="206"/>
        <v>263.03039552465799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1.61611611877227E-24</v>
      </c>
      <c r="BS200" s="24">
        <f t="shared" si="169"/>
        <v>1.61611611877227E-24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-1.0231815394945443E-12</v>
      </c>
      <c r="BZ200" s="14">
        <f>BY200*VLOOKUP('Données projet'!$B$12,Paramètres!$A$1:$I$89,3,0)*VLOOKUP('Données projet'!$B$12,Paramètres!$A$1:$I$89,5,0)</f>
        <v>-4.7884896048344669E-13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264.88170274686757</v>
      </c>
      <c r="CE200" s="62">
        <f t="shared" si="207"/>
        <v>160.81140876142001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411.60020200960821</v>
      </c>
      <c r="CZ200" s="62">
        <f t="shared" si="208"/>
        <v>261.95434270986397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2.9853723090695403E-25</v>
      </c>
      <c r="DI200" s="24">
        <f t="shared" si="175"/>
        <v>2.9853723090695403E-25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1.4210854715202004E-13</v>
      </c>
      <c r="DP200" s="18">
        <f>DO200*VLOOKUP('Données projet'!$B$14,Paramètres!$A$1:$I$89,3,0)*VLOOKUP('Données projet'!$B$14,Paramètres!$A$1:$I$89,5,0)</f>
        <v>9.3109520094003535E-14</v>
      </c>
      <c r="DQ200" s="14">
        <f t="shared" si="176"/>
        <v>1.4104420303656732E-12</v>
      </c>
      <c r="DR200" s="22">
        <f t="shared" si="177"/>
        <v>2.6186856170506036E-12</v>
      </c>
      <c r="DS200" s="62">
        <f t="shared" si="197"/>
        <v>293.33333333333593</v>
      </c>
      <c r="DT200" s="62">
        <f ca="1">AVERAGE(OFFSET($DS$3,0,0,'Données projet'!$E$14+1,1))-AVERAGE(OFFSET($H$3,0,0,'Données projet'!$E$14+1,1))</f>
        <v>240.134073924311</v>
      </c>
      <c r="DU200" s="62">
        <f t="shared" si="209"/>
        <v>237.10378497981156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4.7918632554776915E-2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1.222522450252239E-24</v>
      </c>
      <c r="ED200" s="24">
        <f t="shared" si="178"/>
        <v>4.7918632554776915E-2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4.4337866711430253E-14</v>
      </c>
      <c r="P201" s="14">
        <f t="shared" si="203"/>
        <v>7.3222115536967035E-13</v>
      </c>
      <c r="Q201" s="22">
        <f t="shared" si="162"/>
        <v>1.3525069634579169E-12</v>
      </c>
      <c r="R201" s="62">
        <f t="shared" si="191"/>
        <v>293.33333333333468</v>
      </c>
      <c r="S201" s="62">
        <f ca="1">AVERAGE(OFFSET($R$3,0,0,'Données projet'!$E$9+1,1))-AVERAGE(OFFSET($H$3,0,0,'Données projet'!$E$9+1,1))</f>
        <v>288.82868507674738</v>
      </c>
      <c r="T201" s="62">
        <f t="shared" si="204"/>
        <v>283.48738729114024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1.6468839623984113E-2</v>
      </c>
      <c r="AB201" s="23">
        <f>EXP(-LN(2)/2)*AB200+(1-EXP(-LN(2)/2))/(LN(2)/2)*V201*Y201*VLOOKUP('Données projet'!$B$9,Paramètres!$A$1:$I$89,3,0)*0.475*44/12</f>
        <v>1.7563611553576793E-25</v>
      </c>
      <c r="AC201" s="24">
        <f t="shared" si="163"/>
        <v>1.6468839623984113E-2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293.33333333333616</v>
      </c>
      <c r="AN201" s="62">
        <f ca="1">AVERAGE(OFFSET($AM$3,0,0,'Données projet'!$E$10+1,1))-AVERAGE(OFFSET($H$3,0,0,'Données projet'!$E$10+1,1))</f>
        <v>371.95849973474657</v>
      </c>
      <c r="AO201" s="62">
        <f t="shared" si="205"/>
        <v>233.32640143610547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9.8926069660577533E-25</v>
      </c>
      <c r="AX201" s="23">
        <f t="shared" si="166"/>
        <v>9.8926069660577533E-25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1.1882548278663309E-13</v>
      </c>
      <c r="BF201" s="14">
        <f t="shared" si="167"/>
        <v>1.7496137229198366E-12</v>
      </c>
      <c r="BG201" s="22">
        <f t="shared" si="168"/>
        <v>3.2541982832721012E-12</v>
      </c>
      <c r="BH201" s="62">
        <f t="shared" si="194"/>
        <v>293.33333333333655</v>
      </c>
      <c r="BI201" s="62">
        <f ca="1">AVERAGE(OFFSET($BH$3,0,0,'Données projet'!$E$11+1,1))-AVERAGE(OFFSET($H$3,0,0,'Données projet'!$E$11+1,1))</f>
        <v>423.40903481736001</v>
      </c>
      <c r="BJ201" s="62">
        <f t="shared" si="206"/>
        <v>263.03039552465799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1.1427666667687561E-24</v>
      </c>
      <c r="BS201" s="24">
        <f t="shared" si="169"/>
        <v>1.1427666667687561E-24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-1.0231815394945443E-12</v>
      </c>
      <c r="BZ201" s="14">
        <f>BY201*VLOOKUP('Données projet'!$B$12,Paramètres!$A$1:$I$89,3,0)*VLOOKUP('Données projet'!$B$12,Paramètres!$A$1:$I$89,5,0)</f>
        <v>-4.7884896048344669E-13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264.88170274686757</v>
      </c>
      <c r="CE201" s="62">
        <f t="shared" si="207"/>
        <v>160.81140876142001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411.60020200960821</v>
      </c>
      <c r="CZ201" s="62">
        <f t="shared" si="208"/>
        <v>261.95434270986397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2.1109770041096135E-25</v>
      </c>
      <c r="DI201" s="24">
        <f t="shared" si="175"/>
        <v>2.1109770041096135E-25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1.4210854715202004E-13</v>
      </c>
      <c r="DP201" s="18">
        <f>DO201*VLOOKUP('Données projet'!$B$14,Paramètres!$A$1:$I$89,3,0)*VLOOKUP('Données projet'!$B$14,Paramètres!$A$1:$I$89,5,0)</f>
        <v>9.3109520094003535E-14</v>
      </c>
      <c r="DQ201" s="14">
        <f t="shared" si="176"/>
        <v>1.4104420303656732E-12</v>
      </c>
      <c r="DR201" s="22">
        <f t="shared" si="177"/>
        <v>2.6186856170506036E-12</v>
      </c>
      <c r="DS201" s="62">
        <f t="shared" si="197"/>
        <v>293.33333333333593</v>
      </c>
      <c r="DT201" s="62">
        <f ca="1">AVERAGE(OFFSET($DS$3,0,0,'Données projet'!$E$14+1,1))-AVERAGE(OFFSET($H$3,0,0,'Données projet'!$E$14+1,1))</f>
        <v>240.134073924311</v>
      </c>
      <c r="DU201" s="62">
        <f t="shared" si="209"/>
        <v>237.10378497981156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4.6978977397857627E-2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8.6445391472615188E-25</v>
      </c>
      <c r="ED201" s="24">
        <f t="shared" si="178"/>
        <v>4.6978977397857627E-2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4.4337866711430253E-14</v>
      </c>
      <c r="P202" s="14">
        <f t="shared" si="203"/>
        <v>7.3222115536967035E-13</v>
      </c>
      <c r="Q202" s="22">
        <f t="shared" si="162"/>
        <v>1.3525069634579169E-12</v>
      </c>
      <c r="R202" s="62">
        <f t="shared" si="191"/>
        <v>293.33333333333468</v>
      </c>
      <c r="S202" s="62">
        <f ca="1">AVERAGE(OFFSET($R$3,0,0,'Données projet'!$E$9+1,1))-AVERAGE(OFFSET($H$3,0,0,'Données projet'!$E$9+1,1))</f>
        <v>288.82868507674738</v>
      </c>
      <c r="T202" s="62">
        <f t="shared" si="204"/>
        <v>283.48738729114024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1.6018498338407631E-2</v>
      </c>
      <c r="AB202" s="23">
        <f>EXP(-LN(2)/2)*AB201+(1-EXP(-LN(2)/2))/(LN(2)/2)*V202*Y202*VLOOKUP('Données projet'!$B$9,Paramètres!$A$1:$I$89,3,0)*0.475*44/12</f>
        <v>1.2419348831660543E-25</v>
      </c>
      <c r="AC202" s="24">
        <f t="shared" si="163"/>
        <v>1.6018498338407631E-2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293.33333333333616</v>
      </c>
      <c r="AN202" s="62">
        <f ca="1">AVERAGE(OFFSET($AM$3,0,0,'Données projet'!$E$10+1,1))-AVERAGE(OFFSET($H$3,0,0,'Données projet'!$E$10+1,1))</f>
        <v>371.95849973474657</v>
      </c>
      <c r="AO202" s="62">
        <f t="shared" si="205"/>
        <v>233.32640143610547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6.9951294693127157E-25</v>
      </c>
      <c r="AX202" s="23">
        <f t="shared" si="166"/>
        <v>6.9951294693127157E-25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1.1882548278663309E-13</v>
      </c>
      <c r="BF202" s="14">
        <f t="shared" si="167"/>
        <v>1.7496137229198366E-12</v>
      </c>
      <c r="BG202" s="22">
        <f t="shared" si="168"/>
        <v>3.2541982832721012E-12</v>
      </c>
      <c r="BH202" s="62">
        <f t="shared" si="194"/>
        <v>293.33333333333655</v>
      </c>
      <c r="BI202" s="62">
        <f ca="1">AVERAGE(OFFSET($BH$3,0,0,'Données projet'!$E$11+1,1))-AVERAGE(OFFSET($H$3,0,0,'Données projet'!$E$11+1,1))</f>
        <v>423.40903481736001</v>
      </c>
      <c r="BJ202" s="62">
        <f t="shared" si="206"/>
        <v>263.03039552465799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8.0805805938613521E-25</v>
      </c>
      <c r="BS202" s="24">
        <f t="shared" si="169"/>
        <v>8.0805805938613521E-25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-1.0231815394945443E-12</v>
      </c>
      <c r="BZ202" s="14">
        <f>BY202*VLOOKUP('Données projet'!$B$12,Paramètres!$A$1:$I$89,3,0)*VLOOKUP('Données projet'!$B$12,Paramètres!$A$1:$I$89,5,0)</f>
        <v>-4.7884896048344669E-13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264.88170274686757</v>
      </c>
      <c r="CE202" s="62">
        <f t="shared" si="207"/>
        <v>160.81140876142001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411.60020200960821</v>
      </c>
      <c r="CZ202" s="62">
        <f t="shared" si="208"/>
        <v>261.95434270986397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1.4926861545347702E-25</v>
      </c>
      <c r="DI202" s="24">
        <f t="shared" si="175"/>
        <v>1.4926861545347702E-25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1.4210854715202004E-13</v>
      </c>
      <c r="DP202" s="18">
        <f>DO202*VLOOKUP('Données projet'!$B$14,Paramètres!$A$1:$I$89,3,0)*VLOOKUP('Données projet'!$B$14,Paramètres!$A$1:$I$89,5,0)</f>
        <v>9.3109520094003535E-14</v>
      </c>
      <c r="DQ202" s="14">
        <f t="shared" si="176"/>
        <v>1.4104420303656732E-12</v>
      </c>
      <c r="DR202" s="22">
        <f t="shared" si="177"/>
        <v>2.6186856170506036E-12</v>
      </c>
      <c r="DS202" s="62">
        <f t="shared" si="197"/>
        <v>293.33333333333593</v>
      </c>
      <c r="DT202" s="62">
        <f ca="1">AVERAGE(OFFSET($DS$3,0,0,'Données projet'!$E$14+1,1))-AVERAGE(OFFSET($H$3,0,0,'Données projet'!$E$14+1,1))</f>
        <v>240.134073924311</v>
      </c>
      <c r="DU202" s="62">
        <f t="shared" si="209"/>
        <v>237.10378497981156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4.6057748305432467E-2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6.1126122512611949E-25</v>
      </c>
      <c r="ED202" s="24">
        <f t="shared" si="178"/>
        <v>4.6057748305432467E-2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4.4337866711430253E-14</v>
      </c>
      <c r="P203" s="14">
        <f t="shared" si="203"/>
        <v>7.3222115536967035E-13</v>
      </c>
      <c r="Q203" s="22">
        <f t="shared" si="162"/>
        <v>1.3525069634579169E-12</v>
      </c>
      <c r="R203" s="62">
        <f t="shared" si="191"/>
        <v>293.33333333333468</v>
      </c>
      <c r="S203" s="62">
        <f ca="1">AVERAGE(OFFSET($R$3,0,0,'Données projet'!$E$9+1,1))-AVERAGE(OFFSET($H$3,0,0,'Données projet'!$E$9+1,1))</f>
        <v>288.82868507674738</v>
      </c>
      <c r="T203" s="62">
        <f t="shared" si="204"/>
        <v>283.48738729114024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1.5580471658967657E-2</v>
      </c>
      <c r="AB203" s="23">
        <f>EXP(-LN(2)/2)*AB202+(1-EXP(-LN(2)/2))/(LN(2)/2)*V203*Y203*VLOOKUP('Données projet'!$B$9,Paramètres!$A$1:$I$89,3,0)*0.475*44/12</f>
        <v>8.7818057767883965E-26</v>
      </c>
      <c r="AC203" s="24">
        <f t="shared" si="163"/>
        <v>1.5580471658967657E-2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293.33333333333616</v>
      </c>
      <c r="AN203" s="62">
        <f ca="1">AVERAGE(OFFSET($AM$3,0,0,'Données projet'!$E$10+1,1))-AVERAGE(OFFSET($H$3,0,0,'Données projet'!$E$10+1,1))</f>
        <v>371.95849973474657</v>
      </c>
      <c r="AO203" s="62">
        <f t="shared" si="205"/>
        <v>233.32640143610547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4.9463034830288767E-25</v>
      </c>
      <c r="AX203" s="23">
        <f t="shared" si="166"/>
        <v>4.9463034830288767E-25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1.1882548278663309E-13</v>
      </c>
      <c r="BF203" s="14">
        <f t="shared" si="167"/>
        <v>1.7496137229198366E-12</v>
      </c>
      <c r="BG203" s="22">
        <f t="shared" si="168"/>
        <v>3.2541982832721012E-12</v>
      </c>
      <c r="BH203" s="62">
        <f t="shared" si="194"/>
        <v>293.33333333333655</v>
      </c>
      <c r="BI203" s="62">
        <f ca="1">AVERAGE(OFFSET($BH$3,0,0,'Données projet'!$E$11+1,1))-AVERAGE(OFFSET($H$3,0,0,'Données projet'!$E$11+1,1))</f>
        <v>423.40903481736001</v>
      </c>
      <c r="BJ203" s="62">
        <f t="shared" si="206"/>
        <v>263.03039552465799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5.7138333338437815E-25</v>
      </c>
      <c r="BS203" s="24">
        <f t="shared" si="169"/>
        <v>5.7138333338437815E-25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-1.0231815394945443E-12</v>
      </c>
      <c r="BZ203" s="14">
        <f>BY203*VLOOKUP('Données projet'!$B$12,Paramètres!$A$1:$I$89,3,0)*VLOOKUP('Données projet'!$B$12,Paramètres!$A$1:$I$89,5,0)</f>
        <v>-4.7884896048344669E-13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264.88170274686757</v>
      </c>
      <c r="CE203" s="62">
        <f t="shared" si="207"/>
        <v>160.81140876142001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411.60020200960821</v>
      </c>
      <c r="CZ203" s="62">
        <f t="shared" si="208"/>
        <v>261.95434270986397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1.0554885020548068E-25</v>
      </c>
      <c r="DI203" s="24">
        <f t="shared" si="175"/>
        <v>1.0554885020548068E-25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1.4210854715202004E-13</v>
      </c>
      <c r="DP203" s="18">
        <f>DO203*VLOOKUP('Données projet'!$B$14,Paramètres!$A$1:$I$89,3,0)*VLOOKUP('Données projet'!$B$14,Paramètres!$A$1:$I$89,5,0)</f>
        <v>9.3109520094003535E-14</v>
      </c>
      <c r="DQ203" s="14">
        <f t="shared" si="176"/>
        <v>1.4104420303656732E-12</v>
      </c>
      <c r="DR203" s="22">
        <f t="shared" si="177"/>
        <v>2.6186856170506036E-12</v>
      </c>
      <c r="DS203" s="62">
        <f t="shared" si="197"/>
        <v>293.33333333333593</v>
      </c>
      <c r="DT203" s="62">
        <f ca="1">AVERAGE(OFFSET($DS$3,0,0,'Données projet'!$E$14+1,1))-AVERAGE(OFFSET($H$3,0,0,'Données projet'!$E$14+1,1))</f>
        <v>240.134073924311</v>
      </c>
      <c r="DU203" s="62">
        <f t="shared" si="209"/>
        <v>237.10378497981156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4.5154583953615504E-2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4.3222695736307594E-25</v>
      </c>
      <c r="ED203" s="24">
        <f t="shared" si="178"/>
        <v>4.5154583953615504E-2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1.2788040393997409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1.0730007629299736</v>
      </c>
      <c r="CQ205" s="88">
        <f>EXP(LN('Données projet'!B140)/'Données projet'!A140)</f>
        <v>1.2392705892426346</v>
      </c>
      <c r="DL205" s="88">
        <f>EXP(LN('Données projet'!B166)/'Données projet'!A166)</f>
        <v>1.2589254117941673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6" sqref="M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Merisier</v>
      </c>
      <c r="B6" s="155">
        <f>'Données projet'!D9</f>
        <v>0.151032</v>
      </c>
      <c r="C6" s="156">
        <f ca="1">IF(OR('Données projet'!B9="",'Données projet'!C9="",'Données projet'!C9=0%),0,Calculateur!S3)</f>
        <v>288.82868507674738</v>
      </c>
      <c r="D6" s="156">
        <f>IF(OR('Données projet'!B9="",'Données projet'!C9="",'Données projet'!C9=0%),0,Calculateur!T3)</f>
        <v>283.48738729114024</v>
      </c>
      <c r="E6" s="156">
        <f ca="1">MIN(C6,D6)</f>
        <v>283.48738729114024</v>
      </c>
      <c r="F6" s="156">
        <f ca="1">E6*B6</f>
        <v>42.815667077355492</v>
      </c>
      <c r="G6" s="156">
        <f ca="1">F6*(100%-'Données projet'!$C$24)*(100%-'Données projet'!$C$25)*(100%-'Données projet'!$C$26)*(100%-'Données projet'!$C$27)</f>
        <v>38.534100369619942</v>
      </c>
      <c r="H6" s="157">
        <f>IF(OR('Données projet'!B9="",'Données projet'!C9="",'Données projet'!C9=0%),0,AVERAGE(Calculateur!$AC$3:$AC$33)*B6)</f>
        <v>0.62169070498071788</v>
      </c>
      <c r="I6" s="158">
        <f>H6*(100%-'Données projet'!$C$24)*(100%-'Données projet'!$C$25)*(100%-'Données projet'!$C$26)*(100%-'Données projet'!$C$27)</f>
        <v>0.55952163448264614</v>
      </c>
      <c r="J6" s="159">
        <f>IF(OR('Données projet'!B9="",'Données projet'!C9="",'Données projet'!C9=0%),0,SUM(Calculateur!$V$3:$V$33)*VLOOKUP('Données projet'!$B$9,Paramètres!$A$1:$I$89,9,0)*B6)</f>
        <v>2.0766900000000001</v>
      </c>
      <c r="K6" s="160">
        <f>J6*(100%-'Données projet'!$C$24)*(100%-'Données projet'!$C$25)*(100%-'Données projet'!$C$26)*(100%-'Données projet'!$C$27)</f>
        <v>1.8690210000000003</v>
      </c>
      <c r="L6" s="161">
        <f ca="1">G6+I6+K6</f>
        <v>40.962643004102588</v>
      </c>
      <c r="M6" s="25">
        <f t="shared" ref="M6:M11" ca="1" si="0">L6/B6</f>
        <v>271.21830475728711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1.35904</v>
      </c>
      <c r="C7" s="156">
        <f ca="1">IF(OR('Données projet'!B10="",'Données projet'!C10="",'Données projet'!C10=0%),0,Calculateur!AN3)</f>
        <v>371.95849973474657</v>
      </c>
      <c r="D7" s="156">
        <f>IF(OR('Données projet'!B10="",'Données projet'!C10="",'Données projet'!C10=0%),0,Calculateur!AO3)</f>
        <v>233.32640143610547</v>
      </c>
      <c r="E7" s="156">
        <f t="shared" ref="E7:E15" ca="1" si="1">MIN(C7,D7)</f>
        <v>233.32640143610547</v>
      </c>
      <c r="F7" s="156">
        <f t="shared" ref="F7:F15" ca="1" si="2">E7*B7</f>
        <v>317.09991260772478</v>
      </c>
      <c r="G7" s="156">
        <f ca="1">F7*(100%-'Données projet'!$C$24)*(100%-'Données projet'!$C$25)*(100%-'Données projet'!$C$26)*(100%-'Données projet'!$C$27)</f>
        <v>285.38992134695229</v>
      </c>
      <c r="H7" s="164">
        <f>IF(OR('Données projet'!B10="",'Données projet'!C10="",'Données projet'!C10=0%),0,AVERAGE(Calculateur!$AX$3:$AX$33)*B7)</f>
        <v>1.6804240416293394</v>
      </c>
      <c r="I7" s="158">
        <f>H7*(100%-'Données projet'!$C$24)*(100%-'Données projet'!$C$25)*(100%-'Données projet'!$C$26)*(100%-'Données projet'!$C$27)</f>
        <v>1.5123816374664056</v>
      </c>
      <c r="J7" s="159">
        <f>IF(OR('Données projet'!B10="",'Données projet'!C10="",'Données projet'!C10=0%),0,SUM(Calculateur!$AQ$3:$AQ$33)*VLOOKUP('Données projet'!$B$10,Paramètres!$A$1:$I$89,9,0)*B7)</f>
        <v>9.85304</v>
      </c>
      <c r="K7" s="160">
        <f>J7*(100%-'Données projet'!$C$24)*(100%-'Données projet'!$C$25)*(100%-'Données projet'!$C$26)*(100%-'Données projet'!$C$27)</f>
        <v>8.8677360000000007</v>
      </c>
      <c r="L7" s="161">
        <f t="shared" ref="L7:L15" ca="1" si="3">G7+I7+K7</f>
        <v>295.7700389844187</v>
      </c>
      <c r="M7" s="25">
        <f t="shared" ca="1" si="0"/>
        <v>217.63159214181974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chevelu</v>
      </c>
      <c r="B8" s="163">
        <f>'Données projet'!D11</f>
        <v>0.61206399999999994</v>
      </c>
      <c r="C8" s="156">
        <f ca="1">IF(OR('Données projet'!B11="",'Données projet'!C11="",'Données projet'!C11=0%),0,Calculateur!BI3)</f>
        <v>423.40903481736001</v>
      </c>
      <c r="D8" s="156">
        <f>IF(OR('Données projet'!B11="",'Données projet'!C11="",'Données projet'!C11=0%),0,Calculateur!BJ3)</f>
        <v>263.03039552465799</v>
      </c>
      <c r="E8" s="156">
        <f t="shared" ca="1" si="1"/>
        <v>263.03039552465799</v>
      </c>
      <c r="F8" s="156">
        <f t="shared" ca="1" si="2"/>
        <v>160.99143600640426</v>
      </c>
      <c r="G8" s="156">
        <f ca="1">F8*(100%-'Données projet'!$C$24)*(100%-'Données projet'!$C$25)*(100%-'Données projet'!$C$26)*(100%-'Données projet'!$C$27)</f>
        <v>144.89229240576384</v>
      </c>
      <c r="H8" s="164">
        <f>IF(OR('Données projet'!B11="",'Données projet'!C11="",'Données projet'!C11=0%),0,AVERAGE(Calculateur!$BS$3:$BS$33)*B8)</f>
        <v>0.87423923303442319</v>
      </c>
      <c r="I8" s="158">
        <f>H8*(100%-'Données projet'!$C$24)*(100%-'Données projet'!$C$25)*(100%-'Données projet'!$C$26)*(100%-'Données projet'!$C$27)</f>
        <v>0.78681530973098091</v>
      </c>
      <c r="J8" s="159">
        <f>IF(OR('Données projet'!B11="",'Données projet'!C11="",'Données projet'!C11=0%),0,SUM(Calculateur!$BL$3:$BL$33)*VLOOKUP('Données projet'!$B$11,Paramètres!$A$1:$I$89,9,0)*B8)</f>
        <v>4.4374639999999994</v>
      </c>
      <c r="K8" s="160">
        <f>J8*(100%-'Données projet'!$C$24)*(100%-'Données projet'!$C$25)*(100%-'Données projet'!$C$26)*(100%-'Données projet'!$C$27)</f>
        <v>3.9937175999999996</v>
      </c>
      <c r="L8" s="161">
        <f t="shared" ca="1" si="3"/>
        <v>149.6728253154948</v>
      </c>
      <c r="M8" s="25">
        <f t="shared" ca="1" si="0"/>
        <v>244.53786747055017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0.10787999999999999</v>
      </c>
      <c r="C9" s="156">
        <f ca="1">IF(OR('Données projet'!B12="",'Données projet'!C12="",'Données projet'!C12=0%),0,Calculateur!CD3)</f>
        <v>264.88170274686757</v>
      </c>
      <c r="D9" s="156">
        <f>IF(OR('Données projet'!B12="",'Données projet'!C12="",'Données projet'!C12=0%),0,Calculateur!CE3)</f>
        <v>160.81140876142001</v>
      </c>
      <c r="E9" s="156">
        <f t="shared" ca="1" si="1"/>
        <v>160.81140876142001</v>
      </c>
      <c r="F9" s="156">
        <f t="shared" ca="1" si="2"/>
        <v>17.348334777181989</v>
      </c>
      <c r="G9" s="156">
        <f ca="1">F9*(100%-'Données projet'!$C$24)*(100%-'Données projet'!$C$25)*(100%-'Données projet'!$C$26)*(100%-'Données projet'!$C$27)</f>
        <v>15.61350129946379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3"/>
        <v>15.61350129946379</v>
      </c>
      <c r="M9" s="25">
        <f t="shared" ca="1" si="0"/>
        <v>144.73026788527801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pédonculé</v>
      </c>
      <c r="B10" s="163">
        <f>'Données projet'!D13</f>
        <v>0.15004000000000001</v>
      </c>
      <c r="C10" s="156">
        <f ca="1">IF(OR('Données projet'!B13="",'Données projet'!C13="",'Données projet'!C13=0%),0,Calculateur!CY3)</f>
        <v>411.60020200960821</v>
      </c>
      <c r="D10" s="156">
        <f>IF(OR('Données projet'!B13="",'Données projet'!C13="",'Données projet'!C13=0%),0,Calculateur!CZ3)</f>
        <v>261.95434270986397</v>
      </c>
      <c r="E10" s="156">
        <f t="shared" ca="1" si="1"/>
        <v>261.95434270986397</v>
      </c>
      <c r="F10" s="156">
        <f t="shared" ca="1" si="2"/>
        <v>39.303629580187994</v>
      </c>
      <c r="G10" s="156">
        <f ca="1">F10*(100%-'Données projet'!$C$24)*(100%-'Données projet'!$C$25)*(100%-'Données projet'!$C$26)*(100%-'Données projet'!$C$27)</f>
        <v>35.373266622169197</v>
      </c>
      <c r="H10" s="164">
        <f>IF(OR('Données projet'!B13="",'Données projet'!C13="",'Données projet'!C13=0%),0,AVERAGE(Calculateur!$DI$3:$DI$33)*B10)</f>
        <v>0.39885639179528365</v>
      </c>
      <c r="I10" s="158">
        <f>H10*(100%-'Données projet'!$C$24)*(100%-'Données projet'!$C$25)*(100%-'Données projet'!$C$26)*(100%-'Données projet'!$C$27)</f>
        <v>0.35897075261575528</v>
      </c>
      <c r="J10" s="159">
        <f>IF(OR('Données projet'!B13="",'Données projet'!C13="",'Données projet'!C13=0%),0,SUM(Calculateur!$DB$3:$DB$33)*VLOOKUP('Données projet'!$B$13,Paramètres!$A$1:$I$89,9,0)*B10)</f>
        <v>2.3256200000000002</v>
      </c>
      <c r="K10" s="160">
        <f>J10*(100%-'Données projet'!$C$24)*(100%-'Données projet'!$C$25)*(100%-'Données projet'!$C$26)*(100%-'Données projet'!$C$27)</f>
        <v>2.0930580000000001</v>
      </c>
      <c r="L10" s="161">
        <f t="shared" ca="1" si="3"/>
        <v>37.82529537478495</v>
      </c>
      <c r="M10" s="25">
        <f t="shared" ca="1" si="0"/>
        <v>252.10140878955576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Aulne glutineux</v>
      </c>
      <c r="B11" s="163">
        <f>'Données projet'!D14</f>
        <v>9.9944000000000005E-2</v>
      </c>
      <c r="C11" s="156">
        <f ca="1">IF(OR('Données projet'!B14="",'Données projet'!C14="",'Données projet'!C14=0%),0,Calculateur!DT3)</f>
        <v>240.134073924311</v>
      </c>
      <c r="D11" s="156">
        <f>IF(OR('Données projet'!B14="",'Données projet'!C14="",'Données projet'!C14=0%),0,Calculateur!DU3)</f>
        <v>237.10378497981156</v>
      </c>
      <c r="E11" s="156">
        <f t="shared" ca="1" si="1"/>
        <v>237.10378497981156</v>
      </c>
      <c r="F11" s="156">
        <f t="shared" ca="1" si="2"/>
        <v>23.697100686022289</v>
      </c>
      <c r="G11" s="156">
        <f ca="1">F11*(100%-'Données projet'!$C$24)*(100%-'Données projet'!$C$25)*(100%-'Données projet'!$C$26)*(100%-'Données projet'!$C$27)</f>
        <v>21.327390617420061</v>
      </c>
      <c r="H11" s="164">
        <f>IF(OR('Données projet'!B14="",'Données projet'!C14="",'Données projet'!C14=0%),0,AVERAGE(Calculateur!$ED$3:$ED$33)*B11)</f>
        <v>0.28569252172854914</v>
      </c>
      <c r="I11" s="158">
        <f>H11*(100%-'Données projet'!$C$24)*(100%-'Données projet'!$C$25)*(100%-'Données projet'!$C$26)*(100%-'Données projet'!$C$27)</f>
        <v>0.25712326955569426</v>
      </c>
      <c r="J11" s="159">
        <f>IF(OR('Données projet'!B14="",'Données projet'!C14="",'Données projet'!C14=0%),0,SUM(Calculateur!$DW$3:$DW$33)*VLOOKUP('Données projet'!$B$14,Paramètres!$A$1:$I$89,9,0)*B11)</f>
        <v>1.4741740000000001</v>
      </c>
      <c r="K11" s="160">
        <f>J11*(100%-'Données projet'!$C$24)*(100%-'Données projet'!$C$25)*(100%-'Données projet'!$C$26)*(100%-'Données projet'!$C$27)</f>
        <v>1.3267566000000002</v>
      </c>
      <c r="L11" s="161">
        <f t="shared" ca="1" si="3"/>
        <v>22.911270486975756</v>
      </c>
      <c r="M11" s="25">
        <f t="shared" ca="1" si="0"/>
        <v>229.24107987448727</v>
      </c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1"/>
        <v>0</v>
      </c>
      <c r="F12" s="156">
        <f t="shared" si="2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3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1"/>
        <v>0</v>
      </c>
      <c r="F13" s="156">
        <f t="shared" si="2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3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1"/>
        <v>0</v>
      </c>
      <c r="F14" s="156">
        <f t="shared" si="2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3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1"/>
        <v>0</v>
      </c>
      <c r="F15" s="168">
        <f t="shared" si="2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3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4">SUM(F6:F15)</f>
        <v>601.25608073487683</v>
      </c>
      <c r="G16" s="175">
        <f t="shared" ca="1" si="4"/>
        <v>541.13047266138915</v>
      </c>
      <c r="H16" s="176">
        <f t="shared" si="4"/>
        <v>3.8609028931683134</v>
      </c>
      <c r="I16" s="176">
        <f t="shared" si="4"/>
        <v>3.4748126038514822</v>
      </c>
      <c r="J16" s="177">
        <f t="shared" si="4"/>
        <v>20.166988</v>
      </c>
      <c r="K16" s="177">
        <f t="shared" si="4"/>
        <v>18.1502892</v>
      </c>
      <c r="L16" s="178">
        <f t="shared" ca="1" si="4"/>
        <v>562.75557446524056</v>
      </c>
      <c r="M16" s="25">
        <f ca="1">L16/6.42</f>
        <v>87.656631536641825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Merisier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pédonculé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Aulne glutineux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0" zoomScale="90" zoomScaleNormal="90" workbookViewId="0">
      <selection activeCell="H38" sqref="H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Merisier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1694.9567959455062</v>
      </c>
      <c r="U10" s="190">
        <f>'Données projet'!D9</f>
        <v>0.151032</v>
      </c>
      <c r="V10" s="189">
        <f>U10*T10</f>
        <v>255.99271480524169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861.98739376541778</v>
      </c>
      <c r="U11" s="190">
        <f>'Données projet'!D10</f>
        <v>1.35904</v>
      </c>
      <c r="V11" s="189">
        <f t="shared" ref="V11" si="0">U11*T11</f>
        <v>1171.4753476229534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918.05739702188851</v>
      </c>
      <c r="U12" s="190">
        <f>'Données projet'!D11</f>
        <v>0.61206399999999994</v>
      </c>
      <c r="V12" s="189">
        <f t="shared" ref="V12:V19" si="1">U12*T12</f>
        <v>561.90988265080512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97.708847809644709</v>
      </c>
      <c r="U13" s="190">
        <f>'Données projet'!D12</f>
        <v>0.10787999999999999</v>
      </c>
      <c r="V13" s="189">
        <f t="shared" si="1"/>
        <v>10.54083050170447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Merisier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pédonculé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1480.0005618710995</v>
      </c>
      <c r="U14" s="190">
        <f>'Données projet'!D13</f>
        <v>0.15004000000000001</v>
      </c>
      <c r="V14" s="189">
        <f t="shared" si="1"/>
        <v>222.05928430313978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Aulne glutineux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1537.2522084110822</v>
      </c>
      <c r="U15" s="190">
        <f>'Données projet'!D14</f>
        <v>9.9944000000000005E-2</v>
      </c>
      <c r="V15" s="189">
        <f t="shared" si="1"/>
        <v>153.6391347174372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4498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1398.87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</v>
      </c>
      <c r="C23" s="206">
        <v>10</v>
      </c>
      <c r="D23" s="194">
        <f>B23*C23</f>
        <v>30</v>
      </c>
      <c r="E23" s="206"/>
      <c r="F23" s="261"/>
      <c r="H23" s="203">
        <v>3</v>
      </c>
      <c r="I23" s="204">
        <v>990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-16499.012719741819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25</v>
      </c>
      <c r="C24" s="206">
        <v>10</v>
      </c>
      <c r="D24" s="194">
        <f t="shared" ref="D24:D42" si="2">B24*C24</f>
        <v>250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27</v>
      </c>
      <c r="C25" s="206">
        <v>10</v>
      </c>
      <c r="D25" s="194">
        <f t="shared" si="2"/>
        <v>270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-16499.012719741819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31</v>
      </c>
      <c r="B26" s="193">
        <f>'Données projet'!D39</f>
        <v>36</v>
      </c>
      <c r="C26" s="206">
        <v>10</v>
      </c>
      <c r="D26" s="194">
        <f t="shared" si="2"/>
        <v>360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37</v>
      </c>
      <c r="B27" s="193">
        <f>'Données projet'!D40</f>
        <v>36</v>
      </c>
      <c r="C27" s="206">
        <v>20</v>
      </c>
      <c r="D27" s="194">
        <f t="shared" si="2"/>
        <v>720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44</v>
      </c>
      <c r="B28" s="193">
        <f>'Données projet'!D41</f>
        <v>43</v>
      </c>
      <c r="C28" s="206">
        <v>30</v>
      </c>
      <c r="D28" s="194">
        <f t="shared" si="2"/>
        <v>1290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52</v>
      </c>
      <c r="B29" s="193">
        <f>'Données projet'!D42</f>
        <v>48</v>
      </c>
      <c r="C29" s="206">
        <v>30</v>
      </c>
      <c r="D29" s="194">
        <f t="shared" si="2"/>
        <v>1440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47</v>
      </c>
      <c r="C30" s="206">
        <v>40</v>
      </c>
      <c r="D30" s="194">
        <f t="shared" si="2"/>
        <v>1880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69</v>
      </c>
      <c r="B31" s="193">
        <f>'Données projet'!D44</f>
        <v>328</v>
      </c>
      <c r="C31" s="206">
        <v>50</v>
      </c>
      <c r="D31" s="194">
        <f t="shared" si="2"/>
        <v>16400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6">
        <v>10</v>
      </c>
      <c r="D54" s="191">
        <f>B54*C54</f>
        <v>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6">
        <v>10</v>
      </c>
      <c r="D55" s="191">
        <f t="shared" ref="D55:D73" si="4">B55*C55</f>
        <v>210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6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6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6">
        <v>20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6">
        <v>30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6">
        <v>30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6">
        <v>40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6">
        <v>50</v>
      </c>
      <c r="D62" s="191">
        <f t="shared" si="4"/>
        <v>1050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6">
        <v>60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6">
        <v>70</v>
      </c>
      <c r="D64" s="191">
        <f t="shared" si="4"/>
        <v>1470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6">
        <v>70</v>
      </c>
      <c r="D65" s="191">
        <f t="shared" si="4"/>
        <v>1470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6">
        <v>80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6">
        <v>80</v>
      </c>
      <c r="D67" s="191">
        <f t="shared" si="4"/>
        <v>1680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6">
        <v>90</v>
      </c>
      <c r="D68" s="191">
        <f t="shared" si="4"/>
        <v>1890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6">
        <v>90</v>
      </c>
      <c r="D69" s="191">
        <f t="shared" si="4"/>
        <v>1890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6">
        <v>90</v>
      </c>
      <c r="D70" s="191">
        <f t="shared" si="4"/>
        <v>1800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6">
        <v>90</v>
      </c>
      <c r="D71" s="191">
        <f t="shared" si="4"/>
        <v>1710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6">
        <v>90</v>
      </c>
      <c r="D72" s="191">
        <f t="shared" si="4"/>
        <v>1620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6">
        <v>90</v>
      </c>
      <c r="D73" s="191">
        <f t="shared" si="4"/>
        <v>25560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6">
        <v>10</v>
      </c>
      <c r="D85" s="191">
        <f>B85*C85</f>
        <v>80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6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6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6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6">
        <v>20</v>
      </c>
      <c r="D89" s="191">
        <f t="shared" si="6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6">
        <v>30</v>
      </c>
      <c r="D90" s="191">
        <f t="shared" si="6"/>
        <v>630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6">
        <v>30</v>
      </c>
      <c r="D91" s="191">
        <f t="shared" si="6"/>
        <v>630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6">
        <v>40</v>
      </c>
      <c r="D92" s="191">
        <f t="shared" si="6"/>
        <v>840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6">
        <v>50</v>
      </c>
      <c r="D93" s="191">
        <f t="shared" si="6"/>
        <v>1050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6">
        <v>60</v>
      </c>
      <c r="D94" s="191">
        <f t="shared" si="6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6">
        <v>70</v>
      </c>
      <c r="D95" s="191">
        <f t="shared" si="6"/>
        <v>1470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6">
        <v>70</v>
      </c>
      <c r="D96" s="191">
        <f t="shared" si="6"/>
        <v>1470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6">
        <v>80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6">
        <v>80</v>
      </c>
      <c r="D98" s="191">
        <f t="shared" si="6"/>
        <v>1680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6">
        <v>90</v>
      </c>
      <c r="D99" s="191">
        <f t="shared" si="6"/>
        <v>1890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6">
        <v>90</v>
      </c>
      <c r="D100" s="191">
        <f t="shared" si="6"/>
        <v>1890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6">
        <v>90</v>
      </c>
      <c r="D101" s="191">
        <f t="shared" si="6"/>
        <v>1800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6">
        <v>90</v>
      </c>
      <c r="D102" s="191">
        <f t="shared" si="6"/>
        <v>1710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6">
        <v>90</v>
      </c>
      <c r="D103" s="191">
        <f t="shared" si="6"/>
        <v>1620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06">
        <v>90</v>
      </c>
      <c r="D104" s="191">
        <f t="shared" si="6"/>
        <v>25560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82</v>
      </c>
      <c r="B116" s="193">
        <f>'Données projet'!D114</f>
        <v>96</v>
      </c>
      <c r="C116" s="204">
        <v>15</v>
      </c>
      <c r="D116" s="191">
        <f>B116*C116</f>
        <v>1440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98</v>
      </c>
      <c r="B117" s="193">
        <f>'Données projet'!D115</f>
        <v>61</v>
      </c>
      <c r="C117" s="204">
        <v>20</v>
      </c>
      <c r="D117" s="191">
        <f t="shared" ref="D117:D135" si="8">B117*C117</f>
        <v>1220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115</v>
      </c>
      <c r="B118" s="193">
        <f>'Données projet'!D116</f>
        <v>64</v>
      </c>
      <c r="C118" s="204">
        <v>30</v>
      </c>
      <c r="D118" s="191">
        <f t="shared" si="8"/>
        <v>1920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135</v>
      </c>
      <c r="B119" s="193">
        <f>'Données projet'!D117</f>
        <v>67</v>
      </c>
      <c r="C119" s="204">
        <v>40</v>
      </c>
      <c r="D119" s="191">
        <f t="shared" si="8"/>
        <v>2680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150</v>
      </c>
      <c r="B120" s="193">
        <f>'Données projet'!D118</f>
        <v>342</v>
      </c>
      <c r="C120" s="204">
        <v>50</v>
      </c>
      <c r="D120" s="191">
        <f t="shared" si="8"/>
        <v>17100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pédonculé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6</v>
      </c>
      <c r="C147" s="206">
        <v>10</v>
      </c>
      <c r="D147" s="194">
        <f>B147*C147</f>
        <v>60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28</v>
      </c>
      <c r="C148" s="206">
        <v>10</v>
      </c>
      <c r="D148" s="194">
        <f t="shared" ref="D148:D166" si="10">B148*C148</f>
        <v>280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28</v>
      </c>
      <c r="C149" s="206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28</v>
      </c>
      <c r="C150" s="206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28</v>
      </c>
      <c r="C151" s="206">
        <v>20</v>
      </c>
      <c r="D151" s="194">
        <f t="shared" si="10"/>
        <v>560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28</v>
      </c>
      <c r="C152" s="206">
        <v>30</v>
      </c>
      <c r="D152" s="194">
        <f t="shared" si="10"/>
        <v>840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28</v>
      </c>
      <c r="C153" s="206">
        <v>30</v>
      </c>
      <c r="D153" s="194">
        <f t="shared" si="10"/>
        <v>840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28</v>
      </c>
      <c r="C154" s="206">
        <v>40</v>
      </c>
      <c r="D154" s="194">
        <f t="shared" si="10"/>
        <v>1120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28</v>
      </c>
      <c r="C155" s="206">
        <v>50</v>
      </c>
      <c r="D155" s="194">
        <f t="shared" si="10"/>
        <v>1400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28</v>
      </c>
      <c r="C156" s="206">
        <v>60</v>
      </c>
      <c r="D156" s="194">
        <f t="shared" si="10"/>
        <v>1680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28</v>
      </c>
      <c r="C157" s="206">
        <v>70</v>
      </c>
      <c r="D157" s="194">
        <f t="shared" si="10"/>
        <v>1960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28</v>
      </c>
      <c r="C158" s="206">
        <v>70</v>
      </c>
      <c r="D158" s="194">
        <f t="shared" si="10"/>
        <v>1960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28</v>
      </c>
      <c r="C159" s="206">
        <v>80</v>
      </c>
      <c r="D159" s="194">
        <f t="shared" si="10"/>
        <v>2240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28</v>
      </c>
      <c r="C160" s="206">
        <v>80</v>
      </c>
      <c r="D160" s="194">
        <f t="shared" si="10"/>
        <v>2240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28</v>
      </c>
      <c r="C161" s="206">
        <v>90</v>
      </c>
      <c r="D161" s="194">
        <f t="shared" si="10"/>
        <v>2520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28</v>
      </c>
      <c r="C162" s="206">
        <v>90</v>
      </c>
      <c r="D162" s="194">
        <f t="shared" si="10"/>
        <v>2520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27</v>
      </c>
      <c r="C163" s="206">
        <v>90</v>
      </c>
      <c r="D163" s="194">
        <f t="shared" si="10"/>
        <v>2430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26</v>
      </c>
      <c r="C164" s="206">
        <v>90</v>
      </c>
      <c r="D164" s="194">
        <f t="shared" si="10"/>
        <v>2340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25</v>
      </c>
      <c r="C165" s="206">
        <v>90</v>
      </c>
      <c r="D165" s="194">
        <f t="shared" si="10"/>
        <v>2250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7">
        <f>'Données projet'!D159</f>
        <v>330</v>
      </c>
      <c r="C166" s="206">
        <v>90</v>
      </c>
      <c r="D166" s="194">
        <f t="shared" si="10"/>
        <v>29700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Aulne glutineux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1</v>
      </c>
      <c r="C178" s="206">
        <v>15</v>
      </c>
      <c r="D178" s="191">
        <f>B178*C178</f>
        <v>15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4</v>
      </c>
      <c r="C179" s="206">
        <v>20</v>
      </c>
      <c r="D179" s="191">
        <f t="shared" ref="D179:D197" si="11">B179*C179</f>
        <v>80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10</v>
      </c>
      <c r="C180" s="206">
        <v>25</v>
      </c>
      <c r="D180" s="191">
        <f t="shared" si="11"/>
        <v>250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21</v>
      </c>
      <c r="C181" s="206">
        <v>30</v>
      </c>
      <c r="D181" s="191">
        <f t="shared" si="11"/>
        <v>630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23</v>
      </c>
      <c r="C182" s="206">
        <v>35</v>
      </c>
      <c r="D182" s="191">
        <f t="shared" si="11"/>
        <v>805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25</v>
      </c>
      <c r="C183" s="206">
        <v>35</v>
      </c>
      <c r="D183" s="191">
        <f t="shared" si="11"/>
        <v>875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25</v>
      </c>
      <c r="C184" s="206">
        <v>35</v>
      </c>
      <c r="D184" s="191">
        <f t="shared" si="11"/>
        <v>875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25</v>
      </c>
      <c r="C185" s="206">
        <v>35</v>
      </c>
      <c r="D185" s="191">
        <f t="shared" si="11"/>
        <v>875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24</v>
      </c>
      <c r="C186" s="206">
        <v>35</v>
      </c>
      <c r="D186" s="191">
        <f t="shared" si="11"/>
        <v>840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23</v>
      </c>
      <c r="C187" s="206">
        <v>35</v>
      </c>
      <c r="D187" s="191">
        <f t="shared" si="11"/>
        <v>805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22</v>
      </c>
      <c r="C188" s="206">
        <v>35</v>
      </c>
      <c r="D188" s="191">
        <f t="shared" si="11"/>
        <v>770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20</v>
      </c>
      <c r="C189" s="206">
        <v>35</v>
      </c>
      <c r="D189" s="191">
        <f t="shared" si="11"/>
        <v>700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19</v>
      </c>
      <c r="C190" s="206">
        <v>35</v>
      </c>
      <c r="D190" s="191">
        <f t="shared" si="11"/>
        <v>665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18</v>
      </c>
      <c r="C191" s="206">
        <v>35</v>
      </c>
      <c r="D191" s="191">
        <f t="shared" si="11"/>
        <v>630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16</v>
      </c>
      <c r="C192" s="206">
        <v>35</v>
      </c>
      <c r="D192" s="191">
        <f t="shared" si="11"/>
        <v>560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85</v>
      </c>
      <c r="B193" s="193">
        <f>'Données projet'!D181</f>
        <v>15</v>
      </c>
      <c r="C193" s="206">
        <v>35</v>
      </c>
      <c r="D193" s="191">
        <f t="shared" si="11"/>
        <v>525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90</v>
      </c>
      <c r="B194" s="193">
        <f>'Données projet'!D182</f>
        <v>236</v>
      </c>
      <c r="C194" s="206">
        <v>35</v>
      </c>
      <c r="D194" s="191">
        <f t="shared" si="11"/>
        <v>8260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2024-10-24T08:55:47Z</dcterms:modified>
</cp:coreProperties>
</file>