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#POUPART/LARONZE/"/>
    </mc:Choice>
  </mc:AlternateContent>
  <xr:revisionPtr revIDLastSave="29" documentId="8_{680EC4B2-ED55-4300-87E6-28128CD33FCB}" xr6:coauthVersionLast="47" xr6:coauthVersionMax="47" xr10:uidLastSave="{7CF9E51B-0197-4495-BC1F-CF524201E01A}"/>
  <bookViews>
    <workbookView xWindow="-98" yWindow="-98" windowWidth="17115" windowHeight="1075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H14" i="2"/>
  <c r="HG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HG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HI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HH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DH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Y168" i="2" s="1"/>
  <c r="EC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HG172" i="2"/>
  <c r="EV172" i="2"/>
  <c r="EA172" i="2"/>
  <c r="ED172" i="2" s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EW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DF179" i="2"/>
  <c r="EA179" i="2"/>
  <c r="HG179" i="2"/>
  <c r="HI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H197" i="2"/>
  <c r="HG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HH201" i="2" l="1"/>
  <c r="HG201" i="2"/>
  <c r="EA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HH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142" i="2" a="1"/>
  <c r="EI142" i="2" s="1"/>
  <c r="DN155" i="2" a="1"/>
  <c r="DN155" i="2" s="1"/>
  <c r="CS66" i="2" a="1"/>
  <c r="CS66" i="2" s="1"/>
  <c r="DN186" i="2" a="1"/>
  <c r="DN186" i="2" s="1"/>
  <c r="DN43" i="2" a="1"/>
  <c r="DN43" i="2" s="1"/>
  <c r="DN41" i="2" a="1"/>
  <c r="DN41" i="2" s="1"/>
  <c r="DN29" i="2" a="1"/>
  <c r="DN29" i="2" s="1"/>
  <c r="DN50" i="2" a="1"/>
  <c r="DN50" i="2" s="1"/>
  <c r="DN129" i="2" a="1"/>
  <c r="DN129" i="2" s="1"/>
  <c r="DN170" i="2" a="1"/>
  <c r="DN170" i="2" s="1"/>
  <c r="DN153" i="2" a="1"/>
  <c r="DN153" i="2" s="1"/>
  <c r="DN66" i="2" a="1"/>
  <c r="DN66" i="2" s="1"/>
  <c r="DN192" i="2" a="1"/>
  <c r="DN192" i="2" s="1"/>
  <c r="DN150" i="2" a="1"/>
  <c r="DN150" i="2" s="1"/>
  <c r="CS116" i="2" a="1"/>
  <c r="CS116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6" i="2" a="1"/>
  <c r="EI36" i="2" s="1"/>
  <c r="EI57" i="2" a="1"/>
  <c r="EI57" i="2" s="1"/>
  <c r="EI113" i="2" a="1"/>
  <c r="EI113" i="2" s="1"/>
  <c r="EI16" i="2" a="1"/>
  <c r="EI16" i="2" s="1"/>
  <c r="EI170" i="2" a="1"/>
  <c r="EI170" i="2" s="1"/>
  <c r="DN168" i="2" a="1"/>
  <c r="DN168" i="2" s="1"/>
  <c r="CS185" i="2" a="1"/>
  <c r="CS185" i="2" s="1"/>
  <c r="DN80" i="2" a="1"/>
  <c r="DN80" i="2" s="1"/>
  <c r="CS56" i="2" a="1"/>
  <c r="CS56" i="2" s="1"/>
  <c r="DN49" i="2" a="1"/>
  <c r="DN49" i="2" s="1"/>
  <c r="DN162" i="2" a="1"/>
  <c r="DN162" i="2" s="1"/>
  <c r="DN16" i="2" a="1"/>
  <c r="DN16" i="2" s="1"/>
  <c r="DN167" i="2" a="1"/>
  <c r="DN167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CS24" i="2" a="1"/>
  <c r="CS24" i="2" s="1"/>
  <c r="CS134" i="2" a="1"/>
  <c r="CS134" i="2" s="1"/>
  <c r="DN45" i="2" a="1"/>
  <c r="DN45" i="2" s="1"/>
  <c r="CS72" i="2" a="1"/>
  <c r="CS72" i="2" s="1"/>
  <c r="HJ202" i="2"/>
  <c r="EY202" i="2"/>
  <c r="AX200" i="2"/>
  <c r="FY173" i="2" l="1" a="1"/>
  <c r="FY173" i="2" s="1"/>
  <c r="FY109" i="2" a="1"/>
  <c r="FY109" i="2" s="1"/>
  <c r="FY196" i="2" a="1"/>
  <c r="FY196" i="2" s="1"/>
  <c r="FY164" i="2" a="1"/>
  <c r="FY164" i="2" s="1"/>
  <c r="FY159" i="2" a="1"/>
  <c r="FY159" i="2" s="1"/>
  <c r="FY120" i="2" a="1"/>
  <c r="FY120" i="2" s="1"/>
  <c r="EI109" i="2" a="1"/>
  <c r="EI109" i="2" s="1"/>
  <c r="FD187" i="2" a="1"/>
  <c r="FD187" i="2" s="1"/>
  <c r="FY82" i="2" a="1"/>
  <c r="FY82" i="2" s="1"/>
  <c r="EI198" i="2" a="1"/>
  <c r="EI198" i="2" s="1"/>
  <c r="FY116" i="2" a="1"/>
  <c r="FY116" i="2" s="1"/>
  <c r="FY32" i="2" a="1"/>
  <c r="FY32" i="2" s="1"/>
  <c r="FY24" i="2" a="1"/>
  <c r="FY24" i="2" s="1"/>
  <c r="FY92" i="2" a="1"/>
  <c r="FY92" i="2" s="1"/>
  <c r="FY18" i="2" a="1"/>
  <c r="FY18" i="2" s="1"/>
  <c r="DN187" i="2" a="1"/>
  <c r="DN187" i="2" s="1"/>
  <c r="DN30" i="2" a="1"/>
  <c r="DN30" i="2" s="1"/>
  <c r="DN55" i="2" a="1"/>
  <c r="DN55" i="2" s="1"/>
  <c r="DN135" i="2" a="1"/>
  <c r="DN135" i="2" s="1"/>
  <c r="EI35" i="2" a="1"/>
  <c r="EI35" i="2" s="1"/>
  <c r="EI34" i="2" a="1"/>
  <c r="EI34" i="2" s="1"/>
  <c r="FD19" i="2" a="1"/>
  <c r="FD19" i="2" s="1"/>
  <c r="FD64" i="2" a="1"/>
  <c r="FD64" i="2" s="1"/>
  <c r="FY167" i="2" a="1"/>
  <c r="FY167" i="2" s="1"/>
  <c r="FY115" i="2" a="1"/>
  <c r="FY115" i="2" s="1"/>
  <c r="AH199" i="2" a="1"/>
  <c r="AH199" i="2" s="1"/>
  <c r="CS137" i="2" a="1"/>
  <c r="CS137" i="2" s="1"/>
  <c r="DN86" i="2" a="1"/>
  <c r="DN86" i="2" s="1"/>
  <c r="DN25" i="2" a="1"/>
  <c r="DN25" i="2" s="1"/>
  <c r="CS129" i="2" a="1"/>
  <c r="CS129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07" i="2" a="1"/>
  <c r="FD107" i="2" s="1"/>
  <c r="FY42" i="2" a="1"/>
  <c r="FY42" i="2" s="1"/>
  <c r="FY34" i="2" a="1"/>
  <c r="FY34" i="2" s="1"/>
  <c r="FY174" i="2" a="1"/>
  <c r="FY174" i="2" s="1"/>
  <c r="FY165" i="2" a="1"/>
  <c r="FY165" i="2" s="1"/>
  <c r="FY99" i="2" a="1"/>
  <c r="FY99" i="2" s="1"/>
  <c r="FY146" i="2" a="1"/>
  <c r="FY146" i="2" s="1"/>
  <c r="EI128" i="2" a="1"/>
  <c r="EI128" i="2" s="1"/>
  <c r="FD60" i="2" a="1"/>
  <c r="FD60" i="2" s="1"/>
  <c r="FY178" i="2" a="1"/>
  <c r="FY178" i="2" s="1"/>
  <c r="FY71" i="2" a="1"/>
  <c r="FY71" i="2" s="1"/>
  <c r="DN132" i="2" a="1"/>
  <c r="DN132" i="2" s="1"/>
  <c r="DN164" i="2" a="1"/>
  <c r="DN164" i="2" s="1"/>
  <c r="EI37" i="2" a="1"/>
  <c r="EI37" i="2" s="1"/>
  <c r="EI38" i="2" a="1"/>
  <c r="EI38" i="2" s="1"/>
  <c r="DN63" i="2" a="1"/>
  <c r="DN63" i="2" s="1"/>
  <c r="FD194" i="2" a="1"/>
  <c r="FD194" i="2" s="1"/>
  <c r="FR203" i="2"/>
  <c r="FD82" i="2" a="1"/>
  <c r="FD82" i="2" s="1"/>
  <c r="DN46" i="2" a="1"/>
  <c r="DN46" i="2" s="1"/>
  <c r="DN110" i="2" a="1"/>
  <c r="DN110" i="2" s="1"/>
  <c r="DN38" i="2" a="1"/>
  <c r="DN38" i="2" s="1"/>
  <c r="EI139" i="2" a="1"/>
  <c r="EI139" i="2" s="1"/>
  <c r="EI165" i="2" a="1"/>
  <c r="EI165" i="2" s="1"/>
  <c r="FD160" i="2" a="1"/>
  <c r="FD160" i="2" s="1"/>
  <c r="FD189" i="2" a="1"/>
  <c r="FD189" i="2" s="1"/>
  <c r="FY142" i="2" a="1"/>
  <c r="FY142" i="2" s="1"/>
  <c r="FY86" i="2" a="1"/>
  <c r="FY86" i="2" s="1"/>
  <c r="AH166" i="2" a="1"/>
  <c r="AH166" i="2" s="1"/>
  <c r="DN123" i="2" a="1"/>
  <c r="DN123" i="2" s="1"/>
  <c r="DN177" i="2" a="1"/>
  <c r="DN177" i="2" s="1"/>
  <c r="DN184" i="2" a="1"/>
  <c r="DN184" i="2" s="1"/>
  <c r="CS52" i="2" a="1"/>
  <c r="CS52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44" i="2" a="1"/>
  <c r="FD44" i="2" s="1"/>
  <c r="FY72" i="2" a="1"/>
  <c r="FY72" i="2" s="1"/>
  <c r="FY66" i="2" a="1"/>
  <c r="FY66" i="2" s="1"/>
  <c r="FD167" i="2" a="1"/>
  <c r="FD167" i="2" s="1"/>
  <c r="FD188" i="2" a="1"/>
  <c r="FD188" i="2" s="1"/>
  <c r="FY79" i="2" a="1"/>
  <c r="FY79" i="2" s="1"/>
  <c r="FD131" i="2" a="1"/>
  <c r="FD131" i="2" s="1"/>
  <c r="EI178" i="2" a="1"/>
  <c r="EI178" i="2" s="1"/>
  <c r="FY149" i="2" a="1"/>
  <c r="FY149" i="2" s="1"/>
  <c r="FY143" i="2" a="1"/>
  <c r="FY143" i="2" s="1"/>
  <c r="FY47" i="2" a="1"/>
  <c r="FY47" i="2" s="1"/>
  <c r="DN70" i="2" a="1"/>
  <c r="DN70" i="2" s="1"/>
  <c r="EI20" i="2" a="1"/>
  <c r="EI20" i="2" s="1"/>
  <c r="FD43" i="2" a="1"/>
  <c r="FD43" i="2" s="1"/>
  <c r="FY121" i="2" a="1"/>
  <c r="FY121" i="2" s="1"/>
  <c r="FY182" i="2" a="1"/>
  <c r="FY182" i="2" s="1"/>
  <c r="DN188" i="2" a="1"/>
  <c r="DN188" i="2" s="1"/>
  <c r="DN113" i="2" a="1"/>
  <c r="DN113" i="2" s="1"/>
  <c r="DN137" i="2" a="1"/>
  <c r="DN137" i="2" s="1"/>
  <c r="EI145" i="2" a="1"/>
  <c r="EI145" i="2" s="1"/>
  <c r="FD59" i="2" a="1"/>
  <c r="FD59" i="2" s="1"/>
  <c r="FY55" i="2" a="1"/>
  <c r="FY55" i="2" s="1"/>
  <c r="FY191" i="2" a="1"/>
  <c r="FY191" i="2" s="1"/>
  <c r="FY22" i="2" a="1"/>
  <c r="FY22" i="2" s="1"/>
  <c r="BX107" i="2" a="1"/>
  <c r="BX107" i="2" s="1"/>
  <c r="DN31" i="2" a="1"/>
  <c r="DN31" i="2" s="1"/>
  <c r="CS114" i="2" a="1"/>
  <c r="CS114" i="2" s="1"/>
  <c r="EI67" i="2" a="1"/>
  <c r="EI67" i="2" s="1"/>
  <c r="EI71" i="2" a="1"/>
  <c r="EI71" i="2" s="1"/>
  <c r="FD137" i="2" a="1"/>
  <c r="FD137" i="2" s="1"/>
  <c r="FD14" i="2" a="1"/>
  <c r="FD14" i="2" s="1"/>
  <c r="FY80" i="2" a="1"/>
  <c r="FY80" i="2" s="1"/>
  <c r="FY58" i="2" a="1"/>
  <c r="FY58" i="2" s="1"/>
  <c r="AH19" i="2" a="1"/>
  <c r="AH19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<sst xmlns="http://schemas.openxmlformats.org/spreadsheetml/2006/main" count="1171" uniqueCount="325">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</sst>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1.8121844198845796</c:v>
                </c:pt>
                <c:pt idx="2">
                  <c:v>2.4038918720153157</c:v>
                </c:pt>
                <c:pt idx="3">
                  <c:v>3.189607226357372</c:v>
                </c:pt>
                <c:pt idx="4">
                  <c:v>4.2331907040389778</c:v>
                </c:pt>
                <c:pt idx="5">
                  <c:v>5.6195997387142667</c:v>
                </c:pt>
                <c:pt idx="6">
                  <c:v>7.4618823303430695</c:v>
                </c:pt>
                <c:pt idx="7">
                  <c:v>9.9104957762907411</c:v>
                </c:pt>
                <c:pt idx="8">
                  <c:v>13.165726191721282</c:v>
                </c:pt>
                <c:pt idx="9">
                  <c:v>17.494243464099167</c:v>
                </c:pt>
                <c:pt idx="10">
                  <c:v>23.251172387170172</c:v>
                </c:pt>
                <c:pt idx="11">
                  <c:v>30.90952285803759</c:v>
                </c:pt>
                <c:pt idx="12">
                  <c:v>41.099439180467471</c:v>
                </c:pt>
                <c:pt idx="13">
                  <c:v>54.660552802630555</c:v>
                </c:pt>
                <c:pt idx="14">
                  <c:v>72.711823876341413</c:v>
                </c:pt>
                <c:pt idx="15">
                  <c:v>96.744727966187881</c:v>
                </c:pt>
                <c:pt idx="16">
                  <c:v>128.74760954458992</c:v>
                </c:pt>
                <c:pt idx="17">
                  <c:v>171.37165003014465</c:v>
                </c:pt>
                <c:pt idx="18">
                  <c:v>228.15240763897987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8" zoomScale="80" zoomScaleNormal="80" workbookViewId="0">
      <selection activeCell="B12" sqref="B12:M16"/>
    </sheetView>
  </sheetViews>
  <sheetFormatPr baseColWidth="10" defaultRowHeight="14.25" x14ac:dyDescent="0.45"/>
  <cols>
    <col min="1" max="1" width="6.73046875" customWidth="1"/>
    <col min="2" max="13" width="15.7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80" zoomScaleNormal="80" workbookViewId="0">
      <selection activeCell="B37" sqref="B37"/>
    </sheetView>
  </sheetViews>
  <sheetFormatPr baseColWidth="10" defaultColWidth="11.33203125" defaultRowHeight="14.25" x14ac:dyDescent="0.45"/>
  <cols>
    <col min="1" max="1" width="13.73046875" style="23" customWidth="1"/>
    <col min="2" max="2" width="36.06640625" style="23" customWidth="1"/>
    <col min="3" max="3" width="14.796875" style="23" bestFit="1" customWidth="1"/>
    <col min="4" max="4" width="16.33203125" style="23" customWidth="1"/>
    <col min="5" max="5" width="23.265625" style="23" customWidth="1"/>
    <col min="6" max="6" width="28.796875" style="23" bestFit="1" customWidth="1"/>
    <col min="7" max="8" width="14.73046875" style="23" customWidth="1"/>
    <col min="9" max="9" width="17" style="23" customWidth="1"/>
    <col min="10" max="10" width="13.796875" style="23" customWidth="1"/>
    <col min="11" max="16384" width="11.3320312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5.2355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123</v>
      </c>
      <c r="C9" s="32">
        <v>1</v>
      </c>
      <c r="D9" s="33">
        <f t="shared" ref="D9:D18" si="0">C9*$C$5</f>
        <v>5.2355</v>
      </c>
      <c r="E9" s="34">
        <v>18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5.2355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Peuplier Dorskamp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18</v>
      </c>
      <c r="B36" s="60">
        <v>197</v>
      </c>
      <c r="C36" s="60" t="s">
        <v>324</v>
      </c>
      <c r="D36" s="60">
        <v>197</v>
      </c>
      <c r="E36" s="51">
        <v>0.77</v>
      </c>
      <c r="F36" s="51">
        <v>0.11</v>
      </c>
      <c r="G36" s="51">
        <v>0.1</v>
      </c>
      <c r="H36" s="51">
        <v>0.02</v>
      </c>
      <c r="I36" s="49">
        <f>IFERROR(B36/A36,"")</f>
        <v>10.944444444444445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Normal="100" workbookViewId="0">
      <selection activeCell="G15" sqref="G15"/>
    </sheetView>
  </sheetViews>
  <sheetFormatPr baseColWidth="10" defaultColWidth="11.33203125" defaultRowHeight="14.25" x14ac:dyDescent="0.45"/>
  <cols>
    <col min="1" max="1" width="5.796875" style="1" customWidth="1"/>
    <col min="2" max="2" width="14.06640625" style="1" customWidth="1"/>
    <col min="3" max="3" width="62.066406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3203125" style="1"/>
    <col min="11" max="11" width="12.59765625" style="1" customWidth="1"/>
    <col min="12" max="16384" width="11.3320312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3203125" defaultRowHeight="14.25" x14ac:dyDescent="0.45"/>
  <cols>
    <col min="1" max="1" width="6.796875" style="4" bestFit="1" customWidth="1"/>
    <col min="2" max="4" width="11.33203125" style="4"/>
    <col min="5" max="5" width="9.59765625" style="4" customWidth="1"/>
    <col min="6" max="7" width="11.33203125" style="4"/>
    <col min="8" max="8" width="10.73046875" style="4" customWidth="1"/>
    <col min="9" max="9" width="9.33203125" style="4" customWidth="1"/>
    <col min="10" max="11" width="10.59765625" style="4" bestFit="1" customWidth="1"/>
    <col min="12" max="12" width="14" style="4" bestFit="1" customWidth="1"/>
    <col min="13" max="13" width="14" style="4" customWidth="1"/>
    <col min="14" max="23" width="11.33203125" style="4"/>
    <col min="24" max="24" width="11.73046875" style="4" bestFit="1" customWidth="1"/>
    <col min="25" max="25" width="14.59765625" style="4" bestFit="1" customWidth="1"/>
    <col min="26" max="26" width="12.33203125" style="4" bestFit="1" customWidth="1"/>
    <col min="27" max="27" width="9.73046875" style="4" bestFit="1" customWidth="1"/>
    <col min="28" max="28" width="11" style="4" bestFit="1" customWidth="1"/>
    <col min="29" max="29" width="9.33203125" style="4" bestFit="1" customWidth="1"/>
    <col min="30" max="31" width="9.33203125" style="4" customWidth="1"/>
    <col min="32" max="32" width="11.33203125" style="4"/>
    <col min="33" max="34" width="14" style="4" bestFit="1" customWidth="1"/>
    <col min="35" max="35" width="10.59765625" style="4" bestFit="1" customWidth="1"/>
    <col min="36" max="36" width="9.33203125" style="4" bestFit="1" customWidth="1"/>
    <col min="37" max="38" width="10.59765625" style="4" bestFit="1" customWidth="1"/>
    <col min="39" max="41" width="10.59765625" style="4" customWidth="1"/>
    <col min="42" max="42" width="9" style="4" bestFit="1" customWidth="1"/>
    <col min="43" max="43" width="10.59765625" style="4" bestFit="1" customWidth="1"/>
    <col min="44" max="44" width="9.265625" style="4" bestFit="1" customWidth="1"/>
    <col min="45" max="45" width="11.73046875" style="4" bestFit="1" customWidth="1"/>
    <col min="46" max="46" width="8.33203125" style="4" bestFit="1" customWidth="1"/>
    <col min="47" max="47" width="9.33203125" style="4" bestFit="1" customWidth="1"/>
    <col min="48" max="48" width="9.73046875" style="4" bestFit="1" customWidth="1"/>
    <col min="49" max="49" width="11" style="4" bestFit="1" customWidth="1"/>
    <col min="50" max="50" width="9.33203125" style="4" bestFit="1" customWidth="1"/>
    <col min="51" max="52" width="9.33203125" style="4" customWidth="1"/>
    <col min="53" max="53" width="10.59765625" style="4" bestFit="1" customWidth="1"/>
    <col min="54" max="54" width="14.265625" style="4" customWidth="1"/>
    <col min="55" max="55" width="14" style="4" customWidth="1"/>
    <col min="56" max="56" width="10.59765625" style="4" bestFit="1" customWidth="1"/>
    <col min="57" max="57" width="9.33203125" style="4" bestFit="1" customWidth="1"/>
    <col min="58" max="59" width="10.59765625" style="4" bestFit="1" customWidth="1"/>
    <col min="60" max="62" width="10.59765625" style="4" customWidth="1"/>
    <col min="63" max="63" width="9" style="4" bestFit="1" customWidth="1"/>
    <col min="64" max="64" width="10.59765625" style="4" bestFit="1" customWidth="1"/>
    <col min="65" max="65" width="9.265625" style="4" bestFit="1" customWidth="1"/>
    <col min="66" max="66" width="11.73046875" style="4" bestFit="1" customWidth="1"/>
    <col min="67" max="67" width="8.33203125" style="4" bestFit="1" customWidth="1"/>
    <col min="68" max="68" width="9.33203125" style="4" bestFit="1" customWidth="1"/>
    <col min="69" max="69" width="9.73046875" style="4" bestFit="1" customWidth="1"/>
    <col min="70" max="70" width="11" style="4" bestFit="1" customWidth="1"/>
    <col min="71" max="71" width="9.33203125" style="4" bestFit="1" customWidth="1"/>
    <col min="72" max="73" width="9.33203125" style="4" customWidth="1"/>
    <col min="74" max="74" width="10.59765625" style="4" bestFit="1" customWidth="1"/>
    <col min="75" max="75" width="14" style="4" bestFit="1" customWidth="1"/>
    <col min="76" max="76" width="13.796875" style="4" customWidth="1"/>
    <col min="77" max="77" width="10.59765625" style="4" bestFit="1" customWidth="1"/>
    <col min="78" max="78" width="9.33203125" style="4" bestFit="1" customWidth="1"/>
    <col min="79" max="80" width="10.59765625" style="4" bestFit="1" customWidth="1"/>
    <col min="81" max="83" width="10.59765625" style="4" customWidth="1"/>
    <col min="84" max="84" width="11.33203125" style="4"/>
    <col min="85" max="85" width="10.59765625" style="4" bestFit="1" customWidth="1"/>
    <col min="86" max="86" width="9.265625" style="4" bestFit="1" customWidth="1"/>
    <col min="87" max="87" width="11.73046875" style="4" bestFit="1" customWidth="1"/>
    <col min="88" max="88" width="8.33203125" style="4" bestFit="1" customWidth="1"/>
    <col min="89" max="89" width="9.33203125" style="4" bestFit="1" customWidth="1"/>
    <col min="90" max="90" width="9.73046875" style="4" bestFit="1" customWidth="1"/>
    <col min="91" max="91" width="11" style="4" bestFit="1" customWidth="1"/>
    <col min="92" max="92" width="9.33203125" style="4" bestFit="1" customWidth="1"/>
    <col min="93" max="94" width="9.33203125" style="4" customWidth="1"/>
    <col min="95" max="95" width="11.33203125" style="4"/>
    <col min="96" max="97" width="14" style="4" customWidth="1"/>
    <col min="98" max="98" width="10.59765625" style="4" bestFit="1" customWidth="1"/>
    <col min="99" max="99" width="9.33203125" style="4" bestFit="1" customWidth="1"/>
    <col min="100" max="101" width="10.59765625" style="4" bestFit="1" customWidth="1"/>
    <col min="102" max="104" width="10.59765625" style="4" customWidth="1"/>
    <col min="105" max="105" width="9" style="4" bestFit="1" customWidth="1"/>
    <col min="106" max="106" width="10.59765625" style="4" bestFit="1" customWidth="1"/>
    <col min="107" max="107" width="9.265625" style="4" bestFit="1" customWidth="1"/>
    <col min="108" max="108" width="11.73046875" style="4" bestFit="1" customWidth="1"/>
    <col min="109" max="109" width="8.33203125" style="4" bestFit="1" customWidth="1"/>
    <col min="110" max="110" width="9.33203125" style="4" bestFit="1" customWidth="1"/>
    <col min="111" max="111" width="9.73046875" style="4" bestFit="1" customWidth="1"/>
    <col min="112" max="112" width="11" style="4" bestFit="1" customWidth="1"/>
    <col min="113" max="113" width="9.33203125" style="4" bestFit="1" customWidth="1"/>
    <col min="114" max="115" width="9.33203125" style="4" customWidth="1"/>
    <col min="116" max="116" width="10.59765625" style="4" bestFit="1" customWidth="1"/>
    <col min="117" max="117" width="14.265625" style="4" customWidth="1"/>
    <col min="118" max="118" width="14" style="4" bestFit="1" customWidth="1"/>
    <col min="119" max="119" width="10.59765625" style="4" bestFit="1" customWidth="1"/>
    <col min="120" max="120" width="9.33203125" style="4" bestFit="1" customWidth="1"/>
    <col min="121" max="122" width="10.59765625" style="4" bestFit="1" customWidth="1"/>
    <col min="123" max="125" width="10.59765625" style="4" customWidth="1"/>
    <col min="126" max="126" width="9" style="4" bestFit="1" customWidth="1"/>
    <col min="127" max="127" width="10.59765625" style="4" bestFit="1" customWidth="1"/>
    <col min="128" max="128" width="9.265625" style="4" bestFit="1" customWidth="1"/>
    <col min="129" max="129" width="11.73046875" style="4" bestFit="1" customWidth="1"/>
    <col min="130" max="130" width="8.33203125" style="4" bestFit="1" customWidth="1"/>
    <col min="131" max="131" width="9.33203125" style="4" bestFit="1" customWidth="1"/>
    <col min="132" max="132" width="9.73046875" style="4" bestFit="1" customWidth="1"/>
    <col min="133" max="133" width="11" style="4" bestFit="1" customWidth="1"/>
    <col min="134" max="134" width="9.33203125" style="4" bestFit="1" customWidth="1"/>
    <col min="135" max="136" width="9.33203125" style="4" customWidth="1"/>
    <col min="137" max="137" width="10.59765625" style="4" bestFit="1" customWidth="1"/>
    <col min="138" max="139" width="14" style="4" customWidth="1"/>
    <col min="140" max="140" width="10.59765625" style="4" bestFit="1" customWidth="1"/>
    <col min="141" max="141" width="9.33203125" style="4" bestFit="1" customWidth="1"/>
    <col min="142" max="143" width="10.59765625" style="4" bestFit="1" customWidth="1"/>
    <col min="144" max="146" width="10.59765625" style="4" customWidth="1"/>
    <col min="147" max="147" width="9" style="4" bestFit="1" customWidth="1"/>
    <col min="148" max="148" width="10.59765625" style="4" bestFit="1" customWidth="1"/>
    <col min="149" max="149" width="9.265625" style="4" bestFit="1" customWidth="1"/>
    <col min="150" max="150" width="11.73046875" style="4" bestFit="1" customWidth="1"/>
    <col min="151" max="151" width="8.33203125" style="4" bestFit="1" customWidth="1"/>
    <col min="152" max="152" width="9.33203125" style="4" bestFit="1" customWidth="1"/>
    <col min="153" max="153" width="9.73046875" style="4" bestFit="1" customWidth="1"/>
    <col min="154" max="154" width="11" style="4" bestFit="1" customWidth="1"/>
    <col min="155" max="155" width="9.33203125" style="4" bestFit="1" customWidth="1"/>
    <col min="156" max="157" width="9.33203125" style="4" customWidth="1"/>
    <col min="158" max="158" width="11.33203125" style="4"/>
    <col min="159" max="160" width="14" style="4" bestFit="1" customWidth="1"/>
    <col min="161" max="161" width="10.59765625" style="4" bestFit="1" customWidth="1"/>
    <col min="162" max="162" width="9.33203125" style="4" bestFit="1" customWidth="1"/>
    <col min="163" max="164" width="10.59765625" style="4" bestFit="1" customWidth="1"/>
    <col min="165" max="167" width="10.59765625" style="4" customWidth="1"/>
    <col min="168" max="168" width="9" style="4" bestFit="1" customWidth="1"/>
    <col min="169" max="169" width="10.59765625" style="4" bestFit="1" customWidth="1"/>
    <col min="170" max="170" width="9.265625" style="4" bestFit="1" customWidth="1"/>
    <col min="171" max="171" width="11.73046875" style="4" bestFit="1" customWidth="1"/>
    <col min="172" max="172" width="8.06640625" style="4" bestFit="1" customWidth="1"/>
    <col min="173" max="173" width="9.33203125" style="4" bestFit="1" customWidth="1"/>
    <col min="174" max="174" width="9.73046875" style="4" bestFit="1" customWidth="1"/>
    <col min="175" max="175" width="11" style="4" bestFit="1" customWidth="1"/>
    <col min="176" max="176" width="9.33203125" style="4" bestFit="1" customWidth="1"/>
    <col min="177" max="178" width="9.33203125" style="4" customWidth="1"/>
    <col min="179" max="179" width="10.59765625" style="4" bestFit="1" customWidth="1"/>
    <col min="180" max="181" width="14" style="4" bestFit="1" customWidth="1"/>
    <col min="182" max="182" width="10.59765625" style="4" bestFit="1" customWidth="1"/>
    <col min="183" max="183" width="9.33203125" style="4" bestFit="1" customWidth="1"/>
    <col min="184" max="185" width="10.59765625" style="4" bestFit="1" customWidth="1"/>
    <col min="186" max="188" width="10.59765625" style="4" customWidth="1"/>
    <col min="189" max="189" width="9" style="4" bestFit="1" customWidth="1"/>
    <col min="190" max="190" width="10.59765625" style="4" bestFit="1" customWidth="1"/>
    <col min="191" max="191" width="9.265625" style="4" bestFit="1" customWidth="1"/>
    <col min="192" max="192" width="11.33203125" style="4"/>
    <col min="193" max="193" width="8.33203125" style="4" bestFit="1" customWidth="1"/>
    <col min="194" max="194" width="9.33203125" style="4" bestFit="1" customWidth="1"/>
    <col min="195" max="195" width="9.73046875" style="4" bestFit="1" customWidth="1"/>
    <col min="196" max="196" width="11" style="4" bestFit="1" customWidth="1"/>
    <col min="197" max="197" width="9.33203125" style="4" bestFit="1" customWidth="1"/>
    <col min="198" max="199" width="9.33203125" style="4" customWidth="1"/>
    <col min="200" max="200" width="10.59765625" style="4" bestFit="1" customWidth="1"/>
    <col min="201" max="201" width="14" style="4" customWidth="1"/>
    <col min="202" max="202" width="14.265625" style="4" customWidth="1"/>
    <col min="203" max="203" width="10.59765625" style="4" bestFit="1" customWidth="1"/>
    <col min="204" max="204" width="9.33203125" style="4" bestFit="1" customWidth="1"/>
    <col min="205" max="206" width="10.59765625" style="4" bestFit="1" customWidth="1"/>
    <col min="207" max="209" width="10.59765625" style="4" customWidth="1"/>
    <col min="210" max="210" width="9" style="4" bestFit="1" customWidth="1"/>
    <col min="211" max="211" width="10.59765625" style="4" bestFit="1" customWidth="1"/>
    <col min="212" max="212" width="9.265625" style="4" bestFit="1" customWidth="1"/>
    <col min="213" max="213" width="11.73046875" style="4" bestFit="1" customWidth="1"/>
    <col min="214" max="214" width="8.33203125" style="4" bestFit="1" customWidth="1"/>
    <col min="215" max="215" width="9.33203125" style="4" bestFit="1" customWidth="1"/>
    <col min="216" max="216" width="9.73046875" style="4" bestFit="1" customWidth="1"/>
    <col min="217" max="217" width="11" style="4" bestFit="1" customWidth="1"/>
    <col min="218" max="218" width="9.33203125" style="4" bestFit="1" customWidth="1"/>
    <col min="219" max="16384" width="11.3320312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Dorskamp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29.189530872116961</v>
      </c>
      <c r="T3" s="59">
        <f>IF('Données projet'!E9&gt;30,$R$33-$H$33,LOOKUP('Données projet'!$E$9,$A$3:$A$203,R3:R203)-LOOKUP('Données projet'!$E$9,$A$3:$A$203,$H$3:$H$203))</f>
        <v>190.9732278276216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10.944444444444445</v>
      </c>
      <c r="N4" s="13">
        <f>IF('Données projet'!$A$36&gt;35,N3+M4-V3,IF(A4&lt;'Données projet'!$A$36,$K$205^A4,IF(A4='Données projet'!$A$36,'Données projet'!$B$36,N3+M4-V3)))</f>
        <v>1.3411283585680507</v>
      </c>
      <c r="O4" s="13">
        <f>N4*VLOOKUP('Données projet'!$B$9,Paramètres!$A$1:$I$89,3,0)*VLOOKUP('Données projet'!$B$9,Paramètres!$A$1:$I$89,5,0)</f>
        <v>0.70296584042702948</v>
      </c>
      <c r="P4" s="13">
        <f>EXP(-1.0587+0.8836*LN(O4)+0.284)</f>
        <v>0.33752282170765735</v>
      </c>
      <c r="Q4" s="20">
        <f t="shared" ref="Q4:Q34" si="2">(O4+P4)*0.475*44/12</f>
        <v>1.8121844198845796</v>
      </c>
      <c r="R4" s="59">
        <f t="shared" si="0"/>
        <v>295.14551775321792</v>
      </c>
      <c r="S4" s="59">
        <f ca="1">AVERAGE(OFFSET($R$3,0,0,'Données projet'!$E$9+1,1))-AVERAGE(OFFSET($H$3,0,0,'Données projet'!$E$9+1,1))</f>
        <v>29.189530872116961</v>
      </c>
      <c r="T4" s="59">
        <f>$T$3</f>
        <v>190.9732278276216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10.944444444444445</v>
      </c>
      <c r="N5" s="13">
        <f>IF('Données projet'!$A$36&gt;35,N4+M5-V4,IF(A5&lt;'Données projet'!$A$36,$K$205^A5,IF(A5='Données projet'!$A$36,'Données projet'!$B$36,N4+M5-V4)))</f>
        <v>1.7986252741554338</v>
      </c>
      <c r="O5" s="13">
        <f>N5*VLOOKUP('Données projet'!$B$9,Paramètres!$A$1:$I$89,3,0)*VLOOKUP('Données projet'!$B$9,Paramètres!$A$1:$I$89,5,0)</f>
        <v>0.94276742370131228</v>
      </c>
      <c r="P5" s="13">
        <f t="shared" ref="P5:P68" si="33">EXP(-1.0587+0.8836*LN(O5)+0.284)</f>
        <v>0.43745757458499357</v>
      </c>
      <c r="Q5" s="20">
        <f t="shared" si="2"/>
        <v>2.4038918720153157</v>
      </c>
      <c r="R5" s="59">
        <f t="shared" si="0"/>
        <v>295.73722520534864</v>
      </c>
      <c r="S5" s="59">
        <f ca="1">AVERAGE(OFFSET($R$3,0,0,'Données projet'!$E$9+1,1))-AVERAGE(OFFSET($H$3,0,0,'Données projet'!$E$9+1,1))</f>
        <v>29.189530872116961</v>
      </c>
      <c r="T5" s="59">
        <f t="shared" ref="T5:T68" si="34">$T$3</f>
        <v>190.9732278276216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10.944444444444445</v>
      </c>
      <c r="N6" s="13">
        <f>IF('Données projet'!$A$36&gt;35,N5+M6-V5,IF(A6&lt;'Données projet'!$A$36,$K$205^A6,IF(A6='Données projet'!$A$36,'Données projet'!$B$36,N5+M6-V5)))</f>
        <v>2.4121873616070872</v>
      </c>
      <c r="O6" s="13">
        <f>N6*VLOOKUP('Données projet'!$B$9,Paramètres!$A$1:$I$89,3,0)*VLOOKUP('Données projet'!$B$9,Paramètres!$A$1:$I$89,5,0)</f>
        <v>1.2643721274599709</v>
      </c>
      <c r="P6" s="13">
        <f t="shared" si="33"/>
        <v>0.56698130394139112</v>
      </c>
      <c r="Q6" s="20">
        <f t="shared" si="2"/>
        <v>3.189607226357372</v>
      </c>
      <c r="R6" s="59">
        <f t="shared" si="0"/>
        <v>296.52294055969071</v>
      </c>
      <c r="S6" s="59">
        <f ca="1">AVERAGE(OFFSET($R$3,0,0,'Données projet'!$E$9+1,1))-AVERAGE(OFFSET($H$3,0,0,'Données projet'!$E$9+1,1))</f>
        <v>29.189530872116961</v>
      </c>
      <c r="T6" s="59">
        <f t="shared" si="34"/>
        <v>190.9732278276216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10.944444444444445</v>
      </c>
      <c r="N7" s="13">
        <f>IF('Données projet'!$A$36&gt;35,N6+M7-V6,IF(A7&lt;'Données projet'!$A$36,$K$205^A7,IF(A7='Données projet'!$A$36,'Données projet'!$B$36,N6+M7-V6)))</f>
        <v>3.2350528768307094</v>
      </c>
      <c r="O7" s="13">
        <f>N7*VLOOKUP('Données projet'!$B$9,Paramètres!$A$1:$I$89,3,0)*VLOOKUP('Données projet'!$B$9,Paramètres!$A$1:$I$89,5,0)</f>
        <v>1.6956853159195846</v>
      </c>
      <c r="P7" s="13">
        <f t="shared" si="33"/>
        <v>0.73485480123198121</v>
      </c>
      <c r="Q7" s="20">
        <f t="shared" si="2"/>
        <v>4.2331907040389778</v>
      </c>
      <c r="R7" s="59">
        <f t="shared" si="0"/>
        <v>297.56652403737229</v>
      </c>
      <c r="S7" s="59">
        <f ca="1">AVERAGE(OFFSET($R$3,0,0,'Données projet'!$E$9+1,1))-AVERAGE(OFFSET($H$3,0,0,'Données projet'!$E$9+1,1))</f>
        <v>29.189530872116961</v>
      </c>
      <c r="T7" s="59">
        <f t="shared" si="34"/>
        <v>190.9732278276216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10.944444444444445</v>
      </c>
      <c r="N8" s="13">
        <f>IF('Données projet'!$A$36&gt;35,N7+M8-V7,IF(A8&lt;'Données projet'!$A$36,$K$205^A8,IF(A8='Données projet'!$A$36,'Données projet'!$B$36,N7+M8-V7)))</f>
        <v>4.3386211545848195</v>
      </c>
      <c r="O8" s="13">
        <f>N8*VLOOKUP('Données projet'!$B$9,Paramètres!$A$1:$I$89,3,0)*VLOOKUP('Données projet'!$B$9,Paramètres!$A$1:$I$89,5,0)</f>
        <v>2.2741316643871792</v>
      </c>
      <c r="P8" s="13">
        <f t="shared" si="33"/>
        <v>0.95243277889373923</v>
      </c>
      <c r="Q8" s="20">
        <f t="shared" si="2"/>
        <v>5.6195997387142667</v>
      </c>
      <c r="R8" s="59">
        <f t="shared" si="0"/>
        <v>298.95293307204759</v>
      </c>
      <c r="S8" s="59">
        <f ca="1">AVERAGE(OFFSET($R$3,0,0,'Données projet'!$E$9+1,1))-AVERAGE(OFFSET($H$3,0,0,'Données projet'!$E$9+1,1))</f>
        <v>29.189530872116961</v>
      </c>
      <c r="T8" s="59">
        <f t="shared" si="34"/>
        <v>190.9732278276216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10.944444444444445</v>
      </c>
      <c r="N9" s="13">
        <f>IF('Données projet'!$A$36&gt;35,N8+M9-V8,IF(A9&lt;'Données projet'!$A$36,$K$205^A9,IF(A9='Données projet'!$A$36,'Données projet'!$B$36,N8+M9-V8)))</f>
        <v>5.8186478674969599</v>
      </c>
      <c r="O9" s="13">
        <f>N9*VLOOKUP('Données projet'!$B$9,Paramètres!$A$1:$I$89,3,0)*VLOOKUP('Données projet'!$B$9,Paramètres!$A$1:$I$89,5,0)</f>
        <v>3.0499024662272065</v>
      </c>
      <c r="P9" s="13">
        <f t="shared" si="33"/>
        <v>1.2344318861228818</v>
      </c>
      <c r="Q9" s="20">
        <f t="shared" si="2"/>
        <v>7.4618823303430695</v>
      </c>
      <c r="R9" s="59">
        <f t="shared" si="0"/>
        <v>300.7952156636764</v>
      </c>
      <c r="S9" s="59">
        <f ca="1">AVERAGE(OFFSET($R$3,0,0,'Données projet'!$E$9+1,1))-AVERAGE(OFFSET($H$3,0,0,'Données projet'!$E$9+1,1))</f>
        <v>29.189530872116961</v>
      </c>
      <c r="T9" s="59">
        <f t="shared" si="34"/>
        <v>190.9732278276216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10.944444444444445</v>
      </c>
      <c r="N10" s="13">
        <f>IF('Données projet'!$A$36&gt;35,N9+M10-V9,IF(A10&lt;'Données projet'!$A$36,$K$205^A10,IF(A10='Données projet'!$A$36,'Données projet'!$B$36,N9+M10-V9)))</f>
        <v>7.8035536636216865</v>
      </c>
      <c r="O10" s="13">
        <f>N10*VLOOKUP('Données projet'!$B$9,Paramètres!$A$1:$I$89,3,0)*VLOOKUP('Données projet'!$B$9,Paramètres!$A$1:$I$89,5,0)</f>
        <v>4.0903106883239433</v>
      </c>
      <c r="P10" s="13">
        <f t="shared" si="33"/>
        <v>1.5999261210295925</v>
      </c>
      <c r="Q10" s="20">
        <f t="shared" si="2"/>
        <v>9.9104957762907411</v>
      </c>
      <c r="R10" s="59">
        <f t="shared" si="0"/>
        <v>303.24382910962407</v>
      </c>
      <c r="S10" s="59">
        <f ca="1">AVERAGE(OFFSET($R$3,0,0,'Données projet'!$E$9+1,1))-AVERAGE(OFFSET($H$3,0,0,'Données projet'!$E$9+1,1))</f>
        <v>29.189530872116961</v>
      </c>
      <c r="T10" s="59">
        <f t="shared" si="34"/>
        <v>190.9732278276216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10.944444444444445</v>
      </c>
      <c r="N11" s="13">
        <f>IF('Données projet'!$A$36&gt;35,N10+M11-V10,IF(A11&lt;'Données projet'!$A$36,$K$205^A11,IF(A11='Données projet'!$A$36,'Données projet'!$B$36,N10+M11-V10)))</f>
        <v>10.465567115890648</v>
      </c>
      <c r="O11" s="13">
        <f>N11*VLOOKUP('Données projet'!$B$9,Paramètres!$A$1:$I$89,3,0)*VLOOKUP('Données projet'!$B$9,Paramètres!$A$1:$I$89,5,0)</f>
        <v>5.485631659465243</v>
      </c>
      <c r="P11" s="13">
        <f t="shared" si="33"/>
        <v>2.0736369673603727</v>
      </c>
      <c r="Q11" s="20">
        <f t="shared" si="2"/>
        <v>13.165726191721282</v>
      </c>
      <c r="R11" s="59">
        <f t="shared" si="0"/>
        <v>306.49905952505458</v>
      </c>
      <c r="S11" s="59">
        <f ca="1">AVERAGE(OFFSET($R$3,0,0,'Données projet'!$E$9+1,1))-AVERAGE(OFFSET($H$3,0,0,'Données projet'!$E$9+1,1))</f>
        <v>29.189530872116961</v>
      </c>
      <c r="T11" s="59">
        <f t="shared" si="34"/>
        <v>190.9732278276216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10.944444444444445</v>
      </c>
      <c r="N12" s="13">
        <f>IF('Données projet'!$A$36&gt;35,N11+M12-V11,IF(A12&lt;'Données projet'!$A$36,$K$205^A12,IF(A12='Données projet'!$A$36,'Données projet'!$B$36,N11+M12-V11)))</f>
        <v>14.035668847618194</v>
      </c>
      <c r="O12" s="13">
        <f>N12*VLOOKUP('Données projet'!$B$9,Paramètres!$A$1:$I$89,3,0)*VLOOKUP('Données projet'!$B$9,Paramètres!$A$1:$I$89,5,0)</f>
        <v>7.3569361831675524</v>
      </c>
      <c r="P12" s="13">
        <f t="shared" si="33"/>
        <v>2.6876055187075676</v>
      </c>
      <c r="Q12" s="20">
        <f t="shared" si="2"/>
        <v>17.494243464099167</v>
      </c>
      <c r="R12" s="59">
        <f t="shared" si="0"/>
        <v>310.82757679743247</v>
      </c>
      <c r="S12" s="59">
        <f ca="1">AVERAGE(OFFSET($R$3,0,0,'Données projet'!$E$9+1,1))-AVERAGE(OFFSET($H$3,0,0,'Données projet'!$E$9+1,1))</f>
        <v>29.189530872116961</v>
      </c>
      <c r="T12" s="59">
        <f t="shared" si="34"/>
        <v>190.9732278276216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10.944444444444445</v>
      </c>
      <c r="N13" s="13">
        <f>IF('Données projet'!$A$36&gt;35,N12+M13-V12,IF(A13&lt;'Données projet'!$A$36,$K$205^A13,IF(A13='Données projet'!$A$36,'Données projet'!$B$36,N12+M13-V12)))</f>
        <v>18.823633523010908</v>
      </c>
      <c r="O13" s="13">
        <f>N13*VLOOKUP('Données projet'!$B$9,Paramètres!$A$1:$I$89,3,0)*VLOOKUP('Données projet'!$B$9,Paramètres!$A$1:$I$89,5,0)</f>
        <v>9.8665957474213997</v>
      </c>
      <c r="P13" s="13">
        <f t="shared" si="33"/>
        <v>3.4833596901882702</v>
      </c>
      <c r="Q13" s="20">
        <f t="shared" si="2"/>
        <v>23.251172387170172</v>
      </c>
      <c r="R13" s="59">
        <f t="shared" si="0"/>
        <v>316.5845057205035</v>
      </c>
      <c r="S13" s="59">
        <f ca="1">AVERAGE(OFFSET($R$3,0,0,'Données projet'!$E$9+1,1))-AVERAGE(OFFSET($H$3,0,0,'Données projet'!$E$9+1,1))</f>
        <v>29.189530872116961</v>
      </c>
      <c r="T13" s="59">
        <f t="shared" si="34"/>
        <v>190.9732278276216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10.944444444444445</v>
      </c>
      <c r="N14" s="13">
        <f>IF('Données projet'!$A$36&gt;35,N13+M14-V13,IF(A14&lt;'Données projet'!$A$36,$K$205^A14,IF(A14='Données projet'!$A$36,'Données projet'!$B$36,N13+M14-V13)))</f>
        <v>25.244908729002155</v>
      </c>
      <c r="O14" s="13">
        <f>N14*VLOOKUP('Données projet'!$B$9,Paramètres!$A$1:$I$89,3,0)*VLOOKUP('Données projet'!$B$9,Paramètres!$A$1:$I$89,5,0)</f>
        <v>13.23237135939377</v>
      </c>
      <c r="P14" s="13">
        <f t="shared" si="33"/>
        <v>4.5147231045512584</v>
      </c>
      <c r="Q14" s="20">
        <f t="shared" si="2"/>
        <v>30.90952285803759</v>
      </c>
      <c r="R14" s="59">
        <f t="shared" si="0"/>
        <v>324.24285619137089</v>
      </c>
      <c r="S14" s="59">
        <f ca="1">AVERAGE(OFFSET($R$3,0,0,'Données projet'!$E$9+1,1))-AVERAGE(OFFSET($H$3,0,0,'Données projet'!$E$9+1,1))</f>
        <v>29.189530872116961</v>
      </c>
      <c r="T14" s="59">
        <f t="shared" si="34"/>
        <v>190.9732278276216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10.944444444444445</v>
      </c>
      <c r="N15" s="13">
        <f>IF('Données projet'!$A$36&gt;35,N14+M15-V14,IF(A15&lt;'Données projet'!$A$36,$K$205^A15,IF(A15='Données projet'!$A$36,'Données projet'!$B$36,N14+M15-V14)))</f>
        <v>33.856663005926912</v>
      </c>
      <c r="O15" s="13">
        <f>N15*VLOOKUP('Données projet'!$B$9,Paramètres!$A$1:$I$89,3,0)*VLOOKUP('Données projet'!$B$9,Paramètres!$A$1:$I$89,5,0)</f>
        <v>17.746308481186652</v>
      </c>
      <c r="P15" s="13">
        <f t="shared" si="33"/>
        <v>5.8514556415697898</v>
      </c>
      <c r="Q15" s="20">
        <f t="shared" si="2"/>
        <v>41.099439180467471</v>
      </c>
      <c r="R15" s="59">
        <f t="shared" si="0"/>
        <v>334.43277251380078</v>
      </c>
      <c r="S15" s="59">
        <f ca="1">AVERAGE(OFFSET($R$3,0,0,'Données projet'!$E$9+1,1))-AVERAGE(OFFSET($H$3,0,0,'Données projet'!$E$9+1,1))</f>
        <v>29.189530872116961</v>
      </c>
      <c r="T15" s="59">
        <f t="shared" si="34"/>
        <v>190.9732278276216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10.944444444444445</v>
      </c>
      <c r="N16" s="13">
        <f>IF('Données projet'!$A$36&gt;35,N15+M16-V15,IF(A16&lt;'Données projet'!$A$36,$K$205^A16,IF(A16='Données projet'!$A$36,'Données projet'!$B$36,N15+M16-V15)))</f>
        <v>45.406130883730405</v>
      </c>
      <c r="O16" s="13">
        <f>N16*VLOOKUP('Données projet'!$B$9,Paramètres!$A$1:$I$89,3,0)*VLOOKUP('Données projet'!$B$9,Paramètres!$A$1:$I$89,5,0)</f>
        <v>23.800077564016132</v>
      </c>
      <c r="P16" s="13">
        <f t="shared" si="33"/>
        <v>7.5839718920396928</v>
      </c>
      <c r="Q16" s="20">
        <f t="shared" si="2"/>
        <v>54.660552802630555</v>
      </c>
      <c r="R16" s="59">
        <f t="shared" si="0"/>
        <v>347.99388613596386</v>
      </c>
      <c r="S16" s="59">
        <f ca="1">AVERAGE(OFFSET($R$3,0,0,'Données projet'!$E$9+1,1))-AVERAGE(OFFSET($H$3,0,0,'Données projet'!$E$9+1,1))</f>
        <v>29.189530872116961</v>
      </c>
      <c r="T16" s="59">
        <f t="shared" si="34"/>
        <v>190.9732278276216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10.944444444444445</v>
      </c>
      <c r="N17" s="13">
        <f>IF('Données projet'!$A$36&gt;35,N16+M17-V16,IF(A17&lt;'Données projet'!$A$36,$K$205^A17,IF(A17='Données projet'!$A$36,'Données projet'!$B$36,N16+M17-V16)))</f>
        <v>60.89544978102343</v>
      </c>
      <c r="O17" s="13">
        <f>N17*VLOOKUP('Données projet'!$B$9,Paramètres!$A$1:$I$89,3,0)*VLOOKUP('Données projet'!$B$9,Paramètres!$A$1:$I$89,5,0)</f>
        <v>31.918958957221246</v>
      </c>
      <c r="P17" s="13">
        <f t="shared" si="33"/>
        <v>9.8294566655585118</v>
      </c>
      <c r="Q17" s="20">
        <f t="shared" si="2"/>
        <v>72.711823876341413</v>
      </c>
      <c r="R17" s="59">
        <f t="shared" si="0"/>
        <v>366.0451572096747</v>
      </c>
      <c r="S17" s="59">
        <f ca="1">AVERAGE(OFFSET($R$3,0,0,'Données projet'!$E$9+1,1))-AVERAGE(OFFSET($H$3,0,0,'Données projet'!$E$9+1,1))</f>
        <v>29.189530872116961</v>
      </c>
      <c r="T17" s="59">
        <f t="shared" si="34"/>
        <v>190.9732278276216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10.944444444444445</v>
      </c>
      <c r="N18" s="13">
        <f>IF('Données projet'!$A$36&gt;35,N17+M18-V17,IF(A18&lt;'Données projet'!$A$36,$K$205^A18,IF(A18='Données projet'!$A$36,'Données projet'!$B$36,N17+M18-V17)))</f>
        <v>81.668614609087115</v>
      </c>
      <c r="O18" s="13">
        <f>N18*VLOOKUP('Données projet'!$B$9,Paramètres!$A$1:$I$89,3,0)*VLOOKUP('Données projet'!$B$9,Paramètres!$A$1:$I$89,5,0)</f>
        <v>42.807421033499104</v>
      </c>
      <c r="P18" s="13">
        <f t="shared" si="33"/>
        <v>12.739791195891071</v>
      </c>
      <c r="Q18" s="20">
        <f t="shared" si="2"/>
        <v>96.744727966187881</v>
      </c>
      <c r="R18" s="59">
        <f t="shared" si="0"/>
        <v>390.07806129952121</v>
      </c>
      <c r="S18" s="59">
        <f ca="1">AVERAGE(OFFSET($R$3,0,0,'Données projet'!$E$9+1,1))-AVERAGE(OFFSET($H$3,0,0,'Données projet'!$E$9+1,1))</f>
        <v>29.189530872116961</v>
      </c>
      <c r="T18" s="59">
        <f t="shared" si="34"/>
        <v>190.9732278276216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10.944444444444445</v>
      </c>
      <c r="N19" s="13">
        <f>IF('Données projet'!$A$36&gt;35,N18+M19-V18,IF(A19&lt;'Données projet'!$A$36,$K$205^A19,IF(A19='Données projet'!$A$36,'Données projet'!$B$36,N18+M19-V18)))</f>
        <v>109.5280950572117</v>
      </c>
      <c r="O19" s="13">
        <f>N19*VLOOKUP('Données projet'!$B$9,Paramètres!$A$1:$I$89,3,0)*VLOOKUP('Données projet'!$B$9,Paramètres!$A$1:$I$89,5,0)</f>
        <v>57.410246305188096</v>
      </c>
      <c r="P19" s="13">
        <f t="shared" si="33"/>
        <v>16.51182616060515</v>
      </c>
      <c r="Q19" s="20">
        <f t="shared" si="2"/>
        <v>128.74760954458992</v>
      </c>
      <c r="R19" s="59">
        <f t="shared" si="0"/>
        <v>422.08094287792323</v>
      </c>
      <c r="S19" s="59">
        <f ca="1">AVERAGE(OFFSET($R$3,0,0,'Données projet'!$E$9+1,1))-AVERAGE(OFFSET($H$3,0,0,'Données projet'!$E$9+1,1))</f>
        <v>29.189530872116961</v>
      </c>
      <c r="T19" s="59">
        <f t="shared" si="34"/>
        <v>190.9732278276216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10.944444444444445</v>
      </c>
      <c r="N20" s="13">
        <f>IF('Données projet'!$A$36&gt;35,N19+M20-V19,IF(A20&lt;'Données projet'!$A$36,$K$205^A20,IF(A20='Données projet'!$A$36,'Données projet'!$B$36,N19+M20-V19)))</f>
        <v>146.89123434116377</v>
      </c>
      <c r="O20" s="13">
        <f>N20*VLOOKUP('Données projet'!$B$9,Paramètres!$A$1:$I$89,3,0)*VLOOKUP('Données projet'!$B$9,Paramètres!$A$1:$I$89,5,0)</f>
        <v>76.994509392264419</v>
      </c>
      <c r="P20" s="13">
        <f t="shared" si="33"/>
        <v>21.400696366670314</v>
      </c>
      <c r="Q20" s="20">
        <f t="shared" si="2"/>
        <v>171.37165003014465</v>
      </c>
      <c r="R20" s="59">
        <f t="shared" si="0"/>
        <v>464.70498336347794</v>
      </c>
      <c r="S20" s="59">
        <f ca="1">AVERAGE(OFFSET($R$3,0,0,'Données projet'!$E$9+1,1))-AVERAGE(OFFSET($H$3,0,0,'Données projet'!$E$9+1,1))</f>
        <v>29.189530872116961</v>
      </c>
      <c r="T20" s="59">
        <f t="shared" si="34"/>
        <v>190.9732278276216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197</v>
      </c>
      <c r="L21" s="12">
        <f>VLOOKUP(A21,'Données projet'!$A$35:$I$55,9,0)</f>
        <v>10.944444444444445</v>
      </c>
      <c r="M21" s="12">
        <f t="array" ref="M21">INDEX(L:L,MIN(IF(ISNUMBER(L21:L217),ROW(L21:L217),"")))</f>
        <v>10.944444444444445</v>
      </c>
      <c r="N21" s="13">
        <f>IF('Données projet'!$A$36&gt;35,N20+M21-V20,IF(A21&lt;'Données projet'!$A$36,$K$205^A21,IF(A21='Données projet'!$A$36,'Données projet'!$B$36,N20+M21-V20)))</f>
        <v>197</v>
      </c>
      <c r="O21" s="13">
        <f>N21*VLOOKUP('Données projet'!$B$9,Paramètres!$A$1:$I$89,3,0)*VLOOKUP('Données projet'!$B$9,Paramètres!$A$1:$I$89,5,0)</f>
        <v>103.25952000000001</v>
      </c>
      <c r="P21" s="13">
        <f t="shared" si="33"/>
        <v>27.737077687452533</v>
      </c>
      <c r="Q21" s="20">
        <f t="shared" si="2"/>
        <v>228.15240763897987</v>
      </c>
      <c r="R21" s="59">
        <f t="shared" si="0"/>
        <v>521.48574097231312</v>
      </c>
      <c r="S21" s="59">
        <f ca="1">AVERAGE(OFFSET($R$3,0,0,'Données projet'!$E$9+1,1))-AVERAGE(OFFSET($H$3,0,0,'Données projet'!$E$9+1,1))</f>
        <v>29.189530872116961</v>
      </c>
      <c r="T21" s="59">
        <f t="shared" si="34"/>
        <v>190.9732278276216</v>
      </c>
      <c r="U21" s="15" t="str">
        <f>IF(ISNA(VLOOKUP(A21,'Données projet'!$A$35:$I$55,3,0)),0,VLOOKUP(A21,'Données projet'!$A$35:$I$55,3,0))</f>
        <v>CR</v>
      </c>
      <c r="V21" s="15">
        <f>IF(ISNA(VLOOKUP(A21,'Données projet'!$A$35:$I$55,4,0)),0,VLOOKUP(A21,'Données projet'!$A$35:$I$55,4,0))</f>
        <v>197</v>
      </c>
      <c r="W21" s="16">
        <f>IF(ISNA(VLOOKUP(A21,'Données projet'!$A$35:$I$55,5,0)),0%,VLOOKUP(A21,'Données projet'!$A$35:$I$55,5,0)*VLOOKUP('Données projet'!$B$9,Paramètres!$A$1:$I$89,7,0))</f>
        <v>0.46199999999999997</v>
      </c>
      <c r="X21" s="16">
        <f>IF(ISNA(VLOOKUP(A21,'Données projet'!$A$35:$I$55,6,0)),0%,VLOOKUP(A21,'Données projet'!$A$35:$I$55,6,0)*VLOOKUP('Données projet'!$B$9,Paramètres!$A$1:$I$89,7,0))</f>
        <v>6.6000000000000003E-2</v>
      </c>
      <c r="Y21" s="16">
        <f>IF(ISNA(VLOOKUP(A21,'Données projet'!$A$35:$I$55,7,0)),0%,VLOOKUP(A21,'Données projet'!$A$35:$I$55,7,0))</f>
        <v>0.1</v>
      </c>
      <c r="Z21" s="21">
        <f>EXP(-LN(2)/35)*Z20+(1-EXP(-LN(2)/35))/(LN(2)/35)*V21*W21*VLOOKUP('Données projet'!$B$9,Paramètres!$A$1:$I$89,3,0)*0.475*44/12</f>
        <v>52.737457433333098</v>
      </c>
      <c r="AA21" s="21">
        <f>EXP(-LN(2)/25)*AA20+(1-EXP(-LN(2)/25))/(LN(2)/25)*Calculateur!V21*Calculateur!X21*VLOOKUP('Données projet'!$B$9,Paramètres!$A$1:$I$89,3,0)*0.475*44/12</f>
        <v>7.5042585669816289</v>
      </c>
      <c r="AB21" s="21">
        <f>EXP(-LN(2)/2)*AB20+(1-EXP(-LN(2)/2))/(LN(2)/2)*V21*Y21*VLOOKUP('Données projet'!$B$9,Paramètres!$A$1:$I$89,3,0)*0.475*44/12</f>
        <v>9.7428136309233384</v>
      </c>
      <c r="AC21" s="22">
        <f t="shared" si="3"/>
        <v>69.984529631238061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29.189530872116961</v>
      </c>
      <c r="T22" s="59">
        <f t="shared" si="34"/>
        <v>190.9732278276216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51.703308059738276</v>
      </c>
      <c r="AA22" s="21">
        <f>EXP(-LN(2)/25)*AA21+(1-EXP(-LN(2)/25))/(LN(2)/25)*Calculateur!V22*Calculateur!X22*VLOOKUP('Données projet'!$B$9,Paramètres!$A$1:$I$89,3,0)*0.475*44/12</f>
        <v>7.2990542218357097</v>
      </c>
      <c r="AB22" s="21">
        <f>EXP(-LN(2)/2)*AB21+(1-EXP(-LN(2)/2))/(LN(2)/2)*V22*Y22*VLOOKUP('Données projet'!$B$9,Paramètres!$A$1:$I$89,3,0)*0.475*44/12</f>
        <v>6.8892095862626217</v>
      </c>
      <c r="AC22" s="22">
        <f t="shared" si="3"/>
        <v>65.891571867836603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29.189530872116961</v>
      </c>
      <c r="T23" s="59">
        <f t="shared" si="34"/>
        <v>190.9732278276216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50.68943772459081</v>
      </c>
      <c r="AA23" s="21">
        <f>EXP(-LN(2)/25)*AA22+(1-EXP(-LN(2)/25))/(LN(2)/25)*Calculateur!V23*Calculateur!X23*VLOOKUP('Données projet'!$B$9,Paramètres!$A$1:$I$89,3,0)*0.475*44/12</f>
        <v>7.0994612002990332</v>
      </c>
      <c r="AB23" s="21">
        <f>EXP(-LN(2)/2)*AB22+(1-EXP(-LN(2)/2))/(LN(2)/2)*V23*Y23*VLOOKUP('Données projet'!$B$9,Paramètres!$A$1:$I$89,3,0)*0.475*44/12</f>
        <v>4.8714068154616692</v>
      </c>
      <c r="AC23" s="22">
        <f t="shared" si="3"/>
        <v>62.660305740351511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29.189530872116961</v>
      </c>
      <c r="T24" s="59">
        <f t="shared" si="34"/>
        <v>190.9732278276216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49.69544876831575</v>
      </c>
      <c r="AA24" s="21">
        <f>EXP(-LN(2)/25)*AA23+(1-EXP(-LN(2)/25))/(LN(2)/25)*Calculateur!V24*Calculateur!X24*VLOOKUP('Données projet'!$B$9,Paramètres!$A$1:$I$89,3,0)*0.475*44/12</f>
        <v>6.9053260604324178</v>
      </c>
      <c r="AB24" s="21">
        <f>EXP(-LN(2)/2)*AB23+(1-EXP(-LN(2)/2))/(LN(2)/2)*V24*Y24*VLOOKUP('Données projet'!$B$9,Paramètres!$A$1:$I$89,3,0)*0.475*44/12</f>
        <v>3.4446047931313108</v>
      </c>
      <c r="AC24" s="22">
        <f t="shared" si="3"/>
        <v>60.045379621879476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29.189530872116961</v>
      </c>
      <c r="T25" s="59">
        <f t="shared" si="34"/>
        <v>190.9732278276216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48.720951329199842</v>
      </c>
      <c r="AA25" s="21">
        <f>EXP(-LN(2)/25)*AA24+(1-EXP(-LN(2)/25))/(LN(2)/25)*Calculateur!V25*Calculateur!X25*VLOOKUP('Données projet'!$B$9,Paramètres!$A$1:$I$89,3,0)*0.475*44/12</f>
        <v>6.7164995561745782</v>
      </c>
      <c r="AB25" s="21">
        <f>EXP(-LN(2)/2)*AB24+(1-EXP(-LN(2)/2))/(LN(2)/2)*V25*Y25*VLOOKUP('Données projet'!$B$9,Paramètres!$A$1:$I$89,3,0)*0.475*44/12</f>
        <v>2.4357034077308346</v>
      </c>
      <c r="AC25" s="22">
        <f t="shared" si="3"/>
        <v>57.873154293105252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29.189530872116961</v>
      </c>
      <c r="T26" s="59">
        <f t="shared" si="34"/>
        <v>190.9732278276216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47.76556319048025</v>
      </c>
      <c r="AA26" s="21">
        <f>EXP(-LN(2)/25)*AA25+(1-EXP(-LN(2)/25))/(LN(2)/25)*Calculateur!V26*Calculateur!X26*VLOOKUP('Données projet'!$B$9,Paramètres!$A$1:$I$89,3,0)*0.475*44/12</f>
        <v>6.5328365226056233</v>
      </c>
      <c r="AB26" s="21">
        <f>EXP(-LN(2)/2)*AB25+(1-EXP(-LN(2)/2))/(LN(2)/2)*V26*Y26*VLOOKUP('Données projet'!$B$9,Paramètres!$A$1:$I$89,3,0)*0.475*44/12</f>
        <v>1.7223023965656554</v>
      </c>
      <c r="AC26" s="22">
        <f t="shared" si="3"/>
        <v>56.020702109651523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29.189530872116961</v>
      </c>
      <c r="T27" s="59">
        <f t="shared" si="34"/>
        <v>190.9732278276216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46.828909630431724</v>
      </c>
      <c r="AA27" s="21">
        <f>EXP(-LN(2)/25)*AA26+(1-EXP(-LN(2)/25))/(LN(2)/25)*Calculateur!V27*Calculateur!X27*VLOOKUP('Données projet'!$B$9,Paramètres!$A$1:$I$89,3,0)*0.475*44/12</f>
        <v>6.3541957643480309</v>
      </c>
      <c r="AB27" s="21">
        <f>EXP(-LN(2)/2)*AB26+(1-EXP(-LN(2)/2))/(LN(2)/2)*V27*Y27*VLOOKUP('Données projet'!$B$9,Paramètres!$A$1:$I$89,3,0)*0.475*44/12</f>
        <v>1.2178517038654173</v>
      </c>
      <c r="AC27" s="22">
        <f t="shared" si="3"/>
        <v>54.400957098645179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29.189530872116961</v>
      </c>
      <c r="T28" s="59">
        <f t="shared" si="34"/>
        <v>190.9732278276216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45.91062327539349</v>
      </c>
      <c r="AA28" s="21">
        <f>EXP(-LN(2)/25)*AA27+(1-EXP(-LN(2)/25))/(LN(2)/25)*Calculateur!V28*Calculateur!X28*VLOOKUP('Données projet'!$B$9,Paramètres!$A$1:$I$89,3,0)*0.475*44/12</f>
        <v>6.1804399470193019</v>
      </c>
      <c r="AB28" s="21">
        <f>EXP(-LN(2)/2)*AB27+(1-EXP(-LN(2)/2))/(LN(2)/2)*V28*Y28*VLOOKUP('Données projet'!$B$9,Paramètres!$A$1:$I$89,3,0)*0.475*44/12</f>
        <v>0.86115119828282771</v>
      </c>
      <c r="AC28" s="22">
        <f t="shared" si="3"/>
        <v>52.952214420695618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29.189530872116961</v>
      </c>
      <c r="T29" s="59">
        <f t="shared" si="34"/>
        <v>190.9732278276216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45.010343955678181</v>
      </c>
      <c r="AA29" s="21">
        <f>EXP(-LN(2)/25)*AA28+(1-EXP(-LN(2)/25))/(LN(2)/25)*Calculateur!V29*Calculateur!X29*VLOOKUP('Données projet'!$B$9,Paramètres!$A$1:$I$89,3,0)*0.475*44/12</f>
        <v>6.0114354916528479</v>
      </c>
      <c r="AB29" s="21">
        <f>EXP(-LN(2)/2)*AB28+(1-EXP(-LN(2)/2))/(LN(2)/2)*V29*Y29*VLOOKUP('Données projet'!$B$9,Paramètres!$A$1:$I$89,3,0)*0.475*44/12</f>
        <v>0.60892585193270865</v>
      </c>
      <c r="AC29" s="22">
        <f t="shared" si="3"/>
        <v>51.630705299263738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29.189530872116961</v>
      </c>
      <c r="T30" s="59">
        <f t="shared" si="34"/>
        <v>190.9732278276216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44.127718564306328</v>
      </c>
      <c r="AA30" s="21">
        <f>EXP(-LN(2)/25)*AA29+(1-EXP(-LN(2)/25))/(LN(2)/25)*Calculateur!V30*Calculateur!X30*VLOOKUP('Données projet'!$B$9,Paramètres!$A$1:$I$89,3,0)*0.475*44/12</f>
        <v>5.8470524720059478</v>
      </c>
      <c r="AB30" s="21">
        <f>EXP(-LN(2)/2)*AB29+(1-EXP(-LN(2)/2))/(LN(2)/2)*V30*Y30*VLOOKUP('Données projet'!$B$9,Paramètres!$A$1:$I$89,3,0)*0.475*44/12</f>
        <v>0.43057559914141386</v>
      </c>
      <c r="AC30" s="22">
        <f t="shared" si="3"/>
        <v>50.405346635453689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29.189530872116961</v>
      </c>
      <c r="T31" s="59">
        <f t="shared" si="34"/>
        <v>190.9732278276216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43.262400918510941</v>
      </c>
      <c r="AA31" s="21">
        <f>EXP(-LN(2)/25)*AA30+(1-EXP(-LN(2)/25))/(LN(2)/25)*Calculateur!V31*Calculateur!X31*VLOOKUP('Données projet'!$B$9,Paramètres!$A$1:$I$89,3,0)*0.475*44/12</f>
        <v>5.6871645146758194</v>
      </c>
      <c r="AB31" s="21">
        <f>EXP(-LN(2)/2)*AB30+(1-EXP(-LN(2)/2))/(LN(2)/2)*V31*Y31*VLOOKUP('Données projet'!$B$9,Paramètres!$A$1:$I$89,3,0)*0.475*44/12</f>
        <v>0.30446292596635433</v>
      </c>
      <c r="AC31" s="22">
        <f t="shared" si="3"/>
        <v>49.254028359153118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29.189530872116961</v>
      </c>
      <c r="T32" s="59">
        <f t="shared" si="34"/>
        <v>190.9732278276216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42.41405162395796</v>
      </c>
      <c r="AA32" s="21">
        <f>EXP(-LN(2)/25)*AA31+(1-EXP(-LN(2)/25))/(LN(2)/25)*Calculateur!V32*Calculateur!X32*VLOOKUP('Données projet'!$B$9,Paramètres!$A$1:$I$89,3,0)*0.475*44/12</f>
        <v>5.5316487019470255</v>
      </c>
      <c r="AB32" s="21">
        <f>EXP(-LN(2)/2)*AB31+(1-EXP(-LN(2)/2))/(LN(2)/2)*V32*Y32*VLOOKUP('Données projet'!$B$9,Paramètres!$A$1:$I$89,3,0)*0.475*44/12</f>
        <v>0.21528779957070693</v>
      </c>
      <c r="AC32" s="22">
        <f t="shared" si="3"/>
        <v>48.160988125475697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29.189530872116961</v>
      </c>
      <c r="T33" s="59">
        <f t="shared" si="34"/>
        <v>190.9732278276216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41.582337941629184</v>
      </c>
      <c r="AA33" s="21">
        <f>EXP(-LN(2)/25)*AA32+(1-EXP(-LN(2)/25))/(LN(2)/25)*Calculateur!V33*Calculateur!X33*VLOOKUP('Données projet'!$B$9,Paramètres!$A$1:$I$89,3,0)*0.475*44/12</f>
        <v>5.3803854772955217</v>
      </c>
      <c r="AB33" s="21">
        <f>EXP(-LN(2)/2)*AB32+(1-EXP(-LN(2)/2))/(LN(2)/2)*V33*Y33*VLOOKUP('Données projet'!$B$9,Paramètres!$A$1:$I$89,3,0)*0.475*44/12</f>
        <v>0.15223146298317716</v>
      </c>
      <c r="AC33" s="22">
        <f t="shared" si="3"/>
        <v>47.114954881907877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29.189530872116961</v>
      </c>
      <c r="T34" s="59">
        <f t="shared" si="34"/>
        <v>190.9732278276216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40.766933657315619</v>
      </c>
      <c r="AA34" s="21">
        <f>EXP(-LN(2)/25)*AA33+(1-EXP(-LN(2)/25))/(LN(2)/25)*Calculateur!V34*Calculateur!X34*VLOOKUP('Données projet'!$B$9,Paramètres!$A$1:$I$89,3,0)*0.475*44/12</f>
        <v>5.2332585534767002</v>
      </c>
      <c r="AB34" s="21">
        <f>EXP(-LN(2)/2)*AB33+(1-EXP(-LN(2)/2))/(LN(2)/2)*V34*Y34*VLOOKUP('Données projet'!$B$9,Paramètres!$A$1:$I$89,3,0)*0.475*44/12</f>
        <v>0.10764389978535346</v>
      </c>
      <c r="AC34" s="22">
        <f t="shared" si="3"/>
        <v>46.107836110577672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29.189530872116961</v>
      </c>
      <c r="T35" s="59">
        <f t="shared" si="34"/>
        <v>190.9732278276216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39.967518953669938</v>
      </c>
      <c r="AA35" s="21">
        <f>EXP(-LN(2)/25)*AA34+(1-EXP(-LN(2)/25))/(LN(2)/25)*Calculateur!V35*Calculateur!X35*VLOOKUP('Données projet'!$B$9,Paramètres!$A$1:$I$89,3,0)*0.475*44/12</f>
        <v>5.090154823126773</v>
      </c>
      <c r="AB35" s="21">
        <f>EXP(-LN(2)/2)*AB34+(1-EXP(-LN(2)/2))/(LN(2)/2)*V35*Y35*VLOOKUP('Données projet'!$B$9,Paramètres!$A$1:$I$89,3,0)*0.475*44/12</f>
        <v>7.6115731491588581E-2</v>
      </c>
      <c r="AC35" s="22">
        <f t="shared" si="3"/>
        <v>45.133789508288302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29.189530872116961</v>
      </c>
      <c r="T36" s="59">
        <f t="shared" si="34"/>
        <v>190.9732278276216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39.183780284767927</v>
      </c>
      <c r="AA36" s="21">
        <f>EXP(-LN(2)/25)*AA35+(1-EXP(-LN(2)/25))/(LN(2)/25)*Calculateur!V36*Calculateur!X36*VLOOKUP('Données projet'!$B$9,Paramètres!$A$1:$I$89,3,0)*0.475*44/12</f>
        <v>4.950964271808763</v>
      </c>
      <c r="AB36" s="21">
        <f>EXP(-LN(2)/2)*AB35+(1-EXP(-LN(2)/2))/(LN(2)/2)*V36*Y36*VLOOKUP('Données projet'!$B$9,Paramètres!$A$1:$I$89,3,0)*0.475*44/12</f>
        <v>5.3821949892676732E-2</v>
      </c>
      <c r="AC36" s="22">
        <f t="shared" si="3"/>
        <v>44.188566506469371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29.189530872116961</v>
      </c>
      <c r="T37" s="59">
        <f t="shared" si="34"/>
        <v>190.9732278276216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38.4154102531297</v>
      </c>
      <c r="AA37" s="21">
        <f>EXP(-LN(2)/25)*AA36+(1-EXP(-LN(2)/25))/(LN(2)/25)*Calculateur!V37*Calculateur!X37*VLOOKUP('Données projet'!$B$9,Paramètres!$A$1:$I$89,3,0)*0.475*44/12</f>
        <v>4.815579893436257</v>
      </c>
      <c r="AB37" s="21">
        <f>EXP(-LN(2)/2)*AB36+(1-EXP(-LN(2)/2))/(LN(2)/2)*V37*Y37*VLOOKUP('Données projet'!$B$9,Paramètres!$A$1:$I$89,3,0)*0.475*44/12</f>
        <v>3.8057865745794291E-2</v>
      </c>
      <c r="AC37" s="22">
        <f t="shared" si="3"/>
        <v>43.26904801231175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29.189530872116961</v>
      </c>
      <c r="T38" s="59">
        <f t="shared" si="34"/>
        <v>190.9732278276216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37.662107489152454</v>
      </c>
      <c r="AA38" s="21">
        <f>EXP(-LN(2)/25)*AA37+(1-EXP(-LN(2)/25))/(LN(2)/25)*Calculateur!V38*Calculateur!X38*VLOOKUP('Données projet'!$B$9,Paramètres!$A$1:$I$89,3,0)*0.475*44/12</f>
        <v>4.683897608009902</v>
      </c>
      <c r="AB38" s="21">
        <f>EXP(-LN(2)/2)*AB37+(1-EXP(-LN(2)/2))/(LN(2)/2)*V38*Y38*VLOOKUP('Données projet'!$B$9,Paramètres!$A$1:$I$89,3,0)*0.475*44/12</f>
        <v>2.6910974946338366E-2</v>
      </c>
      <c r="AC38" s="22">
        <f t="shared" si="3"/>
        <v>42.372916072108694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29.189530872116961</v>
      </c>
      <c r="T39" s="59">
        <f t="shared" si="34"/>
        <v>190.9732278276216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36.923576532907482</v>
      </c>
      <c r="AA39" s="21">
        <f>EXP(-LN(2)/25)*AA38+(1-EXP(-LN(2)/25))/(LN(2)/25)*Calculateur!V39*Calculateur!X39*VLOOKUP('Données projet'!$B$9,Paramètres!$A$1:$I$89,3,0)*0.475*44/12</f>
        <v>4.5558161816034008</v>
      </c>
      <c r="AB39" s="21">
        <f>EXP(-LN(2)/2)*AB38+(1-EXP(-LN(2)/2))/(LN(2)/2)*V39*Y39*VLOOKUP('Données projet'!$B$9,Paramètres!$A$1:$I$89,3,0)*0.475*44/12</f>
        <v>1.9028932872897145E-2</v>
      </c>
      <c r="AC39" s="22">
        <f t="shared" si="3"/>
        <v>41.498421647383779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29.189530872116961</v>
      </c>
      <c r="T40" s="59">
        <f t="shared" si="34"/>
        <v>190.9732278276216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36.199527718255069</v>
      </c>
      <c r="AA40" s="21">
        <f>EXP(-LN(2)/25)*AA39+(1-EXP(-LN(2)/25))/(LN(2)/25)*Calculateur!V40*Calculateur!X40*VLOOKUP('Données projet'!$B$9,Paramètres!$A$1:$I$89,3,0)*0.475*44/12</f>
        <v>4.4312371485374955</v>
      </c>
      <c r="AB40" s="21">
        <f>EXP(-LN(2)/2)*AB39+(1-EXP(-LN(2)/2))/(LN(2)/2)*V40*Y40*VLOOKUP('Données projet'!$B$9,Paramètres!$A$1:$I$89,3,0)*0.475*44/12</f>
        <v>1.3455487473169183E-2</v>
      </c>
      <c r="AC40" s="22">
        <f t="shared" si="3"/>
        <v>40.644220354265734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29.189530872116961</v>
      </c>
      <c r="T41" s="59">
        <f t="shared" si="34"/>
        <v>190.9732278276216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35.489677059231823</v>
      </c>
      <c r="AA41" s="21">
        <f>EXP(-LN(2)/25)*AA40+(1-EXP(-LN(2)/25))/(LN(2)/25)*Calculateur!V41*Calculateur!X41*VLOOKUP('Données projet'!$B$9,Paramètres!$A$1:$I$89,3,0)*0.475*44/12</f>
        <v>4.3100647356821034</v>
      </c>
      <c r="AB41" s="21">
        <f>EXP(-LN(2)/2)*AB40+(1-EXP(-LN(2)/2))/(LN(2)/2)*V41*Y41*VLOOKUP('Données projet'!$B$9,Paramètres!$A$1:$I$89,3,0)*0.475*44/12</f>
        <v>9.5144664364485727E-3</v>
      </c>
      <c r="AC41" s="22">
        <f t="shared" si="3"/>
        <v>39.809256261350377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29.189530872116961</v>
      </c>
      <c r="T42" s="59">
        <f t="shared" si="34"/>
        <v>190.9732278276216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34.793746138665874</v>
      </c>
      <c r="AA42" s="21">
        <f>EXP(-LN(2)/25)*AA41+(1-EXP(-LN(2)/25))/(LN(2)/25)*Calculateur!V42*Calculateur!X42*VLOOKUP('Données projet'!$B$9,Paramètres!$A$1:$I$89,3,0)*0.475*44/12</f>
        <v>4.1922057888284225</v>
      </c>
      <c r="AB42" s="21">
        <f>EXP(-LN(2)/2)*AB41+(1-EXP(-LN(2)/2))/(LN(2)/2)*V42*Y42*VLOOKUP('Données projet'!$B$9,Paramètres!$A$1:$I$89,3,0)*0.475*44/12</f>
        <v>6.7277437365845915E-3</v>
      </c>
      <c r="AC42" s="22">
        <f t="shared" si="3"/>
        <v>38.992679671230881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29.189530872116961</v>
      </c>
      <c r="T43" s="59">
        <f t="shared" si="34"/>
        <v>190.9732278276216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34.111461998976274</v>
      </c>
      <c r="AA43" s="21">
        <f>EXP(-LN(2)/25)*AA42+(1-EXP(-LN(2)/25))/(LN(2)/25)*Calculateur!V43*Calculateur!X43*VLOOKUP('Données projet'!$B$9,Paramètres!$A$1:$I$89,3,0)*0.475*44/12</f>
        <v>4.0775697010743883</v>
      </c>
      <c r="AB43" s="21">
        <f>EXP(-LN(2)/2)*AB42+(1-EXP(-LN(2)/2))/(LN(2)/2)*V43*Y43*VLOOKUP('Données projet'!$B$9,Paramètres!$A$1:$I$89,3,0)*0.475*44/12</f>
        <v>4.7572332182242863E-3</v>
      </c>
      <c r="AC43" s="22">
        <f t="shared" si="3"/>
        <v>38.193788933268884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29.189530872116961</v>
      </c>
      <c r="T44" s="59">
        <f t="shared" si="34"/>
        <v>190.9732278276216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33.442557035113751</v>
      </c>
      <c r="AA44" s="21">
        <f>EXP(-LN(2)/25)*AA43+(1-EXP(-LN(2)/25))/(LN(2)/25)*Calculateur!V44*Calculateur!X44*VLOOKUP('Données projet'!$B$9,Paramètres!$A$1:$I$89,3,0)*0.475*44/12</f>
        <v>3.966068343168438</v>
      </c>
      <c r="AB44" s="21">
        <f>EXP(-LN(2)/2)*AB43+(1-EXP(-LN(2)/2))/(LN(2)/2)*V44*Y44*VLOOKUP('Données projet'!$B$9,Paramètres!$A$1:$I$89,3,0)*0.475*44/12</f>
        <v>3.3638718682922958E-3</v>
      </c>
      <c r="AC44" s="22">
        <f t="shared" si="3"/>
        <v>37.411989250150484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29.189530872116961</v>
      </c>
      <c r="T45" s="59">
        <f t="shared" si="34"/>
        <v>190.9732278276216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32.786768889600829</v>
      </c>
      <c r="AA45" s="21">
        <f>EXP(-LN(2)/25)*AA44+(1-EXP(-LN(2)/25))/(LN(2)/25)*Calculateur!V45*Calculateur!X45*VLOOKUP('Données projet'!$B$9,Paramètres!$A$1:$I$89,3,0)*0.475*44/12</f>
        <v>3.8576159957580276</v>
      </c>
      <c r="AB45" s="21">
        <f>EXP(-LN(2)/2)*AB44+(1-EXP(-LN(2)/2))/(LN(2)/2)*V45*Y45*VLOOKUP('Données projet'!$B$9,Paramètres!$A$1:$I$89,3,0)*0.475*44/12</f>
        <v>2.3786166091121432E-3</v>
      </c>
      <c r="AC45" s="22">
        <f t="shared" si="3"/>
        <v>36.646763501967968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29.189530872116961</v>
      </c>
      <c r="T46" s="59">
        <f t="shared" si="34"/>
        <v>190.9732278276216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32.143840349630146</v>
      </c>
      <c r="AA46" s="21">
        <f>EXP(-LN(2)/25)*AA45+(1-EXP(-LN(2)/25))/(LN(2)/25)*Calculateur!V46*Calculateur!X46*VLOOKUP('Données projet'!$B$9,Paramètres!$A$1:$I$89,3,0)*0.475*44/12</f>
        <v>3.7521292834908158</v>
      </c>
      <c r="AB46" s="21">
        <f>EXP(-LN(2)/2)*AB45+(1-EXP(-LN(2)/2))/(LN(2)/2)*V46*Y46*VLOOKUP('Données projet'!$B$9,Paramètres!$A$1:$I$89,3,0)*0.475*44/12</f>
        <v>1.6819359341461479E-3</v>
      </c>
      <c r="AC46" s="22">
        <f t="shared" si="3"/>
        <v>35.897651569055107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29.189530872116961</v>
      </c>
      <c r="T47" s="59">
        <f t="shared" si="34"/>
        <v>190.9732278276216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31.5135192461806</v>
      </c>
      <c r="AA47" s="21">
        <f>EXP(-LN(2)/25)*AA46+(1-EXP(-LN(2)/25))/(LN(2)/25)*Calculateur!V47*Calculateur!X47*VLOOKUP('Données projet'!$B$9,Paramètres!$A$1:$I$89,3,0)*0.475*44/12</f>
        <v>3.6495271109178562</v>
      </c>
      <c r="AB47" s="21">
        <f>EXP(-LN(2)/2)*AB46+(1-EXP(-LN(2)/2))/(LN(2)/2)*V47*Y47*VLOOKUP('Données projet'!$B$9,Paramètres!$A$1:$I$89,3,0)*0.475*44/12</f>
        <v>1.1893083045560716E-3</v>
      </c>
      <c r="AC47" s="22">
        <f t="shared" si="3"/>
        <v>35.164235665403012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29.189530872116961</v>
      </c>
      <c r="T48" s="59">
        <f t="shared" si="34"/>
        <v>190.9732278276216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30.895558355111788</v>
      </c>
      <c r="AA48" s="21">
        <f>EXP(-LN(2)/25)*AA47+(1-EXP(-LN(2)/25))/(LN(2)/25)*Calculateur!V48*Calculateur!X48*VLOOKUP('Données projet'!$B$9,Paramètres!$A$1:$I$89,3,0)*0.475*44/12</f>
        <v>3.5497306001495179</v>
      </c>
      <c r="AB48" s="21">
        <f>EXP(-LN(2)/2)*AB47+(1-EXP(-LN(2)/2))/(LN(2)/2)*V48*Y48*VLOOKUP('Données projet'!$B$9,Paramètres!$A$1:$I$89,3,0)*0.475*44/12</f>
        <v>8.4096796707307394E-4</v>
      </c>
      <c r="AC48" s="22">
        <f t="shared" si="3"/>
        <v>34.446129923228376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29.189530872116961</v>
      </c>
      <c r="T49" s="59">
        <f t="shared" si="34"/>
        <v>190.9732278276216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30.289715300197908</v>
      </c>
      <c r="AA49" s="21">
        <f>EXP(-LN(2)/25)*AA48+(1-EXP(-LN(2)/25))/(LN(2)/25)*Calculateur!V49*Calculateur!X49*VLOOKUP('Données projet'!$B$9,Paramètres!$A$1:$I$89,3,0)*0.475*44/12</f>
        <v>3.4526630302162102</v>
      </c>
      <c r="AB49" s="21">
        <f>EXP(-LN(2)/2)*AB48+(1-EXP(-LN(2)/2))/(LN(2)/2)*V49*Y49*VLOOKUP('Données projet'!$B$9,Paramètres!$A$1:$I$89,3,0)*0.475*44/12</f>
        <v>5.9465415227803579E-4</v>
      </c>
      <c r="AC49" s="22">
        <f t="shared" si="3"/>
        <v>33.7429729845664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29.189530872116961</v>
      </c>
      <c r="T50" s="59">
        <f t="shared" si="34"/>
        <v>190.9732278276216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29.695752458063115</v>
      </c>
      <c r="AA50" s="21">
        <f>EXP(-LN(2)/25)*AA49+(1-EXP(-LN(2)/25))/(LN(2)/25)*Calculateur!V50*Calculateur!X50*VLOOKUP('Données projet'!$B$9,Paramètres!$A$1:$I$89,3,0)*0.475*44/12</f>
        <v>3.3582497780872904</v>
      </c>
      <c r="AB50" s="21">
        <f>EXP(-LN(2)/2)*AB49+(1-EXP(-LN(2)/2))/(LN(2)/2)*V50*Y50*VLOOKUP('Données projet'!$B$9,Paramètres!$A$1:$I$89,3,0)*0.475*44/12</f>
        <v>4.2048398353653697E-4</v>
      </c>
      <c r="AC50" s="22">
        <f t="shared" si="3"/>
        <v>33.054422720133942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29.189530872116961</v>
      </c>
      <c r="T51" s="59">
        <f t="shared" si="34"/>
        <v>190.9732278276216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29.113436864981026</v>
      </c>
      <c r="AA51" s="21">
        <f>EXP(-LN(2)/25)*AA50+(1-EXP(-LN(2)/25))/(LN(2)/25)*Calculateur!V51*Calculateur!X51*VLOOKUP('Données projet'!$B$9,Paramètres!$A$1:$I$89,3,0)*0.475*44/12</f>
        <v>3.266418261302813</v>
      </c>
      <c r="AB51" s="21">
        <f>EXP(-LN(2)/2)*AB50+(1-EXP(-LN(2)/2))/(LN(2)/2)*V51*Y51*VLOOKUP('Données projet'!$B$9,Paramètres!$A$1:$I$89,3,0)*0.475*44/12</f>
        <v>2.973270761390179E-4</v>
      </c>
      <c r="AC51" s="22">
        <f t="shared" si="3"/>
        <v>32.380152453359976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29.189530872116961</v>
      </c>
      <c r="T52" s="59">
        <f t="shared" si="34"/>
        <v>190.9732278276216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28.542540125501834</v>
      </c>
      <c r="AA52" s="21">
        <f>EXP(-LN(2)/25)*AA51+(1-EXP(-LN(2)/25))/(LN(2)/25)*Calculateur!V52*Calculateur!X52*VLOOKUP('Données projet'!$B$9,Paramètres!$A$1:$I$89,3,0)*0.475*44/12</f>
        <v>3.1770978821740168</v>
      </c>
      <c r="AB52" s="21">
        <f>EXP(-LN(2)/2)*AB51+(1-EXP(-LN(2)/2))/(LN(2)/2)*V52*Y52*VLOOKUP('Données projet'!$B$9,Paramètres!$A$1:$I$89,3,0)*0.475*44/12</f>
        <v>2.1024199176826848E-4</v>
      </c>
      <c r="AC52" s="22">
        <f t="shared" si="3"/>
        <v>31.719848249667621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29.189530872116961</v>
      </c>
      <c r="T53" s="59">
        <f t="shared" si="34"/>
        <v>190.9732278276216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27.982838322871199</v>
      </c>
      <c r="AA53" s="21">
        <f>EXP(-LN(2)/25)*AA52+(1-EXP(-LN(2)/25))/(LN(2)/25)*Calculateur!V53*Calculateur!X53*VLOOKUP('Données projet'!$B$9,Paramètres!$A$1:$I$89,3,0)*0.475*44/12</f>
        <v>3.0902199735096518</v>
      </c>
      <c r="AB53" s="21">
        <f>EXP(-LN(2)/2)*AB52+(1-EXP(-LN(2)/2))/(LN(2)/2)*V53*Y53*VLOOKUP('Données projet'!$B$9,Paramètres!$A$1:$I$89,3,0)*0.475*44/12</f>
        <v>1.4866353806950895E-4</v>
      </c>
      <c r="AC53" s="22">
        <f t="shared" si="3"/>
        <v>31.07320695991892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29.189530872116961</v>
      </c>
      <c r="T54" s="59">
        <f t="shared" si="34"/>
        <v>190.9732278276216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27.434111931205763</v>
      </c>
      <c r="AA54" s="21">
        <f>EXP(-LN(2)/25)*AA53+(1-EXP(-LN(2)/25))/(LN(2)/25)*Calculateur!V54*Calculateur!X54*VLOOKUP('Données projet'!$B$9,Paramètres!$A$1:$I$89,3,0)*0.475*44/12</f>
        <v>3.0057177458264248</v>
      </c>
      <c r="AB54" s="21">
        <f>EXP(-LN(2)/2)*AB53+(1-EXP(-LN(2)/2))/(LN(2)/2)*V54*Y54*VLOOKUP('Données projet'!$B$9,Paramètres!$A$1:$I$89,3,0)*0.475*44/12</f>
        <v>1.0512099588413424E-4</v>
      </c>
      <c r="AC54" s="22">
        <f t="shared" si="3"/>
        <v>30.439934798028069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29.189530872116961</v>
      </c>
      <c r="T55" s="59">
        <f t="shared" si="34"/>
        <v>190.9732278276216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26.896145729390835</v>
      </c>
      <c r="AA55" s="21">
        <f>EXP(-LN(2)/25)*AA54+(1-EXP(-LN(2)/25))/(LN(2)/25)*Calculateur!V55*Calculateur!X55*VLOOKUP('Données projet'!$B$9,Paramètres!$A$1:$I$89,3,0)*0.475*44/12</f>
        <v>2.9235262360029748</v>
      </c>
      <c r="AB55" s="21">
        <f>EXP(-LN(2)/2)*AB54+(1-EXP(-LN(2)/2))/(LN(2)/2)*V55*Y55*VLOOKUP('Données projet'!$B$9,Paramètres!$A$1:$I$89,3,0)*0.475*44/12</f>
        <v>7.4331769034754474E-5</v>
      </c>
      <c r="AC55" s="22">
        <f t="shared" si="3"/>
        <v>29.819746297162844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29.189530872116961</v>
      </c>
      <c r="T56" s="59">
        <f t="shared" si="34"/>
        <v>190.9732278276216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26.368728716666514</v>
      </c>
      <c r="AA56" s="21">
        <f>EXP(-LN(2)/25)*AA55+(1-EXP(-LN(2)/25))/(LN(2)/25)*Calculateur!V56*Calculateur!X56*VLOOKUP('Données projet'!$B$9,Paramètres!$A$1:$I$89,3,0)*0.475*44/12</f>
        <v>2.8435822573379106</v>
      </c>
      <c r="AB56" s="21">
        <f>EXP(-LN(2)/2)*AB55+(1-EXP(-LN(2)/2))/(LN(2)/2)*V56*Y56*VLOOKUP('Données projet'!$B$9,Paramètres!$A$1:$I$89,3,0)*0.475*44/12</f>
        <v>5.2560497942067121E-5</v>
      </c>
      <c r="AC56" s="22">
        <f t="shared" si="3"/>
        <v>29.212363534502366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29.189530872116961</v>
      </c>
      <c r="T57" s="59">
        <f t="shared" si="34"/>
        <v>190.9732278276216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25.851654029869103</v>
      </c>
      <c r="AA57" s="21">
        <f>EXP(-LN(2)/25)*AA56+(1-EXP(-LN(2)/25))/(LN(2)/25)*Calculateur!V57*Calculateur!X57*VLOOKUP('Données projet'!$B$9,Paramètres!$A$1:$I$89,3,0)*0.475*44/12</f>
        <v>2.7658243509735136</v>
      </c>
      <c r="AB57" s="21">
        <f>EXP(-LN(2)/2)*AB56+(1-EXP(-LN(2)/2))/(LN(2)/2)*V57*Y57*VLOOKUP('Données projet'!$B$9,Paramètres!$A$1:$I$89,3,0)*0.475*44/12</f>
        <v>3.7165884517377237E-5</v>
      </c>
      <c r="AC57" s="22">
        <f t="shared" si="3"/>
        <v>28.617515546727134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29.189530872116961</v>
      </c>
      <c r="T58" s="59">
        <f t="shared" si="34"/>
        <v>190.9732278276216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25.344718862295373</v>
      </c>
      <c r="AA58" s="21">
        <f>EXP(-LN(2)/25)*AA57+(1-EXP(-LN(2)/25))/(LN(2)/25)*Calculateur!V58*Calculateur!X58*VLOOKUP('Données projet'!$B$9,Paramètres!$A$1:$I$89,3,0)*0.475*44/12</f>
        <v>2.6901927386477618</v>
      </c>
      <c r="AB58" s="21">
        <f>EXP(-LN(2)/2)*AB57+(1-EXP(-LN(2)/2))/(LN(2)/2)*V58*Y58*VLOOKUP('Données projet'!$B$9,Paramètres!$A$1:$I$89,3,0)*0.475*44/12</f>
        <v>2.6280248971033561E-5</v>
      </c>
      <c r="AC58" s="22">
        <f t="shared" si="3"/>
        <v>28.034937881192107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29.189530872116961</v>
      </c>
      <c r="T59" s="59">
        <f t="shared" si="34"/>
        <v>190.9732278276216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24.847724384157843</v>
      </c>
      <c r="AA59" s="21">
        <f>EXP(-LN(2)/25)*AA58+(1-EXP(-LN(2)/25))/(LN(2)/25)*Calculateur!V59*Calculateur!X59*VLOOKUP('Données projet'!$B$9,Paramètres!$A$1:$I$89,3,0)*0.475*44/12</f>
        <v>2.616629276738351</v>
      </c>
      <c r="AB59" s="21">
        <f>EXP(-LN(2)/2)*AB58+(1-EXP(-LN(2)/2))/(LN(2)/2)*V59*Y59*VLOOKUP('Données projet'!$B$9,Paramètres!$A$1:$I$89,3,0)*0.475*44/12</f>
        <v>1.8582942258688618E-5</v>
      </c>
      <c r="AC59" s="22">
        <f t="shared" si="3"/>
        <v>27.464372243838451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29.189530872116961</v>
      </c>
      <c r="T60" s="59">
        <f t="shared" si="34"/>
        <v>190.9732278276216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24.360475664599889</v>
      </c>
      <c r="AA60" s="21">
        <f>EXP(-LN(2)/25)*AA59+(1-EXP(-LN(2)/25))/(LN(2)/25)*Calculateur!V60*Calculateur!X60*VLOOKUP('Données projet'!$B$9,Paramètres!$A$1:$I$89,3,0)*0.475*44/12</f>
        <v>2.5450774115633874</v>
      </c>
      <c r="AB60" s="21">
        <f>EXP(-LN(2)/2)*AB59+(1-EXP(-LN(2)/2))/(LN(2)/2)*V60*Y60*VLOOKUP('Données projet'!$B$9,Paramètres!$A$1:$I$89,3,0)*0.475*44/12</f>
        <v>1.314012448551678E-5</v>
      </c>
      <c r="AC60" s="22">
        <f t="shared" si="3"/>
        <v>26.905566216287763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29.189530872116961</v>
      </c>
      <c r="T61" s="59">
        <f t="shared" si="34"/>
        <v>190.9732278276216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23.882781595240093</v>
      </c>
      <c r="AA61" s="21">
        <f>EXP(-LN(2)/25)*AA60+(1-EXP(-LN(2)/25))/(LN(2)/25)*Calculateur!V61*Calculateur!X61*VLOOKUP('Données projet'!$B$9,Paramètres!$A$1:$I$89,3,0)*0.475*44/12</f>
        <v>2.4754821359043824</v>
      </c>
      <c r="AB61" s="21">
        <f>EXP(-LN(2)/2)*AB60+(1-EXP(-LN(2)/2))/(LN(2)/2)*V61*Y61*VLOOKUP('Données projet'!$B$9,Paramètres!$A$1:$I$89,3,0)*0.475*44/12</f>
        <v>9.2914711293443092E-6</v>
      </c>
      <c r="AC61" s="22">
        <f t="shared" si="3"/>
        <v>26.358273022615606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29.189530872116961</v>
      </c>
      <c r="T62" s="59">
        <f t="shared" si="34"/>
        <v>190.9732278276216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23.41445481521583</v>
      </c>
      <c r="AA62" s="21">
        <f>EXP(-LN(2)/25)*AA61+(1-EXP(-LN(2)/25))/(LN(2)/25)*Calculateur!V62*Calculateur!X62*VLOOKUP('Données projet'!$B$9,Paramètres!$A$1:$I$89,3,0)*0.475*44/12</f>
        <v>2.4077899467181294</v>
      </c>
      <c r="AB62" s="21">
        <f>EXP(-LN(2)/2)*AB61+(1-EXP(-LN(2)/2))/(LN(2)/2)*V62*Y62*VLOOKUP('Données projet'!$B$9,Paramètres!$A$1:$I$89,3,0)*0.475*44/12</f>
        <v>6.5700622427583901E-6</v>
      </c>
      <c r="AC62" s="22">
        <f t="shared" si="3"/>
        <v>25.822251331996203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29.189530872116961</v>
      </c>
      <c r="T63" s="59">
        <f t="shared" si="34"/>
        <v>190.9732278276216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22.955311637696713</v>
      </c>
      <c r="AA63" s="21">
        <f>EXP(-LN(2)/25)*AA62+(1-EXP(-LN(2)/25))/(LN(2)/25)*Calculateur!V63*Calculateur!X63*VLOOKUP('Données projet'!$B$9,Paramètres!$A$1:$I$89,3,0)*0.475*44/12</f>
        <v>2.3419488040049519</v>
      </c>
      <c r="AB63" s="21">
        <f>EXP(-LN(2)/2)*AB62+(1-EXP(-LN(2)/2))/(LN(2)/2)*V63*Y63*VLOOKUP('Données projet'!$B$9,Paramètres!$A$1:$I$89,3,0)*0.475*44/12</f>
        <v>4.6457355646721546E-6</v>
      </c>
      <c r="AC63" s="22">
        <f t="shared" si="3"/>
        <v>25.297265087437232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29.189530872116961</v>
      </c>
      <c r="T64" s="59">
        <f t="shared" si="34"/>
        <v>190.9732278276216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22.505171977839062</v>
      </c>
      <c r="AA64" s="21">
        <f>EXP(-LN(2)/25)*AA63+(1-EXP(-LN(2)/25))/(LN(2)/25)*Calculateur!V64*Calculateur!X64*VLOOKUP('Données projet'!$B$9,Paramètres!$A$1:$I$89,3,0)*0.475*44/12</f>
        <v>2.2779080908017013</v>
      </c>
      <c r="AB64" s="21">
        <f>EXP(-LN(2)/2)*AB63+(1-EXP(-LN(2)/2))/(LN(2)/2)*V64*Y64*VLOOKUP('Données projet'!$B$9,Paramètres!$A$1:$I$89,3,0)*0.475*44/12</f>
        <v>3.2850311213791951E-6</v>
      </c>
      <c r="AC64" s="22">
        <f t="shared" si="3"/>
        <v>24.783083353671884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29.189530872116961</v>
      </c>
      <c r="T65" s="59">
        <f t="shared" si="34"/>
        <v>190.9732278276216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22.063859282153135</v>
      </c>
      <c r="AA65" s="21">
        <f>EXP(-LN(2)/25)*AA64+(1-EXP(-LN(2)/25))/(LN(2)/25)*Calculateur!V65*Calculateur!X65*VLOOKUP('Données projet'!$B$9,Paramètres!$A$1:$I$89,3,0)*0.475*44/12</f>
        <v>2.2156185742687486</v>
      </c>
      <c r="AB65" s="21">
        <f>EXP(-LN(2)/2)*AB64+(1-EXP(-LN(2)/2))/(LN(2)/2)*V65*Y65*VLOOKUP('Données projet'!$B$9,Paramètres!$A$1:$I$89,3,0)*0.475*44/12</f>
        <v>2.3228677823360773E-6</v>
      </c>
      <c r="AC65" s="22">
        <f t="shared" si="3"/>
        <v>24.279480179289667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29.189530872116961</v>
      </c>
      <c r="T66" s="59">
        <f t="shared" si="34"/>
        <v>190.9732278276216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21.631200459255446</v>
      </c>
      <c r="AA66" s="21">
        <f>EXP(-LN(2)/25)*AA65+(1-EXP(-LN(2)/25))/(LN(2)/25)*Calculateur!V66*Calculateur!X66*VLOOKUP('Données projet'!$B$9,Paramètres!$A$1:$I$89,3,0)*0.475*44/12</f>
        <v>2.1550323678410526</v>
      </c>
      <c r="AB66" s="21">
        <f>EXP(-LN(2)/2)*AB65+(1-EXP(-LN(2)/2))/(LN(2)/2)*V66*Y66*VLOOKUP('Données projet'!$B$9,Paramètres!$A$1:$I$89,3,0)*0.475*44/12</f>
        <v>1.6425155606895975E-6</v>
      </c>
      <c r="AC66" s="22">
        <f t="shared" si="3"/>
        <v>23.786234469612058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29.189530872116961</v>
      </c>
      <c r="T67" s="59">
        <f t="shared" si="34"/>
        <v>190.9732278276216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21.207025811978955</v>
      </c>
      <c r="AA67" s="21">
        <f>EXP(-LN(2)/25)*AA66+(1-EXP(-LN(2)/25))/(LN(2)/25)*Calculateur!V67*Calculateur!X67*VLOOKUP('Données projet'!$B$9,Paramètres!$A$1:$I$89,3,0)*0.475*44/12</f>
        <v>2.0961028944142122</v>
      </c>
      <c r="AB67" s="21">
        <f>EXP(-LN(2)/2)*AB66+(1-EXP(-LN(2)/2))/(LN(2)/2)*V67*Y67*VLOOKUP('Données projet'!$B$9,Paramètres!$A$1:$I$89,3,0)*0.475*44/12</f>
        <v>1.1614338911680387E-6</v>
      </c>
      <c r="AC67" s="22">
        <f t="shared" si="3"/>
        <v>23.303129867827057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29.189530872116961</v>
      </c>
      <c r="T68" s="59">
        <f t="shared" si="34"/>
        <v>190.9732278276216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20.791168970814567</v>
      </c>
      <c r="AA68" s="21">
        <f>EXP(-LN(2)/25)*AA67+(1-EXP(-LN(2)/25))/(LN(2)/25)*Calculateur!V68*Calculateur!X68*VLOOKUP('Données projet'!$B$9,Paramètres!$A$1:$I$89,3,0)*0.475*44/12</f>
        <v>2.038784850537195</v>
      </c>
      <c r="AB68" s="21">
        <f>EXP(-LN(2)/2)*AB67+(1-EXP(-LN(2)/2))/(LN(2)/2)*V68*Y68*VLOOKUP('Données projet'!$B$9,Paramètres!$A$1:$I$89,3,0)*0.475*44/12</f>
        <v>8.2125778034479877E-7</v>
      </c>
      <c r="AC68" s="22">
        <f t="shared" ref="AC68:AC131" si="57">SUM(Z68:AB68)</f>
        <v>22.829954642609543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29.189530872116961</v>
      </c>
      <c r="T69" s="59">
        <f t="shared" ref="T69:T132" si="88">$T$3</f>
        <v>190.9732278276216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20.383466828657784</v>
      </c>
      <c r="AA69" s="21">
        <f>EXP(-LN(2)/25)*AA68+(1-EXP(-LN(2)/25))/(LN(2)/25)*Calculateur!V69*Calculateur!X69*VLOOKUP('Données projet'!$B$9,Paramètres!$A$1:$I$89,3,0)*0.475*44/12</f>
        <v>1.9830341715842199</v>
      </c>
      <c r="AB69" s="21">
        <f>EXP(-LN(2)/2)*AB68+(1-EXP(-LN(2)/2))/(LN(2)/2)*V69*Y69*VLOOKUP('Données projet'!$B$9,Paramètres!$A$1:$I$89,3,0)*0.475*44/12</f>
        <v>5.8071694558401933E-7</v>
      </c>
      <c r="AC69" s="22">
        <f t="shared" si="57"/>
        <v>22.36650158095895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29.189530872116961</v>
      </c>
      <c r="T70" s="59">
        <f t="shared" si="88"/>
        <v>190.9732278276216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19.983759476834944</v>
      </c>
      <c r="AA70" s="21">
        <f>EXP(-LN(2)/25)*AA69+(1-EXP(-LN(2)/25))/(LN(2)/25)*Calculateur!V70*Calculateur!X70*VLOOKUP('Données projet'!$B$9,Paramètres!$A$1:$I$89,3,0)*0.475*44/12</f>
        <v>1.9288079978790147</v>
      </c>
      <c r="AB70" s="21">
        <f>EXP(-LN(2)/2)*AB69+(1-EXP(-LN(2)/2))/(LN(2)/2)*V70*Y70*VLOOKUP('Données projet'!$B$9,Paramètres!$A$1:$I$89,3,0)*0.475*44/12</f>
        <v>4.1062889017239938E-7</v>
      </c>
      <c r="AC70" s="22">
        <f t="shared" si="57"/>
        <v>21.912567885342849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29.189530872116961</v>
      </c>
      <c r="T71" s="59">
        <f t="shared" si="88"/>
        <v>190.9732278276216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19.591890142383939</v>
      </c>
      <c r="AA71" s="21">
        <f>EXP(-LN(2)/25)*AA70+(1-EXP(-LN(2)/25))/(LN(2)/25)*Calculateur!V71*Calculateur!X71*VLOOKUP('Données projet'!$B$9,Paramètres!$A$1:$I$89,3,0)*0.475*44/12</f>
        <v>1.8760646417454088</v>
      </c>
      <c r="AB71" s="21">
        <f>EXP(-LN(2)/2)*AB70+(1-EXP(-LN(2)/2))/(LN(2)/2)*V71*Y71*VLOOKUP('Données projet'!$B$9,Paramètres!$A$1:$I$89,3,0)*0.475*44/12</f>
        <v>2.9035847279200966E-7</v>
      </c>
      <c r="AC71" s="22">
        <f t="shared" si="57"/>
        <v>21.467955074487818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29.189530872116961</v>
      </c>
      <c r="T72" s="59">
        <f t="shared" si="88"/>
        <v>190.9732278276216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19.207705126564825</v>
      </c>
      <c r="AA72" s="21">
        <f>EXP(-LN(2)/25)*AA71+(1-EXP(-LN(2)/25))/(LN(2)/25)*Calculateur!V72*Calculateur!X72*VLOOKUP('Données projet'!$B$9,Paramètres!$A$1:$I$89,3,0)*0.475*44/12</f>
        <v>1.8247635554589288</v>
      </c>
      <c r="AB72" s="21">
        <f>EXP(-LN(2)/2)*AB71+(1-EXP(-LN(2)/2))/(LN(2)/2)*V72*Y72*VLOOKUP('Données projet'!$B$9,Paramètres!$A$1:$I$89,3,0)*0.475*44/12</f>
        <v>2.0531444508619969E-7</v>
      </c>
      <c r="AC72" s="22">
        <f t="shared" si="57"/>
        <v>21.032468887338201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29.189530872116961</v>
      </c>
      <c r="T73" s="59">
        <f t="shared" si="88"/>
        <v>190.9732278276216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18.831053744576202</v>
      </c>
      <c r="AA73" s="21">
        <f>EXP(-LN(2)/25)*AA72+(1-EXP(-LN(2)/25))/(LN(2)/25)*Calculateur!V73*Calculateur!X73*VLOOKUP('Données projet'!$B$9,Paramètres!$A$1:$I$89,3,0)*0.475*44/12</f>
        <v>1.7748653000747596</v>
      </c>
      <c r="AB73" s="21">
        <f>EXP(-LN(2)/2)*AB72+(1-EXP(-LN(2)/2))/(LN(2)/2)*V73*Y73*VLOOKUP('Données projet'!$B$9,Paramètres!$A$1:$I$89,3,0)*0.475*44/12</f>
        <v>1.4517923639600483E-7</v>
      </c>
      <c r="AC73" s="22">
        <f t="shared" si="57"/>
        <v>20.605919189830196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29.189530872116961</v>
      </c>
      <c r="T74" s="59">
        <f t="shared" si="88"/>
        <v>190.9732278276216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18.461788266453716</v>
      </c>
      <c r="AA74" s="21">
        <f>EXP(-LN(2)/25)*AA73+(1-EXP(-LN(2)/25))/(LN(2)/25)*Calculateur!V74*Calculateur!X74*VLOOKUP('Données projet'!$B$9,Paramètres!$A$1:$I$89,3,0)*0.475*44/12</f>
        <v>1.7263315151081058</v>
      </c>
      <c r="AB74" s="21">
        <f>EXP(-LN(2)/2)*AB73+(1-EXP(-LN(2)/2))/(LN(2)/2)*V74*Y74*VLOOKUP('Données projet'!$B$9,Paramètres!$A$1:$I$89,3,0)*0.475*44/12</f>
        <v>1.0265722254309985E-7</v>
      </c>
      <c r="AC74" s="22">
        <f t="shared" si="57"/>
        <v>20.188119884219045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29.189530872116961</v>
      </c>
      <c r="T75" s="59">
        <f t="shared" si="88"/>
        <v>190.9732278276216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18.099763859127513</v>
      </c>
      <c r="AA75" s="21">
        <f>EXP(-LN(2)/25)*AA74+(1-EXP(-LN(2)/25))/(LN(2)/25)*Calculateur!V75*Calculateur!X75*VLOOKUP('Données projet'!$B$9,Paramètres!$A$1:$I$89,3,0)*0.475*44/12</f>
        <v>1.6791248890436459</v>
      </c>
      <c r="AB75" s="21">
        <f>EXP(-LN(2)/2)*AB74+(1-EXP(-LN(2)/2))/(LN(2)/2)*V75*Y75*VLOOKUP('Données projet'!$B$9,Paramètres!$A$1:$I$89,3,0)*0.475*44/12</f>
        <v>7.2589618198002416E-8</v>
      </c>
      <c r="AC75" s="22">
        <f t="shared" si="57"/>
        <v>19.778888820760777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29.189530872116961</v>
      </c>
      <c r="T76" s="59">
        <f t="shared" si="88"/>
        <v>190.9732278276216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17.74483852961589</v>
      </c>
      <c r="AA76" s="21">
        <f>EXP(-LN(2)/25)*AA75+(1-EXP(-LN(2)/25))/(LN(2)/25)*Calculateur!V76*Calculateur!X76*VLOOKUP('Données projet'!$B$9,Paramètres!$A$1:$I$89,3,0)*0.475*44/12</f>
        <v>1.6332091306514072</v>
      </c>
      <c r="AB76" s="21">
        <f>EXP(-LN(2)/2)*AB75+(1-EXP(-LN(2)/2))/(LN(2)/2)*V76*Y76*VLOOKUP('Données projet'!$B$9,Paramètres!$A$1:$I$89,3,0)*0.475*44/12</f>
        <v>5.1328611271549923E-8</v>
      </c>
      <c r="AC76" s="22">
        <f t="shared" si="57"/>
        <v>19.378047711595912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29.189530872116961</v>
      </c>
      <c r="T77" s="59">
        <f t="shared" si="88"/>
        <v>190.9732278276216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17.396873069332916</v>
      </c>
      <c r="AA77" s="21">
        <f>EXP(-LN(2)/25)*AA76+(1-EXP(-LN(2)/25))/(LN(2)/25)*Calculateur!V77*Calculateur!X77*VLOOKUP('Données projet'!$B$9,Paramètres!$A$1:$I$89,3,0)*0.475*44/12</f>
        <v>1.5885489410870091</v>
      </c>
      <c r="AB77" s="21">
        <f>EXP(-LN(2)/2)*AB76+(1-EXP(-LN(2)/2))/(LN(2)/2)*V77*Y77*VLOOKUP('Données projet'!$B$9,Paramètres!$A$1:$I$89,3,0)*0.475*44/12</f>
        <v>3.6294809099001208E-8</v>
      </c>
      <c r="AC77" s="22">
        <f t="shared" si="57"/>
        <v>18.985422046714735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29.189530872116961</v>
      </c>
      <c r="T78" s="59">
        <f t="shared" si="88"/>
        <v>190.9732278276216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17.055730999488116</v>
      </c>
      <c r="AA78" s="21">
        <f>EXP(-LN(2)/25)*AA77+(1-EXP(-LN(2)/25))/(LN(2)/25)*Calculateur!V78*Calculateur!X78*VLOOKUP('Données projet'!$B$9,Paramètres!$A$1:$I$89,3,0)*0.475*44/12</f>
        <v>1.5451099867548266</v>
      </c>
      <c r="AB78" s="21">
        <f>EXP(-LN(2)/2)*AB77+(1-EXP(-LN(2)/2))/(LN(2)/2)*V78*Y78*VLOOKUP('Données projet'!$B$9,Paramètres!$A$1:$I$89,3,0)*0.475*44/12</f>
        <v>2.5664305635774961E-8</v>
      </c>
      <c r="AC78" s="22">
        <f t="shared" si="57"/>
        <v>18.600841011907249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29.189530872116961</v>
      </c>
      <c r="T79" s="59">
        <f t="shared" si="88"/>
        <v>190.9732278276216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16.721278517556854</v>
      </c>
      <c r="AA79" s="21">
        <f>EXP(-LN(2)/25)*AA78+(1-EXP(-LN(2)/25))/(LN(2)/25)*Calculateur!V79*Calculateur!X79*VLOOKUP('Données projet'!$B$9,Paramètres!$A$1:$I$89,3,0)*0.475*44/12</f>
        <v>1.5028588729132131</v>
      </c>
      <c r="AB79" s="21">
        <f>EXP(-LN(2)/2)*AB78+(1-EXP(-LN(2)/2))/(LN(2)/2)*V79*Y79*VLOOKUP('Données projet'!$B$9,Paramètres!$A$1:$I$89,3,0)*0.475*44/12</f>
        <v>1.8147404549500604E-8</v>
      </c>
      <c r="AC79" s="22">
        <f t="shared" si="57"/>
        <v>18.224137408617469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29.189530872116961</v>
      </c>
      <c r="T80" s="59">
        <f t="shared" si="88"/>
        <v>190.9732278276216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16.393384444800397</v>
      </c>
      <c r="AA80" s="21">
        <f>EXP(-LN(2)/25)*AA79+(1-EXP(-LN(2)/25))/(LN(2)/25)*Calculateur!V80*Calculateur!X80*VLOOKUP('Données projet'!$B$9,Paramètres!$A$1:$I$89,3,0)*0.475*44/12</f>
        <v>1.4617631180014881</v>
      </c>
      <c r="AB80" s="21">
        <f>EXP(-LN(2)/2)*AB79+(1-EXP(-LN(2)/2))/(LN(2)/2)*V80*Y80*VLOOKUP('Données projet'!$B$9,Paramètres!$A$1:$I$89,3,0)*0.475*44/12</f>
        <v>1.2832152817887481E-8</v>
      </c>
      <c r="AC80" s="22">
        <f t="shared" si="57"/>
        <v>17.855147575634039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29.189530872116961</v>
      </c>
      <c r="T81" s="59">
        <f t="shared" si="88"/>
        <v>190.9732278276216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16.071920174815055</v>
      </c>
      <c r="AA81" s="21">
        <f>EXP(-LN(2)/25)*AA80+(1-EXP(-LN(2)/25))/(LN(2)/25)*Calculateur!V81*Calculateur!X81*VLOOKUP('Données projet'!$B$9,Paramètres!$A$1:$I$89,3,0)*0.475*44/12</f>
        <v>1.421791128668956</v>
      </c>
      <c r="AB81" s="21">
        <f>EXP(-LN(2)/2)*AB80+(1-EXP(-LN(2)/2))/(LN(2)/2)*V81*Y81*VLOOKUP('Données projet'!$B$9,Paramètres!$A$1:$I$89,3,0)*0.475*44/12</f>
        <v>9.073702274750302E-9</v>
      </c>
      <c r="AC81" s="22">
        <f t="shared" si="57"/>
        <v>17.493711312557714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29.189530872116961</v>
      </c>
      <c r="T82" s="59">
        <f t="shared" si="88"/>
        <v>190.9732278276216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15.756759623090282</v>
      </c>
      <c r="AA82" s="21">
        <f>EXP(-LN(2)/25)*AA81+(1-EXP(-LN(2)/25))/(LN(2)/25)*Calculateur!V82*Calculateur!X82*VLOOKUP('Données projet'!$B$9,Paramètres!$A$1:$I$89,3,0)*0.475*44/12</f>
        <v>1.3829121754867575</v>
      </c>
      <c r="AB82" s="21">
        <f>EXP(-LN(2)/2)*AB81+(1-EXP(-LN(2)/2))/(LN(2)/2)*V82*Y82*VLOOKUP('Données projet'!$B$9,Paramètres!$A$1:$I$89,3,0)*0.475*44/12</f>
        <v>6.4160764089437404E-9</v>
      </c>
      <c r="AC82" s="22">
        <f t="shared" si="57"/>
        <v>17.139671804993117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29.189530872116961</v>
      </c>
      <c r="T83" s="59">
        <f t="shared" si="88"/>
        <v>190.9732278276216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15.447779177555876</v>
      </c>
      <c r="AA83" s="21">
        <f>EXP(-LN(2)/25)*AA82+(1-EXP(-LN(2)/25))/(LN(2)/25)*Calculateur!V83*Calculateur!X83*VLOOKUP('Données projet'!$B$9,Paramètres!$A$1:$I$89,3,0)*0.475*44/12</f>
        <v>1.3450963693238815</v>
      </c>
      <c r="AB83" s="21">
        <f>EXP(-LN(2)/2)*AB82+(1-EXP(-LN(2)/2))/(LN(2)/2)*V83*Y83*VLOOKUP('Données projet'!$B$9,Paramètres!$A$1:$I$89,3,0)*0.475*44/12</f>
        <v>4.536851137375151E-9</v>
      </c>
      <c r="AC83" s="22">
        <f t="shared" si="57"/>
        <v>16.792875551416607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29.189530872116961</v>
      </c>
      <c r="T84" s="59">
        <f t="shared" si="88"/>
        <v>190.9732278276216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15.144857650098938</v>
      </c>
      <c r="AA84" s="21">
        <f>EXP(-LN(2)/25)*AA83+(1-EXP(-LN(2)/25))/(LN(2)/25)*Calculateur!V84*Calculateur!X84*VLOOKUP('Données projet'!$B$9,Paramètres!$A$1:$I$89,3,0)*0.475*44/12</f>
        <v>1.3083146383691762</v>
      </c>
      <c r="AB84" s="21">
        <f>EXP(-LN(2)/2)*AB83+(1-EXP(-LN(2)/2))/(LN(2)/2)*V84*Y84*VLOOKUP('Données projet'!$B$9,Paramètres!$A$1:$I$89,3,0)*0.475*44/12</f>
        <v>3.2080382044718702E-9</v>
      </c>
      <c r="AC84" s="22">
        <f t="shared" si="57"/>
        <v>16.45317229167615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29.189530872116961</v>
      </c>
      <c r="T85" s="59">
        <f t="shared" si="88"/>
        <v>190.9732278276216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14.847876229031542</v>
      </c>
      <c r="AA85" s="21">
        <f>EXP(-LN(2)/25)*AA84+(1-EXP(-LN(2)/25))/(LN(2)/25)*Calculateur!V85*Calculateur!X85*VLOOKUP('Données projet'!$B$9,Paramètres!$A$1:$I$89,3,0)*0.475*44/12</f>
        <v>1.2725387057816944</v>
      </c>
      <c r="AB85" s="21">
        <f>EXP(-LN(2)/2)*AB84+(1-EXP(-LN(2)/2))/(LN(2)/2)*V85*Y85*VLOOKUP('Données projet'!$B$9,Paramètres!$A$1:$I$89,3,0)*0.475*44/12</f>
        <v>2.2684255686875755E-9</v>
      </c>
      <c r="AC85" s="22">
        <f t="shared" si="57"/>
        <v>16.120414937081662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29.189530872116961</v>
      </c>
      <c r="T86" s="59">
        <f t="shared" si="88"/>
        <v>190.9732278276216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14.556718432490497</v>
      </c>
      <c r="AA86" s="21">
        <f>EXP(-LN(2)/25)*AA85+(1-EXP(-LN(2)/25))/(LN(2)/25)*Calculateur!V86*Calculateur!X86*VLOOKUP('Données projet'!$B$9,Paramètres!$A$1:$I$89,3,0)*0.475*44/12</f>
        <v>1.2377410679521919</v>
      </c>
      <c r="AB86" s="21">
        <f>EXP(-LN(2)/2)*AB85+(1-EXP(-LN(2)/2))/(LN(2)/2)*V86*Y86*VLOOKUP('Données projet'!$B$9,Paramètres!$A$1:$I$89,3,0)*0.475*44/12</f>
        <v>1.6040191022359351E-9</v>
      </c>
      <c r="AC86" s="22">
        <f t="shared" si="57"/>
        <v>15.794459502046706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29.189530872116961</v>
      </c>
      <c r="T87" s="59">
        <f t="shared" si="88"/>
        <v>190.9732278276216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14.271270062750901</v>
      </c>
      <c r="AA87" s="21">
        <f>EXP(-LN(2)/25)*AA86+(1-EXP(-LN(2)/25))/(LN(2)/25)*Calculateur!V87*Calculateur!X87*VLOOKUP('Données projet'!$B$9,Paramètres!$A$1:$I$89,3,0)*0.475*44/12</f>
        <v>1.2038949733590654</v>
      </c>
      <c r="AB87" s="21">
        <f>EXP(-LN(2)/2)*AB86+(1-EXP(-LN(2)/2))/(LN(2)/2)*V87*Y87*VLOOKUP('Données projet'!$B$9,Paramètres!$A$1:$I$89,3,0)*0.475*44/12</f>
        <v>1.1342127843437877E-9</v>
      </c>
      <c r="AC87" s="22">
        <f t="shared" si="57"/>
        <v>15.47516503724418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29.189530872116961</v>
      </c>
      <c r="T88" s="59">
        <f t="shared" si="88"/>
        <v>190.9732278276216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13.991419161435585</v>
      </c>
      <c r="AA88" s="21">
        <f>EXP(-LN(2)/25)*AA87+(1-EXP(-LN(2)/25))/(LN(2)/25)*Calculateur!V88*Calculateur!X88*VLOOKUP('Données projet'!$B$9,Paramètres!$A$1:$I$89,3,0)*0.475*44/12</f>
        <v>1.1709744020024766</v>
      </c>
      <c r="AB88" s="21">
        <f>EXP(-LN(2)/2)*AB87+(1-EXP(-LN(2)/2))/(LN(2)/2)*V88*Y88*VLOOKUP('Données projet'!$B$9,Paramètres!$A$1:$I$89,3,0)*0.475*44/12</f>
        <v>8.0200955111796755E-10</v>
      </c>
      <c r="AC88" s="22">
        <f t="shared" si="57"/>
        <v>15.162393564240071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29.189530872116961</v>
      </c>
      <c r="T89" s="59">
        <f t="shared" si="88"/>
        <v>190.9732278276216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13.717055965602867</v>
      </c>
      <c r="AA89" s="21">
        <f>EXP(-LN(2)/25)*AA88+(1-EXP(-LN(2)/25))/(LN(2)/25)*Calculateur!V89*Calculateur!X89*VLOOKUP('Données projet'!$B$9,Paramètres!$A$1:$I$89,3,0)*0.475*44/12</f>
        <v>1.1389540454008513</v>
      </c>
      <c r="AB89" s="21">
        <f>EXP(-LN(2)/2)*AB88+(1-EXP(-LN(2)/2))/(LN(2)/2)*V89*Y89*VLOOKUP('Données projet'!$B$9,Paramètres!$A$1:$I$89,3,0)*0.475*44/12</f>
        <v>5.6710639217189387E-10</v>
      </c>
      <c r="AC89" s="22">
        <f t="shared" si="57"/>
        <v>14.856010011570826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29.189530872116961</v>
      </c>
      <c r="T90" s="59">
        <f t="shared" si="88"/>
        <v>190.9732278276216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13.448072864695403</v>
      </c>
      <c r="AA90" s="21">
        <f>EXP(-LN(2)/25)*AA89+(1-EXP(-LN(2)/25))/(LN(2)/25)*Calculateur!V90*Calculateur!X90*VLOOKUP('Données projet'!$B$9,Paramètres!$A$1:$I$89,3,0)*0.475*44/12</f>
        <v>1.107809287134375</v>
      </c>
      <c r="AB90" s="21">
        <f>EXP(-LN(2)/2)*AB89+(1-EXP(-LN(2)/2))/(LN(2)/2)*V90*Y90*VLOOKUP('Données projet'!$B$9,Paramètres!$A$1:$I$89,3,0)*0.475*44/12</f>
        <v>4.0100477555898377E-10</v>
      </c>
      <c r="AC90" s="22">
        <f t="shared" si="57"/>
        <v>14.555882152230783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29.189530872116961</v>
      </c>
      <c r="T91" s="59">
        <f t="shared" si="88"/>
        <v>190.9732278276216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13.184364358333243</v>
      </c>
      <c r="AA91" s="21">
        <f>EXP(-LN(2)/25)*AA90+(1-EXP(-LN(2)/25))/(LN(2)/25)*Calculateur!V91*Calculateur!X91*VLOOKUP('Données projet'!$B$9,Paramètres!$A$1:$I$89,3,0)*0.475*44/12</f>
        <v>1.0775161839205269</v>
      </c>
      <c r="AB91" s="21">
        <f>EXP(-LN(2)/2)*AB90+(1-EXP(-LN(2)/2))/(LN(2)/2)*V91*Y91*VLOOKUP('Données projet'!$B$9,Paramètres!$A$1:$I$89,3,0)*0.475*44/12</f>
        <v>2.8355319608594694E-10</v>
      </c>
      <c r="AC91" s="22">
        <f t="shared" si="57"/>
        <v>14.261880542537323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29.189530872116961</v>
      </c>
      <c r="T92" s="59">
        <f t="shared" si="88"/>
        <v>190.9732278276216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12.925827014934537</v>
      </c>
      <c r="AA92" s="21">
        <f>EXP(-LN(2)/25)*AA91+(1-EXP(-LN(2)/25))/(LN(2)/25)*Calculateur!V92*Calculateur!X92*VLOOKUP('Données projet'!$B$9,Paramètres!$A$1:$I$89,3,0)*0.475*44/12</f>
        <v>1.0480514472071067</v>
      </c>
      <c r="AB92" s="21">
        <f>EXP(-LN(2)/2)*AB91+(1-EXP(-LN(2)/2))/(LN(2)/2)*V92*Y92*VLOOKUP('Données projet'!$B$9,Paramètres!$A$1:$I$89,3,0)*0.475*44/12</f>
        <v>2.0050238777949189E-10</v>
      </c>
      <c r="AC92" s="22">
        <f t="shared" si="57"/>
        <v>13.973878462342146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29.189530872116961</v>
      </c>
      <c r="T93" s="59">
        <f t="shared" si="88"/>
        <v>190.9732278276216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12.672359431147672</v>
      </c>
      <c r="AA93" s="21">
        <f>EXP(-LN(2)/25)*AA92+(1-EXP(-LN(2)/25))/(LN(2)/25)*Calculateur!V93*Calculateur!X93*VLOOKUP('Données projet'!$B$9,Paramètres!$A$1:$I$89,3,0)*0.475*44/12</f>
        <v>1.0193924252685982</v>
      </c>
      <c r="AB93" s="21">
        <f>EXP(-LN(2)/2)*AB92+(1-EXP(-LN(2)/2))/(LN(2)/2)*V93*Y93*VLOOKUP('Données projet'!$B$9,Paramètres!$A$1:$I$89,3,0)*0.475*44/12</f>
        <v>1.4177659804297347E-10</v>
      </c>
      <c r="AC93" s="22">
        <f t="shared" si="57"/>
        <v>13.691751856558048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29.189530872116961</v>
      </c>
      <c r="T94" s="59">
        <f t="shared" si="88"/>
        <v>190.9732278276216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12.423862192078907</v>
      </c>
      <c r="AA94" s="21">
        <f>EXP(-LN(2)/25)*AA93+(1-EXP(-LN(2)/25))/(LN(2)/25)*Calculateur!V94*Calculateur!X94*VLOOKUP('Données projet'!$B$9,Paramètres!$A$1:$I$89,3,0)*0.475*44/12</f>
        <v>0.99151708579211062</v>
      </c>
      <c r="AB94" s="21">
        <f>EXP(-LN(2)/2)*AB93+(1-EXP(-LN(2)/2))/(LN(2)/2)*V94*Y94*VLOOKUP('Données projet'!$B$9,Paramètres!$A$1:$I$89,3,0)*0.475*44/12</f>
        <v>1.0025119388974594E-10</v>
      </c>
      <c r="AC94" s="22">
        <f t="shared" si="57"/>
        <v>13.415379277971269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29.189530872116961</v>
      </c>
      <c r="T95" s="59">
        <f t="shared" si="88"/>
        <v>190.9732278276216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12.18023783229993</v>
      </c>
      <c r="AA95" s="21">
        <f>EXP(-LN(2)/25)*AA94+(1-EXP(-LN(2)/25))/(LN(2)/25)*Calculateur!V95*Calculateur!X95*VLOOKUP('Données projet'!$B$9,Paramètres!$A$1:$I$89,3,0)*0.475*44/12</f>
        <v>0.9644039989395079</v>
      </c>
      <c r="AB95" s="21">
        <f>EXP(-LN(2)/2)*AB94+(1-EXP(-LN(2)/2))/(LN(2)/2)*V95*Y95*VLOOKUP('Données projet'!$B$9,Paramètres!$A$1:$I$89,3,0)*0.475*44/12</f>
        <v>7.0888299021486734E-11</v>
      </c>
      <c r="AC95" s="22">
        <f t="shared" si="57"/>
        <v>13.144641831310327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29.189530872116961</v>
      </c>
      <c r="T96" s="59">
        <f t="shared" si="88"/>
        <v>190.9732278276216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11.941390797620032</v>
      </c>
      <c r="AA96" s="21">
        <f>EXP(-LN(2)/25)*AA95+(1-EXP(-LN(2)/25))/(LN(2)/25)*Calculateur!V96*Calculateur!X96*VLOOKUP('Données projet'!$B$9,Paramètres!$A$1:$I$89,3,0)*0.475*44/12</f>
        <v>0.93803232087270494</v>
      </c>
      <c r="AB96" s="21">
        <f>EXP(-LN(2)/2)*AB95+(1-EXP(-LN(2)/2))/(LN(2)/2)*V96*Y96*VLOOKUP('Données projet'!$B$9,Paramètres!$A$1:$I$89,3,0)*0.475*44/12</f>
        <v>5.0125596944872972E-11</v>
      </c>
      <c r="AC96" s="22">
        <f t="shared" si="57"/>
        <v>12.879423118542862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29.189530872116961</v>
      </c>
      <c r="T97" s="59">
        <f t="shared" si="88"/>
        <v>190.9732278276216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11.707227407607901</v>
      </c>
      <c r="AA97" s="21">
        <f>EXP(-LN(2)/25)*AA96+(1-EXP(-LN(2)/25))/(LN(2)/25)*Calculateur!V97*Calculateur!X97*VLOOKUP('Données projet'!$B$9,Paramètres!$A$1:$I$89,3,0)*0.475*44/12</f>
        <v>0.91238177772946494</v>
      </c>
      <c r="AB97" s="21">
        <f>EXP(-LN(2)/2)*AB96+(1-EXP(-LN(2)/2))/(LN(2)/2)*V97*Y97*VLOOKUP('Données projet'!$B$9,Paramètres!$A$1:$I$89,3,0)*0.475*44/12</f>
        <v>3.5444149510743367E-11</v>
      </c>
      <c r="AC97" s="22">
        <f t="shared" si="57"/>
        <v>12.619609185372809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29.189530872116961</v>
      </c>
      <c r="T98" s="59">
        <f t="shared" si="88"/>
        <v>190.9732278276216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11.477655818848342</v>
      </c>
      <c r="AA98" s="21">
        <f>EXP(-LN(2)/25)*AA97+(1-EXP(-LN(2)/25))/(LN(2)/25)*Calculateur!V98*Calculateur!X98*VLOOKUP('Données projet'!$B$9,Paramètres!$A$1:$I$89,3,0)*0.475*44/12</f>
        <v>0.88743265003738026</v>
      </c>
      <c r="AB98" s="21">
        <f>EXP(-LN(2)/2)*AB97+(1-EXP(-LN(2)/2))/(LN(2)/2)*V98*Y98*VLOOKUP('Données projet'!$B$9,Paramètres!$A$1:$I$89,3,0)*0.475*44/12</f>
        <v>2.5062798472436486E-11</v>
      </c>
      <c r="AC98" s="22">
        <f t="shared" si="57"/>
        <v>12.365088468910786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29.189530872116961</v>
      </c>
      <c r="T99" s="59">
        <f t="shared" si="88"/>
        <v>190.9732278276216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11.252585988919517</v>
      </c>
      <c r="AA99" s="21">
        <f>EXP(-LN(2)/25)*AA98+(1-EXP(-LN(2)/25))/(LN(2)/25)*Calculateur!V99*Calculateur!X99*VLOOKUP('Données projet'!$B$9,Paramètres!$A$1:$I$89,3,0)*0.475*44/12</f>
        <v>0.86316575755405334</v>
      </c>
      <c r="AB99" s="21">
        <f>EXP(-LN(2)/2)*AB98+(1-EXP(-LN(2)/2))/(LN(2)/2)*V99*Y99*VLOOKUP('Données projet'!$B$9,Paramètres!$A$1:$I$89,3,0)*0.475*44/12</f>
        <v>1.7722074755371684E-11</v>
      </c>
      <c r="AC99" s="22">
        <f t="shared" si="57"/>
        <v>12.115751746491293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29.189530872116961</v>
      </c>
      <c r="T100" s="59">
        <f t="shared" si="88"/>
        <v>190.9732278276216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11.031929641076553</v>
      </c>
      <c r="AA100" s="21">
        <f>EXP(-LN(2)/25)*AA99+(1-EXP(-LN(2)/25))/(LN(2)/25)*Calculateur!V100*Calculateur!X100*VLOOKUP('Données projet'!$B$9,Paramètres!$A$1:$I$89,3,0)*0.475*44/12</f>
        <v>0.83956244452182338</v>
      </c>
      <c r="AB100" s="21">
        <f>EXP(-LN(2)/2)*AB99+(1-EXP(-LN(2)/2))/(LN(2)/2)*V100*Y100*VLOOKUP('Données projet'!$B$9,Paramètres!$A$1:$I$89,3,0)*0.475*44/12</f>
        <v>1.2531399236218243E-11</v>
      </c>
      <c r="AC100" s="22">
        <f t="shared" si="57"/>
        <v>11.871492085610909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29.189530872116961</v>
      </c>
      <c r="T101" s="59">
        <f t="shared" si="88"/>
        <v>190.9732278276216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10.815600229627709</v>
      </c>
      <c r="AA101" s="21">
        <f>EXP(-LN(2)/25)*AA100+(1-EXP(-LN(2)/25))/(LN(2)/25)*Calculateur!V101*Calculateur!X101*VLOOKUP('Données projet'!$B$9,Paramètres!$A$1:$I$89,3,0)*0.475*44/12</f>
        <v>0.81660456532570402</v>
      </c>
      <c r="AB101" s="21">
        <f>EXP(-LN(2)/2)*AB100+(1-EXP(-LN(2)/2))/(LN(2)/2)*V101*Y101*VLOOKUP('Données projet'!$B$9,Paramètres!$A$1:$I$89,3,0)*0.475*44/12</f>
        <v>8.8610373776858418E-12</v>
      </c>
      <c r="AC101" s="22">
        <f t="shared" si="57"/>
        <v>11.632204794962274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29.189530872116961</v>
      </c>
      <c r="T102" s="59">
        <f t="shared" si="88"/>
        <v>190.9732278276216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10.603512905989463</v>
      </c>
      <c r="AA102" s="21">
        <f>EXP(-LN(2)/25)*AA101+(1-EXP(-LN(2)/25))/(LN(2)/25)*Calculateur!V102*Calculateur!X102*VLOOKUP('Données projet'!$B$9,Paramètres!$A$1:$I$89,3,0)*0.475*44/12</f>
        <v>0.79427447054350497</v>
      </c>
      <c r="AB102" s="21">
        <f>EXP(-LN(2)/2)*AB101+(1-EXP(-LN(2)/2))/(LN(2)/2)*V102*Y102*VLOOKUP('Données projet'!$B$9,Paramètres!$A$1:$I$89,3,0)*0.475*44/12</f>
        <v>6.2656996181091215E-12</v>
      </c>
      <c r="AC102" s="22">
        <f t="shared" si="57"/>
        <v>11.397787376539233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29.189530872116961</v>
      </c>
      <c r="T103" s="59">
        <f t="shared" si="88"/>
        <v>190.9732278276216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10.395584485407269</v>
      </c>
      <c r="AA103" s="21">
        <f>EXP(-LN(2)/25)*AA102+(1-EXP(-LN(2)/25))/(LN(2)/25)*Calculateur!V103*Calculateur!X103*VLOOKUP('Données projet'!$B$9,Paramètres!$A$1:$I$89,3,0)*0.475*44/12</f>
        <v>0.77255499337741373</v>
      </c>
      <c r="AB103" s="21">
        <f>EXP(-LN(2)/2)*AB102+(1-EXP(-LN(2)/2))/(LN(2)/2)*V103*Y103*VLOOKUP('Données projet'!$B$9,Paramètres!$A$1:$I$89,3,0)*0.475*44/12</f>
        <v>4.4305186888429209E-12</v>
      </c>
      <c r="AC103" s="22">
        <f t="shared" si="57"/>
        <v>11.168139478789113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29.189530872116961</v>
      </c>
      <c r="T104" s="59">
        <f t="shared" si="88"/>
        <v>190.9732278276216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10.191733414328878</v>
      </c>
      <c r="AA104" s="21">
        <f>EXP(-LN(2)/25)*AA103+(1-EXP(-LN(2)/25))/(LN(2)/25)*Calculateur!V104*Calculateur!X104*VLOOKUP('Données projet'!$B$9,Paramètres!$A$1:$I$89,3,0)*0.475*44/12</f>
        <v>0.75142943645660698</v>
      </c>
      <c r="AB104" s="21">
        <f>EXP(-LN(2)/2)*AB103+(1-EXP(-LN(2)/2))/(LN(2)/2)*V104*Y104*VLOOKUP('Données projet'!$B$9,Paramètres!$A$1:$I$89,3,0)*0.475*44/12</f>
        <v>3.1328498090545607E-12</v>
      </c>
      <c r="AC104" s="22">
        <f t="shared" si="57"/>
        <v>10.943162850788619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29.189530872116961</v>
      </c>
      <c r="T105" s="59">
        <f t="shared" si="88"/>
        <v>190.9732278276216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9.9918797384174578</v>
      </c>
      <c r="AA105" s="21">
        <f>EXP(-LN(2)/25)*AA104+(1-EXP(-LN(2)/25))/(LN(2)/25)*Calculateur!V105*Calculateur!X105*VLOOKUP('Données projet'!$B$9,Paramètres!$A$1:$I$89,3,0)*0.475*44/12</f>
        <v>0.73088155900074436</v>
      </c>
      <c r="AB105" s="21">
        <f>EXP(-LN(2)/2)*AB104+(1-EXP(-LN(2)/2))/(LN(2)/2)*V105*Y105*VLOOKUP('Données projet'!$B$9,Paramètres!$A$1:$I$89,3,0)*0.475*44/12</f>
        <v>2.2152593444214604E-12</v>
      </c>
      <c r="AC105" s="22">
        <f t="shared" si="57"/>
        <v>10.722761297420417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29.189530872116961</v>
      </c>
      <c r="T106" s="59">
        <f t="shared" si="88"/>
        <v>190.9732278276216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9.7959450711919551</v>
      </c>
      <c r="AA106" s="21">
        <f>EXP(-LN(2)/25)*AA105+(1-EXP(-LN(2)/25))/(LN(2)/25)*Calculateur!V106*Calculateur!X106*VLOOKUP('Données projet'!$B$9,Paramètres!$A$1:$I$89,3,0)*0.475*44/12</f>
        <v>0.71089556433447831</v>
      </c>
      <c r="AB106" s="21">
        <f>EXP(-LN(2)/2)*AB105+(1-EXP(-LN(2)/2))/(LN(2)/2)*V106*Y106*VLOOKUP('Données projet'!$B$9,Paramètres!$A$1:$I$89,3,0)*0.475*44/12</f>
        <v>1.5664249045272804E-12</v>
      </c>
      <c r="AC106" s="22">
        <f t="shared" si="57"/>
        <v>10.506840635528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29.189530872116961</v>
      </c>
      <c r="T107" s="59">
        <f t="shared" si="88"/>
        <v>190.9732278276216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9.6038525632823983</v>
      </c>
      <c r="AA107" s="21">
        <f>EXP(-LN(2)/25)*AA106+(1-EXP(-LN(2)/25))/(LN(2)/25)*Calculateur!V107*Calculateur!X107*VLOOKUP('Données projet'!$B$9,Paramètres!$A$1:$I$89,3,0)*0.475*44/12</f>
        <v>0.69145608774337908</v>
      </c>
      <c r="AB107" s="21">
        <f>EXP(-LN(2)/2)*AB106+(1-EXP(-LN(2)/2))/(LN(2)/2)*V107*Y107*VLOOKUP('Données projet'!$B$9,Paramètres!$A$1:$I$89,3,0)*0.475*44/12</f>
        <v>1.1076296722107302E-12</v>
      </c>
      <c r="AC107" s="22">
        <f t="shared" si="57"/>
        <v>10.295308651026886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29.189530872116961</v>
      </c>
      <c r="T108" s="59">
        <f t="shared" si="88"/>
        <v>190.9732278276216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9.4155268722880869</v>
      </c>
      <c r="AA108" s="21">
        <f>EXP(-LN(2)/25)*AA107+(1-EXP(-LN(2)/25))/(LN(2)/25)*Calculateur!V108*Calculateur!X108*VLOOKUP('Données projet'!$B$9,Paramètres!$A$1:$I$89,3,0)*0.475*44/12</f>
        <v>0.67254818466194111</v>
      </c>
      <c r="AB108" s="21">
        <f>EXP(-LN(2)/2)*AB107+(1-EXP(-LN(2)/2))/(LN(2)/2)*V108*Y108*VLOOKUP('Données projet'!$B$9,Paramètres!$A$1:$I$89,3,0)*0.475*44/12</f>
        <v>7.8321245226364018E-13</v>
      </c>
      <c r="AC108" s="22">
        <f t="shared" si="57"/>
        <v>10.088075056950812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29.189530872116961</v>
      </c>
      <c r="T109" s="59">
        <f t="shared" si="88"/>
        <v>190.9732278276216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9.2308941332268457</v>
      </c>
      <c r="AA109" s="21">
        <f>EXP(-LN(2)/25)*AA108+(1-EXP(-LN(2)/25))/(LN(2)/25)*Calculateur!V109*Calculateur!X109*VLOOKUP('Données projet'!$B$9,Paramètres!$A$1:$I$89,3,0)*0.475*44/12</f>
        <v>0.65415731918458841</v>
      </c>
      <c r="AB109" s="21">
        <f>EXP(-LN(2)/2)*AB108+(1-EXP(-LN(2)/2))/(LN(2)/2)*V109*Y109*VLOOKUP('Données projet'!$B$9,Paramètres!$A$1:$I$89,3,0)*0.475*44/12</f>
        <v>5.5381483610536511E-13</v>
      </c>
      <c r="AC109" s="22">
        <f t="shared" si="57"/>
        <v>9.8850514524119877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29.189530872116961</v>
      </c>
      <c r="T110" s="59">
        <f t="shared" si="88"/>
        <v>190.9732278276216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9.0498819295637443</v>
      </c>
      <c r="AA110" s="21">
        <f>EXP(-LN(2)/25)*AA109+(1-EXP(-LN(2)/25))/(LN(2)/25)*Calculateur!V110*Calculateur!X110*VLOOKUP('Données projet'!$B$9,Paramètres!$A$1:$I$89,3,0)*0.475*44/12</f>
        <v>0.63626935289084752</v>
      </c>
      <c r="AB110" s="21">
        <f>EXP(-LN(2)/2)*AB109+(1-EXP(-LN(2)/2))/(LN(2)/2)*V110*Y110*VLOOKUP('Données projet'!$B$9,Paramètres!$A$1:$I$89,3,0)*0.475*44/12</f>
        <v>3.9160622613182009E-13</v>
      </c>
      <c r="AC110" s="22">
        <f t="shared" si="57"/>
        <v>9.6861512824549827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29.189530872116961</v>
      </c>
      <c r="T111" s="59">
        <f t="shared" si="88"/>
        <v>190.9732278276216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8.8724192648079327</v>
      </c>
      <c r="AA111" s="21">
        <f>EXP(-LN(2)/25)*AA110+(1-EXP(-LN(2)/25))/(LN(2)/25)*Calculateur!V111*Calculateur!X111*VLOOKUP('Données projet'!$B$9,Paramètres!$A$1:$I$89,3,0)*0.475*44/12</f>
        <v>0.61887053397609626</v>
      </c>
      <c r="AB111" s="21">
        <f>EXP(-LN(2)/2)*AB110+(1-EXP(-LN(2)/2))/(LN(2)/2)*V111*Y111*VLOOKUP('Données projet'!$B$9,Paramètres!$A$1:$I$89,3,0)*0.475*44/12</f>
        <v>2.7690741805268256E-13</v>
      </c>
      <c r="AC111" s="22">
        <f t="shared" si="57"/>
        <v>9.4912897987843063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29.189530872116961</v>
      </c>
      <c r="T112" s="59">
        <f t="shared" si="88"/>
        <v>190.9732278276216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8.6984365346664454</v>
      </c>
      <c r="AA112" s="21">
        <f>EXP(-LN(2)/25)*AA111+(1-EXP(-LN(2)/25))/(LN(2)/25)*Calculateur!V112*Calculateur!X112*VLOOKUP('Données projet'!$B$9,Paramètres!$A$1:$I$89,3,0)*0.475*44/12</f>
        <v>0.60194748667953302</v>
      </c>
      <c r="AB112" s="21">
        <f>EXP(-LN(2)/2)*AB111+(1-EXP(-LN(2)/2))/(LN(2)/2)*V112*Y112*VLOOKUP('Données projet'!$B$9,Paramètres!$A$1:$I$89,3,0)*0.475*44/12</f>
        <v>1.9580311306591005E-13</v>
      </c>
      <c r="AC112" s="22">
        <f t="shared" si="57"/>
        <v>9.3003840213461739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29.189530872116961</v>
      </c>
      <c r="T113" s="59">
        <f t="shared" si="88"/>
        <v>190.9732278276216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8.5278654997440455</v>
      </c>
      <c r="AA113" s="21">
        <f>EXP(-LN(2)/25)*AA112+(1-EXP(-LN(2)/25))/(LN(2)/25)*Calculateur!V113*Calculateur!X113*VLOOKUP('Données projet'!$B$9,Paramètres!$A$1:$I$89,3,0)*0.475*44/12</f>
        <v>0.58548720100123863</v>
      </c>
      <c r="AB113" s="21">
        <f>EXP(-LN(2)/2)*AB112+(1-EXP(-LN(2)/2))/(LN(2)/2)*V113*Y113*VLOOKUP('Données projet'!$B$9,Paramètres!$A$1:$I$89,3,0)*0.475*44/12</f>
        <v>1.3845370902634128E-13</v>
      </c>
      <c r="AC113" s="22">
        <f t="shared" si="57"/>
        <v>9.1133527007454234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29.189530872116961</v>
      </c>
      <c r="T114" s="59">
        <f t="shared" si="88"/>
        <v>190.9732278276216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8.3606392587784164</v>
      </c>
      <c r="AA114" s="21">
        <f>EXP(-LN(2)/25)*AA113+(1-EXP(-LN(2)/25))/(LN(2)/25)*Calculateur!V114*Calculateur!X114*VLOOKUP('Données projet'!$B$9,Paramètres!$A$1:$I$89,3,0)*0.475*44/12</f>
        <v>0.56947702270042599</v>
      </c>
      <c r="AB114" s="21">
        <f>EXP(-LN(2)/2)*AB113+(1-EXP(-LN(2)/2))/(LN(2)/2)*V114*Y114*VLOOKUP('Données projet'!$B$9,Paramètres!$A$1:$I$89,3,0)*0.475*44/12</f>
        <v>9.7901556532955023E-14</v>
      </c>
      <c r="AC114" s="22">
        <f t="shared" si="57"/>
        <v>8.9301162814789397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29.189530872116961</v>
      </c>
      <c r="T115" s="59">
        <f t="shared" si="88"/>
        <v>190.9732278276216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8.1966922224001877</v>
      </c>
      <c r="AA115" s="21">
        <f>EXP(-LN(2)/25)*AA114+(1-EXP(-LN(2)/25))/(LN(2)/25)*Calculateur!V115*Calculateur!X115*VLOOKUP('Données projet'!$B$9,Paramètres!$A$1:$I$89,3,0)*0.475*44/12</f>
        <v>0.55390464356718783</v>
      </c>
      <c r="AB115" s="21">
        <f>EXP(-LN(2)/2)*AB114+(1-EXP(-LN(2)/2))/(LN(2)/2)*V115*Y115*VLOOKUP('Données projet'!$B$9,Paramètres!$A$1:$I$89,3,0)*0.475*44/12</f>
        <v>6.9226854513170639E-14</v>
      </c>
      <c r="AC115" s="22">
        <f t="shared" si="57"/>
        <v>8.7505968659674451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29.189530872116961</v>
      </c>
      <c r="T116" s="59">
        <f t="shared" si="88"/>
        <v>190.9732278276216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8.035960087407517</v>
      </c>
      <c r="AA116" s="21">
        <f>EXP(-LN(2)/25)*AA115+(1-EXP(-LN(2)/25))/(LN(2)/25)*Calculateur!V116*Calculateur!X116*VLOOKUP('Données projet'!$B$9,Paramètres!$A$1:$I$89,3,0)*0.475*44/12</f>
        <v>0.53875809196026381</v>
      </c>
      <c r="AB116" s="21">
        <f>EXP(-LN(2)/2)*AB115+(1-EXP(-LN(2)/2))/(LN(2)/2)*V116*Y116*VLOOKUP('Données projet'!$B$9,Paramètres!$A$1:$I$89,3,0)*0.475*44/12</f>
        <v>4.8950778266477511E-14</v>
      </c>
      <c r="AC116" s="22">
        <f t="shared" si="57"/>
        <v>8.5747181793678298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29.189530872116961</v>
      </c>
      <c r="T117" s="59">
        <f t="shared" si="88"/>
        <v>190.9732278276216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7.8783798115451305</v>
      </c>
      <c r="AA117" s="21">
        <f>EXP(-LN(2)/25)*AA116+(1-EXP(-LN(2)/25))/(LN(2)/25)*Calculateur!V117*Calculateur!X117*VLOOKUP('Données projet'!$B$9,Paramètres!$A$1:$I$89,3,0)*0.475*44/12</f>
        <v>0.52402572360355371</v>
      </c>
      <c r="AB117" s="21">
        <f>EXP(-LN(2)/2)*AB116+(1-EXP(-LN(2)/2))/(LN(2)/2)*V117*Y117*VLOOKUP('Données projet'!$B$9,Paramètres!$A$1:$I$89,3,0)*0.475*44/12</f>
        <v>3.4613427256585319E-14</v>
      </c>
      <c r="AC117" s="22">
        <f t="shared" si="57"/>
        <v>8.4024055351487181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29.189530872116961</v>
      </c>
      <c r="T118" s="59">
        <f t="shared" si="88"/>
        <v>190.9732278276216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7.7238895887779275</v>
      </c>
      <c r="AA118" s="21">
        <f>EXP(-LN(2)/25)*AA117+(1-EXP(-LN(2)/25))/(LN(2)/25)*Calculateur!V118*Calculateur!X118*VLOOKUP('Données projet'!$B$9,Paramètres!$A$1:$I$89,3,0)*0.475*44/12</f>
        <v>0.50969621263429943</v>
      </c>
      <c r="AB118" s="21">
        <f>EXP(-LN(2)/2)*AB117+(1-EXP(-LN(2)/2))/(LN(2)/2)*V118*Y118*VLOOKUP('Données projet'!$B$9,Paramètres!$A$1:$I$89,3,0)*0.475*44/12</f>
        <v>2.4475389133238756E-14</v>
      </c>
      <c r="AC118" s="22">
        <f t="shared" si="57"/>
        <v>8.2335858014122518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29.189530872116961</v>
      </c>
      <c r="T119" s="59">
        <f t="shared" si="88"/>
        <v>190.9732278276216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7.5724288250494585</v>
      </c>
      <c r="AA119" s="21">
        <f>EXP(-LN(2)/25)*AA118+(1-EXP(-LN(2)/25))/(LN(2)/25)*Calculateur!V119*Calculateur!X119*VLOOKUP('Données projet'!$B$9,Paramètres!$A$1:$I$89,3,0)*0.475*44/12</f>
        <v>0.49575854289605559</v>
      </c>
      <c r="AB119" s="21">
        <f>EXP(-LN(2)/2)*AB118+(1-EXP(-LN(2)/2))/(LN(2)/2)*V119*Y119*VLOOKUP('Données projet'!$B$9,Paramètres!$A$1:$I$89,3,0)*0.475*44/12</f>
        <v>1.730671362829266E-14</v>
      </c>
      <c r="AC119" s="22">
        <f t="shared" si="57"/>
        <v>8.0681873679455318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29.189530872116961</v>
      </c>
      <c r="T120" s="59">
        <f t="shared" si="88"/>
        <v>190.9732278276216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7.423938114515761</v>
      </c>
      <c r="AA120" s="21">
        <f>EXP(-LN(2)/25)*AA119+(1-EXP(-LN(2)/25))/(LN(2)/25)*Calculateur!V120*Calculateur!X120*VLOOKUP('Données projet'!$B$9,Paramètres!$A$1:$I$89,3,0)*0.475*44/12</f>
        <v>0.48220199946975423</v>
      </c>
      <c r="AB120" s="21">
        <f>EXP(-LN(2)/2)*AB119+(1-EXP(-LN(2)/2))/(LN(2)/2)*V120*Y120*VLOOKUP('Données projet'!$B$9,Paramètres!$A$1:$I$89,3,0)*0.475*44/12</f>
        <v>1.2237694566619378E-14</v>
      </c>
      <c r="AC120" s="22">
        <f t="shared" si="57"/>
        <v>7.9061401139855274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29.189530872116961</v>
      </c>
      <c r="T121" s="59">
        <f t="shared" si="88"/>
        <v>190.9732278276216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7.2783592162452386</v>
      </c>
      <c r="AA121" s="21">
        <f>EXP(-LN(2)/25)*AA120+(1-EXP(-LN(2)/25))/(LN(2)/25)*Calculateur!V121*Calculateur!X121*VLOOKUP('Données projet'!$B$9,Paramètres!$A$1:$I$89,3,0)*0.475*44/12</f>
        <v>0.46901616043635275</v>
      </c>
      <c r="AB121" s="21">
        <f>EXP(-LN(2)/2)*AB120+(1-EXP(-LN(2)/2))/(LN(2)/2)*V121*Y121*VLOOKUP('Données projet'!$B$9,Paramètres!$A$1:$I$89,3,0)*0.475*44/12</f>
        <v>8.6533568141463299E-15</v>
      </c>
      <c r="AC121" s="22">
        <f t="shared" si="57"/>
        <v>7.7473753766816005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29.189530872116961</v>
      </c>
      <c r="T122" s="59">
        <f t="shared" si="88"/>
        <v>190.9732278276216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7.1356350313754406</v>
      </c>
      <c r="AA122" s="21">
        <f>EXP(-LN(2)/25)*AA121+(1-EXP(-LN(2)/25))/(LN(2)/25)*Calculateur!V122*Calculateur!X122*VLOOKUP('Données projet'!$B$9,Paramètres!$A$1:$I$89,3,0)*0.475*44/12</f>
        <v>0.45619088886473275</v>
      </c>
      <c r="AB122" s="21">
        <f>EXP(-LN(2)/2)*AB121+(1-EXP(-LN(2)/2))/(LN(2)/2)*V122*Y122*VLOOKUP('Données projet'!$B$9,Paramètres!$A$1:$I$89,3,0)*0.475*44/12</f>
        <v>6.1188472833096889E-15</v>
      </c>
      <c r="AC122" s="22">
        <f t="shared" si="57"/>
        <v>7.5918259202401792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29.189530872116961</v>
      </c>
      <c r="T123" s="59">
        <f t="shared" si="88"/>
        <v>190.9732278276216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6.9957095807177829</v>
      </c>
      <c r="AA123" s="21">
        <f>EXP(-LN(2)/25)*AA122+(1-EXP(-LN(2)/25))/(LN(2)/25)*Calculateur!V123*Calculateur!X123*VLOOKUP('Données projet'!$B$9,Paramètres!$A$1:$I$89,3,0)*0.475*44/12</f>
        <v>0.44371632501869041</v>
      </c>
      <c r="AB123" s="21">
        <f>EXP(-LN(2)/2)*AB122+(1-EXP(-LN(2)/2))/(LN(2)/2)*V123*Y123*VLOOKUP('Données projet'!$B$9,Paramètres!$A$1:$I$89,3,0)*0.475*44/12</f>
        <v>4.3266784070731649E-15</v>
      </c>
      <c r="AC123" s="22">
        <f t="shared" si="57"/>
        <v>7.4394259057364778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29.189530872116961</v>
      </c>
      <c r="T124" s="59">
        <f t="shared" si="88"/>
        <v>190.9732278276216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6.8585279828014238</v>
      </c>
      <c r="AA124" s="21">
        <f>EXP(-LN(2)/25)*AA123+(1-EXP(-LN(2)/25))/(LN(2)/25)*Calculateur!V124*Calculateur!X124*VLOOKUP('Données projet'!$B$9,Paramètres!$A$1:$I$89,3,0)*0.475*44/12</f>
        <v>0.43158287877702689</v>
      </c>
      <c r="AB124" s="21">
        <f>EXP(-LN(2)/2)*AB123+(1-EXP(-LN(2)/2))/(LN(2)/2)*V124*Y124*VLOOKUP('Données projet'!$B$9,Paramètres!$A$1:$I$89,3,0)*0.475*44/12</f>
        <v>3.0594236416548445E-15</v>
      </c>
      <c r="AC124" s="22">
        <f t="shared" si="57"/>
        <v>7.2901108615784533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29.189530872116961</v>
      </c>
      <c r="T125" s="59">
        <f t="shared" si="88"/>
        <v>190.9732278276216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6.7240364323476918</v>
      </c>
      <c r="AA125" s="21">
        <f>EXP(-LN(2)/25)*AA124+(1-EXP(-LN(2)/25))/(LN(2)/25)*Calculateur!V125*Calculateur!X125*VLOOKUP('Données projet'!$B$9,Paramètres!$A$1:$I$89,3,0)*0.475*44/12</f>
        <v>0.41978122226091191</v>
      </c>
      <c r="AB125" s="21">
        <f>EXP(-LN(2)/2)*AB124+(1-EXP(-LN(2)/2))/(LN(2)/2)*V125*Y125*VLOOKUP('Données projet'!$B$9,Paramètres!$A$1:$I$89,3,0)*0.475*44/12</f>
        <v>2.1633392035365825E-15</v>
      </c>
      <c r="AC125" s="22">
        <f t="shared" si="57"/>
        <v>7.1438176546086058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29.189530872116961</v>
      </c>
      <c r="T126" s="59">
        <f t="shared" si="88"/>
        <v>190.9732278276216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6.5921821791666115</v>
      </c>
      <c r="AA126" s="21">
        <f>EXP(-LN(2)/25)*AA125+(1-EXP(-LN(2)/25))/(LN(2)/25)*Calculateur!V126*Calculateur!X126*VLOOKUP('Données projet'!$B$9,Paramètres!$A$1:$I$89,3,0)*0.475*44/12</f>
        <v>0.40830228266285223</v>
      </c>
      <c r="AB126" s="21">
        <f>EXP(-LN(2)/2)*AB125+(1-EXP(-LN(2)/2))/(LN(2)/2)*V126*Y126*VLOOKUP('Données projet'!$B$9,Paramètres!$A$1:$I$89,3,0)*0.475*44/12</f>
        <v>1.5297118208274222E-15</v>
      </c>
      <c r="AC126" s="22">
        <f t="shared" si="57"/>
        <v>7.0004844618294655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29.189530872116961</v>
      </c>
      <c r="T127" s="59">
        <f t="shared" si="88"/>
        <v>190.9732278276216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6.4629135074672588</v>
      </c>
      <c r="AA127" s="21">
        <f>EXP(-LN(2)/25)*AA126+(1-EXP(-LN(2)/25))/(LN(2)/25)*Calculateur!V127*Calculateur!X127*VLOOKUP('Données projet'!$B$9,Paramètres!$A$1:$I$89,3,0)*0.475*44/12</f>
        <v>0.39713723527175271</v>
      </c>
      <c r="AB127" s="21">
        <f>EXP(-LN(2)/2)*AB126+(1-EXP(-LN(2)/2))/(LN(2)/2)*V127*Y127*VLOOKUP('Données projet'!$B$9,Paramètres!$A$1:$I$89,3,0)*0.475*44/12</f>
        <v>1.0816696017682912E-15</v>
      </c>
      <c r="AC127" s="22">
        <f t="shared" si="57"/>
        <v>6.8600507427390127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29.189530872116961</v>
      </c>
      <c r="T128" s="59">
        <f t="shared" si="88"/>
        <v>190.9732278276216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6.3361797155738264</v>
      </c>
      <c r="AA128" s="21">
        <f>EXP(-LN(2)/25)*AA127+(1-EXP(-LN(2)/25))/(LN(2)/25)*Calculateur!V128*Calculateur!X128*VLOOKUP('Données projet'!$B$9,Paramètres!$A$1:$I$89,3,0)*0.475*44/12</f>
        <v>0.38627749668870709</v>
      </c>
      <c r="AB128" s="21">
        <f>EXP(-LN(2)/2)*AB127+(1-EXP(-LN(2)/2))/(LN(2)/2)*V128*Y128*VLOOKUP('Données projet'!$B$9,Paramètres!$A$1:$I$89,3,0)*0.475*44/12</f>
        <v>7.6485591041371112E-16</v>
      </c>
      <c r="AC128" s="22">
        <f t="shared" si="57"/>
        <v>6.7224572122625341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29.189530872116961</v>
      </c>
      <c r="T129" s="59">
        <f t="shared" si="88"/>
        <v>190.9732278276216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6.2119310960394438</v>
      </c>
      <c r="AA129" s="21">
        <f>EXP(-LN(2)/25)*AA128+(1-EXP(-LN(2)/25))/(LN(2)/25)*Calculateur!V129*Calculateur!X129*VLOOKUP('Données projet'!$B$9,Paramètres!$A$1:$I$89,3,0)*0.475*44/12</f>
        <v>0.37571471822830371</v>
      </c>
      <c r="AB129" s="21">
        <f>EXP(-LN(2)/2)*AB128+(1-EXP(-LN(2)/2))/(LN(2)/2)*V129*Y129*VLOOKUP('Données projet'!$B$9,Paramètres!$A$1:$I$89,3,0)*0.475*44/12</f>
        <v>5.4083480088414562E-16</v>
      </c>
      <c r="AC129" s="22">
        <f t="shared" si="57"/>
        <v>6.5876458142677485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29.189530872116961</v>
      </c>
      <c r="T130" s="59">
        <f t="shared" si="88"/>
        <v>190.9732278276216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6.0901189161499554</v>
      </c>
      <c r="AA130" s="21">
        <f>EXP(-LN(2)/25)*AA129+(1-EXP(-LN(2)/25))/(LN(2)/25)*Calculateur!V130*Calculateur!X130*VLOOKUP('Données projet'!$B$9,Paramètres!$A$1:$I$89,3,0)*0.475*44/12</f>
        <v>0.3654407795003724</v>
      </c>
      <c r="AB130" s="21">
        <f>EXP(-LN(2)/2)*AB129+(1-EXP(-LN(2)/2))/(LN(2)/2)*V130*Y130*VLOOKUP('Données projet'!$B$9,Paramètres!$A$1:$I$89,3,0)*0.475*44/12</f>
        <v>3.8242795520685556E-16</v>
      </c>
      <c r="AC130" s="22">
        <f t="shared" si="57"/>
        <v>6.4555596956503276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29.189530872116961</v>
      </c>
      <c r="T131" s="59">
        <f t="shared" si="88"/>
        <v>190.9732278276216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5.9706953988100064</v>
      </c>
      <c r="AA131" s="21">
        <f>EXP(-LN(2)/25)*AA130+(1-EXP(-LN(2)/25))/(LN(2)/25)*Calculateur!V131*Calculateur!X131*VLOOKUP('Données projet'!$B$9,Paramètres!$A$1:$I$89,3,0)*0.475*44/12</f>
        <v>0.35544778216723938</v>
      </c>
      <c r="AB131" s="21">
        <f>EXP(-LN(2)/2)*AB130+(1-EXP(-LN(2)/2))/(LN(2)/2)*V131*Y131*VLOOKUP('Données projet'!$B$9,Paramètres!$A$1:$I$89,3,0)*0.475*44/12</f>
        <v>2.7041740044207281E-16</v>
      </c>
      <c r="AC131" s="22">
        <f t="shared" si="57"/>
        <v>6.3261431809772457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29.189530872116961</v>
      </c>
      <c r="T132" s="59">
        <f t="shared" si="88"/>
        <v>190.9732278276216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5.8536137038039415</v>
      </c>
      <c r="AA132" s="21">
        <f>EXP(-LN(2)/25)*AA131+(1-EXP(-LN(2)/25))/(LN(2)/25)*Calculateur!V132*Calculateur!X132*VLOOKUP('Données projet'!$B$9,Paramètres!$A$1:$I$89,3,0)*0.475*44/12</f>
        <v>0.34572804387168976</v>
      </c>
      <c r="AB132" s="21">
        <f>EXP(-LN(2)/2)*AB131+(1-EXP(-LN(2)/2))/(LN(2)/2)*V132*Y132*VLOOKUP('Données projet'!$B$9,Paramètres!$A$1:$I$89,3,0)*0.475*44/12</f>
        <v>1.9121397760342778E-16</v>
      </c>
      <c r="AC132" s="22">
        <f t="shared" ref="AC132:AC153" si="111">SUM(Z132:AB132)</f>
        <v>6.1993417476756312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29.189530872116961</v>
      </c>
      <c r="T133" s="59">
        <f t="shared" ref="T133:T196" si="142">$T$3</f>
        <v>190.9732278276216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5.7388279094241623</v>
      </c>
      <c r="AA133" s="21">
        <f>EXP(-LN(2)/25)*AA132+(1-EXP(-LN(2)/25))/(LN(2)/25)*Calculateur!V133*Calculateur!X133*VLOOKUP('Données projet'!$B$9,Paramètres!$A$1:$I$89,3,0)*0.475*44/12</f>
        <v>0.33627409233097078</v>
      </c>
      <c r="AB133" s="21">
        <f>EXP(-LN(2)/2)*AB132+(1-EXP(-LN(2)/2))/(LN(2)/2)*V133*Y133*VLOOKUP('Données projet'!$B$9,Paramètres!$A$1:$I$89,3,0)*0.475*44/12</f>
        <v>1.352087002210364E-16</v>
      </c>
      <c r="AC133" s="22">
        <f t="shared" si="111"/>
        <v>6.0751020017551332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29.189530872116961</v>
      </c>
      <c r="T134" s="59">
        <f t="shared" si="142"/>
        <v>190.9732278276216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5.6262929944597495</v>
      </c>
      <c r="AA134" s="21">
        <f>EXP(-LN(2)/25)*AA133+(1-EXP(-LN(2)/25))/(LN(2)/25)*Calculateur!V134*Calculateur!X134*VLOOKUP('Données projet'!$B$9,Paramètres!$A$1:$I$89,3,0)*0.475*44/12</f>
        <v>0.32707865959229443</v>
      </c>
      <c r="AB134" s="21">
        <f>EXP(-LN(2)/2)*AB133+(1-EXP(-LN(2)/2))/(LN(2)/2)*V134*Y134*VLOOKUP('Données projet'!$B$9,Paramètres!$A$1:$I$89,3,0)*0.475*44/12</f>
        <v>9.5606988801713889E-17</v>
      </c>
      <c r="AC134" s="22">
        <f t="shared" si="111"/>
        <v>5.9533716540520443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29.189530872116961</v>
      </c>
      <c r="T135" s="59">
        <f t="shared" si="142"/>
        <v>190.9732278276216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5.5159648205382679</v>
      </c>
      <c r="AA135" s="21">
        <f>EXP(-LN(2)/25)*AA134+(1-EXP(-LN(2)/25))/(LN(2)/25)*Calculateur!V135*Calculateur!X135*VLOOKUP('Données projet'!$B$9,Paramètres!$A$1:$I$89,3,0)*0.475*44/12</f>
        <v>0.31813467644542398</v>
      </c>
      <c r="AB135" s="21">
        <f>EXP(-LN(2)/2)*AB134+(1-EXP(-LN(2)/2))/(LN(2)/2)*V135*Y135*VLOOKUP('Données projet'!$B$9,Paramètres!$A$1:$I$89,3,0)*0.475*44/12</f>
        <v>6.7604350110518202E-17</v>
      </c>
      <c r="AC135" s="22">
        <f t="shared" si="111"/>
        <v>5.8340994969836917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29.189530872116961</v>
      </c>
      <c r="T136" s="59">
        <f t="shared" si="142"/>
        <v>190.9732278276216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5.4078001148138455</v>
      </c>
      <c r="AA136" s="21">
        <f>EXP(-LN(2)/25)*AA135+(1-EXP(-LN(2)/25))/(LN(2)/25)*Calculateur!V136*Calculateur!X136*VLOOKUP('Données projet'!$B$9,Paramètres!$A$1:$I$89,3,0)*0.475*44/12</f>
        <v>0.30943526698804835</v>
      </c>
      <c r="AB136" s="21">
        <f>EXP(-LN(2)/2)*AB135+(1-EXP(-LN(2)/2))/(LN(2)/2)*V136*Y136*VLOOKUP('Données projet'!$B$9,Paramètres!$A$1:$I$89,3,0)*0.475*44/12</f>
        <v>4.7803494400856945E-17</v>
      </c>
      <c r="AC136" s="22">
        <f t="shared" si="111"/>
        <v>5.7172353818018937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29.189530872116961</v>
      </c>
      <c r="T137" s="59">
        <f t="shared" si="142"/>
        <v>190.9732278276216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5.3017564529947228</v>
      </c>
      <c r="AA137" s="21">
        <f>EXP(-LN(2)/25)*AA136+(1-EXP(-LN(2)/25))/(LN(2)/25)*Calculateur!V137*Calculateur!X137*VLOOKUP('Données projet'!$B$9,Paramètres!$A$1:$I$89,3,0)*0.475*44/12</f>
        <v>0.30097374333976668</v>
      </c>
      <c r="AB137" s="21">
        <f>EXP(-LN(2)/2)*AB136+(1-EXP(-LN(2)/2))/(LN(2)/2)*V137*Y137*VLOOKUP('Données projet'!$B$9,Paramètres!$A$1:$I$89,3,0)*0.475*44/12</f>
        <v>3.3802175055259101E-17</v>
      </c>
      <c r="AC137" s="22">
        <f t="shared" si="111"/>
        <v>5.6027301963344893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29.189530872116961</v>
      </c>
      <c r="T138" s="59">
        <f t="shared" si="142"/>
        <v>190.9732278276216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5.1977922427036258</v>
      </c>
      <c r="AA138" s="21">
        <f>EXP(-LN(2)/25)*AA137+(1-EXP(-LN(2)/25))/(LN(2)/25)*Calculateur!V138*Calculateur!X138*VLOOKUP('Données projet'!$B$9,Paramètres!$A$1:$I$89,3,0)*0.475*44/12</f>
        <v>0.29274360050061948</v>
      </c>
      <c r="AB138" s="21">
        <f>EXP(-LN(2)/2)*AB137+(1-EXP(-LN(2)/2))/(LN(2)/2)*V138*Y138*VLOOKUP('Données projet'!$B$9,Paramètres!$A$1:$I$89,3,0)*0.475*44/12</f>
        <v>2.3901747200428472E-17</v>
      </c>
      <c r="AC138" s="22">
        <f t="shared" si="111"/>
        <v>5.4905358432042455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29.189530872116961</v>
      </c>
      <c r="T139" s="59">
        <f t="shared" si="142"/>
        <v>190.9732278276216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5.095866707164431</v>
      </c>
      <c r="AA139" s="21">
        <f>EXP(-LN(2)/25)*AA138+(1-EXP(-LN(2)/25))/(LN(2)/25)*Calculateur!V139*Calculateur!X139*VLOOKUP('Données projet'!$B$9,Paramètres!$A$1:$I$89,3,0)*0.475*44/12</f>
        <v>0.28473851135021316</v>
      </c>
      <c r="AB139" s="21">
        <f>EXP(-LN(2)/2)*AB138+(1-EXP(-LN(2)/2))/(LN(2)/2)*V139*Y139*VLOOKUP('Données projet'!$B$9,Paramètres!$A$1:$I$89,3,0)*0.475*44/12</f>
        <v>1.6901087527629551E-17</v>
      </c>
      <c r="AC139" s="22">
        <f t="shared" si="111"/>
        <v>5.3806052185146438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29.189530872116961</v>
      </c>
      <c r="T140" s="59">
        <f t="shared" si="142"/>
        <v>190.9732278276216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4.9959398692087218</v>
      </c>
      <c r="AA140" s="21">
        <f>EXP(-LN(2)/25)*AA139+(1-EXP(-LN(2)/25))/(LN(2)/25)*Calculateur!V140*Calculateur!X140*VLOOKUP('Données projet'!$B$9,Paramètres!$A$1:$I$89,3,0)*0.475*44/12</f>
        <v>0.27695232178359402</v>
      </c>
      <c r="AB140" s="21">
        <f>EXP(-LN(2)/2)*AB139+(1-EXP(-LN(2)/2))/(LN(2)/2)*V140*Y140*VLOOKUP('Données projet'!$B$9,Paramètres!$A$1:$I$89,3,0)*0.475*44/12</f>
        <v>1.1950873600214236E-17</v>
      </c>
      <c r="AC140" s="22">
        <f t="shared" si="111"/>
        <v>5.2728921909923159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29.189530872116961</v>
      </c>
      <c r="T141" s="59">
        <f t="shared" si="142"/>
        <v>190.9732278276216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4.8979725355959705</v>
      </c>
      <c r="AA141" s="21">
        <f>EXP(-LN(2)/25)*AA140+(1-EXP(-LN(2)/25))/(LN(2)/25)*Calculateur!V141*Calculateur!X141*VLOOKUP('Données projet'!$B$9,Paramètres!$A$1:$I$89,3,0)*0.475*44/12</f>
        <v>0.26937904598013201</v>
      </c>
      <c r="AB141" s="21">
        <f>EXP(-LN(2)/2)*AB140+(1-EXP(-LN(2)/2))/(LN(2)/2)*V141*Y141*VLOOKUP('Données projet'!$B$9,Paramètres!$A$1:$I$89,3,0)*0.475*44/12</f>
        <v>8.4505437638147753E-18</v>
      </c>
      <c r="AC141" s="22">
        <f t="shared" si="111"/>
        <v>5.1673515815761029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29.189530872116961</v>
      </c>
      <c r="T142" s="59">
        <f t="shared" si="142"/>
        <v>190.9732278276216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4.8019262816411921</v>
      </c>
      <c r="AA142" s="21">
        <f>EXP(-LN(2)/25)*AA141+(1-EXP(-LN(2)/25))/(LN(2)/25)*Calculateur!V142*Calculateur!X142*VLOOKUP('Données projet'!$B$9,Paramètres!$A$1:$I$89,3,0)*0.475*44/12</f>
        <v>0.26201286180177696</v>
      </c>
      <c r="AB142" s="21">
        <f>EXP(-LN(2)/2)*AB141+(1-EXP(-LN(2)/2))/(LN(2)/2)*V142*Y142*VLOOKUP('Données projet'!$B$9,Paramètres!$A$1:$I$89,3,0)*0.475*44/12</f>
        <v>5.9754368001071181E-18</v>
      </c>
      <c r="AC142" s="22">
        <f t="shared" si="111"/>
        <v>5.063939143442969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29.189530872116961</v>
      </c>
      <c r="T143" s="59">
        <f t="shared" si="142"/>
        <v>190.9732278276216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4.7077634361440364</v>
      </c>
      <c r="AA143" s="21">
        <f>EXP(-LN(2)/25)*AA142+(1-EXP(-LN(2)/25))/(LN(2)/25)*Calculateur!V143*Calculateur!X143*VLOOKUP('Données projet'!$B$9,Paramètres!$A$1:$I$89,3,0)*0.475*44/12</f>
        <v>0.25484810631714983</v>
      </c>
      <c r="AB143" s="21">
        <f>EXP(-LN(2)/2)*AB142+(1-EXP(-LN(2)/2))/(LN(2)/2)*V143*Y143*VLOOKUP('Données projet'!$B$9,Paramètres!$A$1:$I$89,3,0)*0.475*44/12</f>
        <v>4.2252718819073876E-18</v>
      </c>
      <c r="AC143" s="22">
        <f t="shared" si="111"/>
        <v>4.9626115424611861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29.189530872116961</v>
      </c>
      <c r="T144" s="59">
        <f t="shared" si="142"/>
        <v>190.9732278276216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4.6154470666134157</v>
      </c>
      <c r="AA144" s="21">
        <f>EXP(-LN(2)/25)*AA143+(1-EXP(-LN(2)/25))/(LN(2)/25)*Calculateur!V144*Calculateur!X144*VLOOKUP('Données projet'!$B$9,Paramètres!$A$1:$I$89,3,0)*0.475*44/12</f>
        <v>0.2478792714480279</v>
      </c>
      <c r="AB144" s="21">
        <f>EXP(-LN(2)/2)*AB143+(1-EXP(-LN(2)/2))/(LN(2)/2)*V144*Y144*VLOOKUP('Données projet'!$B$9,Paramètres!$A$1:$I$89,3,0)*0.475*44/12</f>
        <v>2.987718400053559E-18</v>
      </c>
      <c r="AC144" s="22">
        <f t="shared" si="111"/>
        <v>4.8633263380614435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29.189530872116961</v>
      </c>
      <c r="T145" s="59">
        <f t="shared" si="142"/>
        <v>190.9732278276216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4.524940964781865</v>
      </c>
      <c r="AA145" s="21">
        <f>EXP(-LN(2)/25)*AA144+(1-EXP(-LN(2)/25))/(LN(2)/25)*Calculateur!V145*Calculateur!X145*VLOOKUP('Données projet'!$B$9,Paramètres!$A$1:$I$89,3,0)*0.475*44/12</f>
        <v>0.24110099973487722</v>
      </c>
      <c r="AB145" s="21">
        <f>EXP(-LN(2)/2)*AB144+(1-EXP(-LN(2)/2))/(LN(2)/2)*V145*Y145*VLOOKUP('Données projet'!$B$9,Paramètres!$A$1:$I$89,3,0)*0.475*44/12</f>
        <v>2.1126359409536938E-18</v>
      </c>
      <c r="AC145" s="22">
        <f t="shared" si="111"/>
        <v>4.7660419645167424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29.189530872116961</v>
      </c>
      <c r="T146" s="59">
        <f t="shared" si="142"/>
        <v>190.9732278276216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4.4362096324039593</v>
      </c>
      <c r="AA146" s="21">
        <f>EXP(-LN(2)/25)*AA145+(1-EXP(-LN(2)/25))/(LN(2)/25)*Calculateur!V146*Calculateur!X146*VLOOKUP('Données projet'!$B$9,Paramètres!$A$1:$I$89,3,0)*0.475*44/12</f>
        <v>0.23450808021817648</v>
      </c>
      <c r="AB146" s="21">
        <f>EXP(-LN(2)/2)*AB145+(1-EXP(-LN(2)/2))/(LN(2)/2)*V146*Y146*VLOOKUP('Données projet'!$B$9,Paramètres!$A$1:$I$89,3,0)*0.475*44/12</f>
        <v>1.4938592000267795E-18</v>
      </c>
      <c r="AC146" s="22">
        <f t="shared" si="111"/>
        <v>4.6707177126221353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29.189530872116961</v>
      </c>
      <c r="T147" s="59">
        <f t="shared" si="142"/>
        <v>190.9732278276216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4.3492182673332156</v>
      </c>
      <c r="AA147" s="21">
        <f>EXP(-LN(2)/25)*AA146+(1-EXP(-LN(2)/25))/(LN(2)/25)*Calculateur!V147*Calculateur!X147*VLOOKUP('Données projet'!$B$9,Paramètres!$A$1:$I$89,3,0)*0.475*44/12</f>
        <v>0.22809544443236648</v>
      </c>
      <c r="AB147" s="21">
        <f>EXP(-LN(2)/2)*AB146+(1-EXP(-LN(2)/2))/(LN(2)/2)*V147*Y147*VLOOKUP('Données projet'!$B$9,Paramètres!$A$1:$I$89,3,0)*0.475*44/12</f>
        <v>1.0563179704768469E-18</v>
      </c>
      <c r="AC147" s="22">
        <f t="shared" si="111"/>
        <v>4.5773137117655818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29.189530872116961</v>
      </c>
      <c r="T148" s="59">
        <f t="shared" si="142"/>
        <v>190.9732278276216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4.2639327498720156</v>
      </c>
      <c r="AA148" s="21">
        <f>EXP(-LN(2)/25)*AA147+(1-EXP(-LN(2)/25))/(LN(2)/25)*Calculateur!V148*Calculateur!X148*VLOOKUP('Données projet'!$B$9,Paramètres!$A$1:$I$89,3,0)*0.475*44/12</f>
        <v>0.22185816250934531</v>
      </c>
      <c r="AB148" s="21">
        <f>EXP(-LN(2)/2)*AB147+(1-EXP(-LN(2)/2))/(LN(2)/2)*V148*Y148*VLOOKUP('Données projet'!$B$9,Paramètres!$A$1:$I$89,3,0)*0.475*44/12</f>
        <v>7.4692960001338976E-19</v>
      </c>
      <c r="AC148" s="22">
        <f t="shared" si="111"/>
        <v>4.4857909123813613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29.189530872116961</v>
      </c>
      <c r="T149" s="59">
        <f t="shared" si="142"/>
        <v>190.9732278276216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4.1803196293892011</v>
      </c>
      <c r="AA149" s="21">
        <f>EXP(-LN(2)/25)*AA148+(1-EXP(-LN(2)/25))/(LN(2)/25)*Calculateur!V149*Calculateur!X149*VLOOKUP('Données projet'!$B$9,Paramètres!$A$1:$I$89,3,0)*0.475*44/12</f>
        <v>0.21579143938851356</v>
      </c>
      <c r="AB149" s="21">
        <f>EXP(-LN(2)/2)*AB148+(1-EXP(-LN(2)/2))/(LN(2)/2)*V149*Y149*VLOOKUP('Données projet'!$B$9,Paramètres!$A$1:$I$89,3,0)*0.475*44/12</f>
        <v>5.2815898523842345E-19</v>
      </c>
      <c r="AC149" s="22">
        <f t="shared" si="111"/>
        <v>4.3961110687777145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29.189530872116961</v>
      </c>
      <c r="T150" s="59">
        <f t="shared" si="142"/>
        <v>190.9732278276216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4.0983461112000867</v>
      </c>
      <c r="AA150" s="21">
        <f>EXP(-LN(2)/25)*AA149+(1-EXP(-LN(2)/25))/(LN(2)/25)*Calculateur!V150*Calculateur!X150*VLOOKUP('Données projet'!$B$9,Paramètres!$A$1:$I$89,3,0)*0.475*44/12</f>
        <v>0.20989061113045607</v>
      </c>
      <c r="AB150" s="21">
        <f>EXP(-LN(2)/2)*AB149+(1-EXP(-LN(2)/2))/(LN(2)/2)*V150*Y150*VLOOKUP('Données projet'!$B$9,Paramètres!$A$1:$I$89,3,0)*0.475*44/12</f>
        <v>3.7346480000669488E-19</v>
      </c>
      <c r="AC150" s="22">
        <f t="shared" si="111"/>
        <v>4.3082367223305429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29.189530872116961</v>
      </c>
      <c r="T151" s="59">
        <f t="shared" si="142"/>
        <v>190.9732278276216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4.0179800437037514</v>
      </c>
      <c r="AA151" s="21">
        <f>EXP(-LN(2)/25)*AA150+(1-EXP(-LN(2)/25))/(LN(2)/25)*Calculateur!V151*Calculateur!X151*VLOOKUP('Données projet'!$B$9,Paramètres!$A$1:$I$89,3,0)*0.475*44/12</f>
        <v>0.20415114133142623</v>
      </c>
      <c r="AB151" s="21">
        <f>EXP(-LN(2)/2)*AB150+(1-EXP(-LN(2)/2))/(LN(2)/2)*V151*Y151*VLOOKUP('Données projet'!$B$9,Paramètres!$A$1:$I$89,3,0)*0.475*44/12</f>
        <v>2.6407949261921173E-19</v>
      </c>
      <c r="AC151" s="22">
        <f t="shared" si="111"/>
        <v>4.2221311850351775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29.189530872116961</v>
      </c>
      <c r="T152" s="59">
        <f t="shared" si="142"/>
        <v>190.9732278276216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3.9391899057725586</v>
      </c>
      <c r="AA152" s="21">
        <f>EXP(-LN(2)/25)*AA151+(1-EXP(-LN(2)/25))/(LN(2)/25)*Calculateur!V152*Calculateur!X152*VLOOKUP('Données projet'!$B$9,Paramètres!$A$1:$I$89,3,0)*0.475*44/12</f>
        <v>0.19856861763587644</v>
      </c>
      <c r="AB152" s="21">
        <f>EXP(-LN(2)/2)*AB151+(1-EXP(-LN(2)/2))/(LN(2)/2)*V152*Y152*VLOOKUP('Données projet'!$B$9,Paramètres!$A$1:$I$89,3,0)*0.475*44/12</f>
        <v>1.8673240000334744E-19</v>
      </c>
      <c r="AC152" s="22">
        <f t="shared" si="111"/>
        <v>4.1377585234084346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29.189530872116961</v>
      </c>
      <c r="T153" s="59">
        <f t="shared" si="142"/>
        <v>190.9732278276216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3.8619447943889575</v>
      </c>
      <c r="AA153" s="21">
        <f>EXP(-LN(2)/25)*AA152+(1-EXP(-LN(2)/25))/(LN(2)/25)*Calculateur!V153*Calculateur!X153*VLOOKUP('Données projet'!$B$9,Paramètres!$A$1:$I$89,3,0)*0.475*44/12</f>
        <v>0.19313874834435363</v>
      </c>
      <c r="AB153" s="21">
        <f>EXP(-LN(2)/2)*AB152+(1-EXP(-LN(2)/2))/(LN(2)/2)*V153*Y153*VLOOKUP('Données projet'!$B$9,Paramètres!$A$1:$I$89,3,0)*0.475*44/12</f>
        <v>1.3203974630960586E-19</v>
      </c>
      <c r="AC153" s="22">
        <f t="shared" si="111"/>
        <v>4.0550835427333114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29.189530872116961</v>
      </c>
      <c r="T154" s="59">
        <f t="shared" si="142"/>
        <v>190.9732278276216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3.786214412524723</v>
      </c>
      <c r="AA154" s="21">
        <f>EXP(-LN(2)/25)*AA153+(1-EXP(-LN(2)/25))/(LN(2)/25)*Calculateur!V154*Calculateur!X154*VLOOKUP('Données projet'!$B$9,Paramètres!$A$1:$I$89,3,0)*0.475*44/12</f>
        <v>0.18785735911415194</v>
      </c>
      <c r="AB154" s="21">
        <f>EXP(-LN(2)/2)*AB153+(1-EXP(-LN(2)/2))/(LN(2)/2)*V154*Y154*VLOOKUP('Données projet'!$B$9,Paramètres!$A$1:$I$89,3,0)*0.475*44/12</f>
        <v>9.336620000167372E-20</v>
      </c>
      <c r="AC154" s="22">
        <f t="shared" ref="AC154:AC203" si="163">SUM(Z154:AB154)</f>
        <v>3.9740717716388749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29.189530872116961</v>
      </c>
      <c r="T155" s="59">
        <f t="shared" si="142"/>
        <v>190.9732278276216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3.7119690572578743</v>
      </c>
      <c r="AA155" s="21">
        <f>EXP(-LN(2)/25)*AA154+(1-EXP(-LN(2)/25))/(LN(2)/25)*Calculateur!V155*Calculateur!X155*VLOOKUP('Données projet'!$B$9,Paramètres!$A$1:$I$89,3,0)*0.475*44/12</f>
        <v>0.18272038975018629</v>
      </c>
      <c r="AB155" s="21">
        <f>EXP(-LN(2)/2)*AB154+(1-EXP(-LN(2)/2))/(LN(2)/2)*V155*Y155*VLOOKUP('Données projet'!$B$9,Paramètres!$A$1:$I$89,3,0)*0.475*44/12</f>
        <v>6.6019873154802932E-20</v>
      </c>
      <c r="AC155" s="22">
        <f t="shared" si="163"/>
        <v>3.8946894470080604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29.189530872116961</v>
      </c>
      <c r="T156" s="59">
        <f t="shared" si="142"/>
        <v>190.9732278276216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3.6391796081226131</v>
      </c>
      <c r="AA156" s="21">
        <f>EXP(-LN(2)/25)*AA155+(1-EXP(-LN(2)/25))/(LN(2)/25)*Calculateur!V156*Calculateur!X156*VLOOKUP('Données projet'!$B$9,Paramètres!$A$1:$I$89,3,0)*0.475*44/12</f>
        <v>0.17772389108361974</v>
      </c>
      <c r="AB156" s="21">
        <f>EXP(-LN(2)/2)*AB155+(1-EXP(-LN(2)/2))/(LN(2)/2)*V156*Y156*VLOOKUP('Données projet'!$B$9,Paramètres!$A$1:$I$89,3,0)*0.475*44/12</f>
        <v>4.668310000083686E-20</v>
      </c>
      <c r="AC156" s="22">
        <f t="shared" si="163"/>
        <v>3.8169034992062327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29.189530872116961</v>
      </c>
      <c r="T157" s="59">
        <f t="shared" si="142"/>
        <v>190.9732278276216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3.5678175156877145</v>
      </c>
      <c r="AA157" s="21">
        <f>EXP(-LN(2)/25)*AA156+(1-EXP(-LN(2)/25))/(LN(2)/25)*Calculateur!V157*Calculateur!X157*VLOOKUP('Données projet'!$B$9,Paramètres!$A$1:$I$89,3,0)*0.475*44/12</f>
        <v>0.17286402193584494</v>
      </c>
      <c r="AB157" s="21">
        <f>EXP(-LN(2)/2)*AB156+(1-EXP(-LN(2)/2))/(LN(2)/2)*V157*Y157*VLOOKUP('Données projet'!$B$9,Paramètres!$A$1:$I$89,3,0)*0.475*44/12</f>
        <v>3.3009936577401466E-20</v>
      </c>
      <c r="AC157" s="22">
        <f t="shared" si="163"/>
        <v>3.7406815376235594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29.189530872116961</v>
      </c>
      <c r="T158" s="59">
        <f t="shared" si="142"/>
        <v>190.9732278276216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3.4978547903588857</v>
      </c>
      <c r="AA158" s="21">
        <f>EXP(-LN(2)/25)*AA157+(1-EXP(-LN(2)/25))/(LN(2)/25)*Calculateur!V158*Calculateur!X158*VLOOKUP('Données projet'!$B$9,Paramètres!$A$1:$I$89,3,0)*0.475*44/12</f>
        <v>0.16813704616548542</v>
      </c>
      <c r="AB158" s="21">
        <f>EXP(-LN(2)/2)*AB157+(1-EXP(-LN(2)/2))/(LN(2)/2)*V158*Y158*VLOOKUP('Données projet'!$B$9,Paramètres!$A$1:$I$89,3,0)*0.475*44/12</f>
        <v>2.334155000041843E-20</v>
      </c>
      <c r="AC158" s="22">
        <f t="shared" si="163"/>
        <v>3.6659918365243711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29.189530872116961</v>
      </c>
      <c r="T159" s="59">
        <f t="shared" si="142"/>
        <v>190.9732278276216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3.4292639914007061</v>
      </c>
      <c r="AA159" s="21">
        <f>EXP(-LN(2)/25)*AA158+(1-EXP(-LN(2)/25))/(LN(2)/25)*Calculateur!V159*Calculateur!X159*VLOOKUP('Données projet'!$B$9,Paramètres!$A$1:$I$89,3,0)*0.475*44/12</f>
        <v>0.16353932979614724</v>
      </c>
      <c r="AB159" s="21">
        <f>EXP(-LN(2)/2)*AB158+(1-EXP(-LN(2)/2))/(LN(2)/2)*V159*Y159*VLOOKUP('Données projet'!$B$9,Paramètres!$A$1:$I$89,3,0)*0.475*44/12</f>
        <v>1.6504968288700733E-20</v>
      </c>
      <c r="AC159" s="22">
        <f t="shared" si="163"/>
        <v>3.5928033211968535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29.189530872116961</v>
      </c>
      <c r="T160" s="59">
        <f t="shared" si="142"/>
        <v>190.9732278276216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3.3620182161738401</v>
      </c>
      <c r="AA160" s="21">
        <f>EXP(-LN(2)/25)*AA159+(1-EXP(-LN(2)/25))/(LN(2)/25)*Calculateur!V160*Calculateur!X160*VLOOKUP('Données projet'!$B$9,Paramètres!$A$1:$I$89,3,0)*0.475*44/12</f>
        <v>0.15906733822271202</v>
      </c>
      <c r="AB160" s="21">
        <f>EXP(-LN(2)/2)*AB159+(1-EXP(-LN(2)/2))/(LN(2)/2)*V160*Y160*VLOOKUP('Données projet'!$B$9,Paramètres!$A$1:$I$89,3,0)*0.475*44/12</f>
        <v>1.1670775000209215E-20</v>
      </c>
      <c r="AC160" s="22">
        <f t="shared" si="163"/>
        <v>3.521085554396552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29.189530872116961</v>
      </c>
      <c r="T161" s="59">
        <f t="shared" si="142"/>
        <v>190.9732278276216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3.2960910895833</v>
      </c>
      <c r="AA161" s="21">
        <f>EXP(-LN(2)/25)*AA160+(1-EXP(-LN(2)/25))/(LN(2)/25)*Calculateur!V161*Calculateur!X161*VLOOKUP('Données projet'!$B$9,Paramètres!$A$1:$I$89,3,0)*0.475*44/12</f>
        <v>0.1547176334940242</v>
      </c>
      <c r="AB161" s="21">
        <f>EXP(-LN(2)/2)*AB160+(1-EXP(-LN(2)/2))/(LN(2)/2)*V161*Y161*VLOOKUP('Données projet'!$B$9,Paramètres!$A$1:$I$89,3,0)*0.475*44/12</f>
        <v>8.2524841443503665E-21</v>
      </c>
      <c r="AC161" s="22">
        <f t="shared" si="163"/>
        <v>3.4508087230773241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29.189530872116961</v>
      </c>
      <c r="T162" s="59">
        <f t="shared" si="142"/>
        <v>190.9732278276216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3.2314567537336241</v>
      </c>
      <c r="AA162" s="21">
        <f>EXP(-LN(2)/25)*AA161+(1-EXP(-LN(2)/25))/(LN(2)/25)*Calculateur!V162*Calculateur!X162*VLOOKUP('Données projet'!$B$9,Paramètres!$A$1:$I$89,3,0)*0.475*44/12</f>
        <v>0.15048687166988337</v>
      </c>
      <c r="AB162" s="21">
        <f>EXP(-LN(2)/2)*AB161+(1-EXP(-LN(2)/2))/(LN(2)/2)*V162*Y162*VLOOKUP('Données projet'!$B$9,Paramètres!$A$1:$I$89,3,0)*0.475*44/12</f>
        <v>5.8353875001046075E-21</v>
      </c>
      <c r="AC162" s="22">
        <f t="shared" si="163"/>
        <v>3.3819436254035073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29.189530872116961</v>
      </c>
      <c r="T163" s="59">
        <f t="shared" si="142"/>
        <v>190.9732278276216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3.1680898577869079</v>
      </c>
      <c r="AA163" s="21">
        <f>EXP(-LN(2)/25)*AA162+(1-EXP(-LN(2)/25))/(LN(2)/25)*Calculateur!V163*Calculateur!X163*VLOOKUP('Données projet'!$B$9,Paramètres!$A$1:$I$89,3,0)*0.475*44/12</f>
        <v>0.14637180025030977</v>
      </c>
      <c r="AB163" s="21">
        <f>EXP(-LN(2)/2)*AB162+(1-EXP(-LN(2)/2))/(LN(2)/2)*V163*Y163*VLOOKUP('Données projet'!$B$9,Paramètres!$A$1:$I$89,3,0)*0.475*44/12</f>
        <v>4.1262420721751832E-21</v>
      </c>
      <c r="AC163" s="22">
        <f t="shared" si="163"/>
        <v>3.3144616580372177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29.189530872116961</v>
      </c>
      <c r="T164" s="59">
        <f t="shared" si="142"/>
        <v>190.9732278276216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3.1059655480197166</v>
      </c>
      <c r="AA164" s="21">
        <f>EXP(-LN(2)/25)*AA163+(1-EXP(-LN(2)/25))/(LN(2)/25)*Calculateur!V164*Calculateur!X164*VLOOKUP('Données projet'!$B$9,Paramètres!$A$1:$I$89,3,0)*0.475*44/12</f>
        <v>0.14236925567510661</v>
      </c>
      <c r="AB164" s="21">
        <f>EXP(-LN(2)/2)*AB163+(1-EXP(-LN(2)/2))/(LN(2)/2)*V164*Y164*VLOOKUP('Données projet'!$B$9,Paramètres!$A$1:$I$89,3,0)*0.475*44/12</f>
        <v>2.9176937500523038E-21</v>
      </c>
      <c r="AC164" s="22">
        <f t="shared" si="163"/>
        <v>3.2483348036948234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29.189530872116961</v>
      </c>
      <c r="T165" s="59">
        <f t="shared" si="142"/>
        <v>190.9732278276216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3.0450594580749728</v>
      </c>
      <c r="AA165" s="21">
        <f>EXP(-LN(2)/25)*AA164+(1-EXP(-LN(2)/25))/(LN(2)/25)*Calculateur!V165*Calculateur!X165*VLOOKUP('Données projet'!$B$9,Paramètres!$A$1:$I$89,3,0)*0.475*44/12</f>
        <v>0.13847616089179704</v>
      </c>
      <c r="AB165" s="21">
        <f>EXP(-LN(2)/2)*AB164+(1-EXP(-LN(2)/2))/(LN(2)/2)*V165*Y165*VLOOKUP('Données projet'!$B$9,Paramètres!$A$1:$I$89,3,0)*0.475*44/12</f>
        <v>2.0631210360875916E-21</v>
      </c>
      <c r="AC165" s="22">
        <f t="shared" si="163"/>
        <v>3.1835356189667698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29.189530872116961</v>
      </c>
      <c r="T166" s="59">
        <f t="shared" si="142"/>
        <v>190.9732278276216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2.9853476994049988</v>
      </c>
      <c r="AA166" s="21">
        <f>EXP(-LN(2)/25)*AA165+(1-EXP(-LN(2)/25))/(LN(2)/25)*Calculateur!V166*Calculateur!X166*VLOOKUP('Données projet'!$B$9,Paramètres!$A$1:$I$89,3,0)*0.475*44/12</f>
        <v>0.13468952299006604</v>
      </c>
      <c r="AB166" s="21">
        <f>EXP(-LN(2)/2)*AB165+(1-EXP(-LN(2)/2))/(LN(2)/2)*V166*Y166*VLOOKUP('Données projet'!$B$9,Paramètres!$A$1:$I$89,3,0)*0.475*44/12</f>
        <v>1.4588468750261519E-21</v>
      </c>
      <c r="AC166" s="22">
        <f t="shared" si="163"/>
        <v>3.120037222395065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29.189530872116961</v>
      </c>
      <c r="T167" s="59">
        <f t="shared" si="142"/>
        <v>190.9732278276216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2.9268068519019663</v>
      </c>
      <c r="AA167" s="21">
        <f>EXP(-LN(2)/25)*AA166+(1-EXP(-LN(2)/25))/(LN(2)/25)*Calculateur!V167*Calculateur!X167*VLOOKUP('Données projet'!$B$9,Paramètres!$A$1:$I$89,3,0)*0.475*44/12</f>
        <v>0.13100643090088851</v>
      </c>
      <c r="AB167" s="21">
        <f>EXP(-LN(2)/2)*AB166+(1-EXP(-LN(2)/2))/(LN(2)/2)*V167*Y167*VLOOKUP('Données projet'!$B$9,Paramètres!$A$1:$I$89,3,0)*0.475*44/12</f>
        <v>1.0315605180437958E-21</v>
      </c>
      <c r="AC167" s="22">
        <f t="shared" si="163"/>
        <v>3.0578132828028548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29.189530872116961</v>
      </c>
      <c r="T168" s="59">
        <f t="shared" si="142"/>
        <v>190.9732278276216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2.8694139547120772</v>
      </c>
      <c r="AA168" s="21">
        <f>EXP(-LN(2)/25)*AA167+(1-EXP(-LN(2)/25))/(LN(2)/25)*Calculateur!V168*Calculateur!X168*VLOOKUP('Données projet'!$B$9,Paramètres!$A$1:$I$89,3,0)*0.475*44/12</f>
        <v>0.12742405315857494</v>
      </c>
      <c r="AB168" s="21">
        <f>EXP(-LN(2)/2)*AB167+(1-EXP(-LN(2)/2))/(LN(2)/2)*V168*Y168*VLOOKUP('Données projet'!$B$9,Paramètres!$A$1:$I$89,3,0)*0.475*44/12</f>
        <v>7.2942343751307594E-22</v>
      </c>
      <c r="AC168" s="22">
        <f t="shared" si="163"/>
        <v>2.996838007870652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29.189530872116961</v>
      </c>
      <c r="T169" s="59">
        <f t="shared" si="142"/>
        <v>190.9732278276216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2.8131464972298708</v>
      </c>
      <c r="AA169" s="21">
        <f>EXP(-LN(2)/25)*AA168+(1-EXP(-LN(2)/25))/(LN(2)/25)*Calculateur!V169*Calculateur!X169*VLOOKUP('Données projet'!$B$9,Paramètres!$A$1:$I$89,3,0)*0.475*44/12</f>
        <v>0.12393963572401398</v>
      </c>
      <c r="AB169" s="21">
        <f>EXP(-LN(2)/2)*AB168+(1-EXP(-LN(2)/2))/(LN(2)/2)*V169*Y169*VLOOKUP('Données projet'!$B$9,Paramètres!$A$1:$I$89,3,0)*0.475*44/12</f>
        <v>5.157802590218979E-22</v>
      </c>
      <c r="AC169" s="22">
        <f t="shared" si="163"/>
        <v>2.9370861329538847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29.189530872116961</v>
      </c>
      <c r="T170" s="59">
        <f t="shared" si="142"/>
        <v>190.9732278276216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2.7579824102691304</v>
      </c>
      <c r="AA170" s="21">
        <f>EXP(-LN(2)/25)*AA169+(1-EXP(-LN(2)/25))/(LN(2)/25)*Calculateur!V170*Calculateur!X170*VLOOKUP('Données projet'!$B$9,Paramètres!$A$1:$I$89,3,0)*0.475*44/12</f>
        <v>0.12055049986743864</v>
      </c>
      <c r="AB170" s="21">
        <f>EXP(-LN(2)/2)*AB169+(1-EXP(-LN(2)/2))/(LN(2)/2)*V170*Y170*VLOOKUP('Données projet'!$B$9,Paramètres!$A$1:$I$89,3,0)*0.475*44/12</f>
        <v>3.6471171875653797E-22</v>
      </c>
      <c r="AC170" s="22">
        <f t="shared" si="163"/>
        <v>2.8785329101365691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29.189530872116961</v>
      </c>
      <c r="T171" s="59">
        <f t="shared" si="142"/>
        <v>190.9732278276216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2.7039000574069192</v>
      </c>
      <c r="AA171" s="21">
        <f>EXP(-LN(2)/25)*AA170+(1-EXP(-LN(2)/25))/(LN(2)/25)*Calculateur!V171*Calculateur!X171*VLOOKUP('Données projet'!$B$9,Paramètres!$A$1:$I$89,3,0)*0.475*44/12</f>
        <v>0.11725404010908827</v>
      </c>
      <c r="AB171" s="21">
        <f>EXP(-LN(2)/2)*AB170+(1-EXP(-LN(2)/2))/(LN(2)/2)*V171*Y171*VLOOKUP('Données projet'!$B$9,Paramètres!$A$1:$I$89,3,0)*0.475*44/12</f>
        <v>2.5789012951094895E-22</v>
      </c>
      <c r="AC171" s="22">
        <f t="shared" si="163"/>
        <v>2.8211540975160077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29.189530872116961</v>
      </c>
      <c r="T172" s="59">
        <f t="shared" si="142"/>
        <v>190.9732278276216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2.6508782264973578</v>
      </c>
      <c r="AA172" s="21">
        <f>EXP(-LN(2)/25)*AA171+(1-EXP(-LN(2)/25))/(LN(2)/25)*Calculateur!V172*Calculateur!X172*VLOOKUP('Données projet'!$B$9,Paramètres!$A$1:$I$89,3,0)*0.475*44/12</f>
        <v>0.11404772221618327</v>
      </c>
      <c r="AB172" s="21">
        <f>EXP(-LN(2)/2)*AB171+(1-EXP(-LN(2)/2))/(LN(2)/2)*V172*Y172*VLOOKUP('Données projet'!$B$9,Paramètres!$A$1:$I$89,3,0)*0.475*44/12</f>
        <v>1.8235585937826898E-22</v>
      </c>
      <c r="AC172" s="22">
        <f t="shared" si="163"/>
        <v>2.7649259487135409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29.189530872116961</v>
      </c>
      <c r="T173" s="59">
        <f t="shared" si="142"/>
        <v>190.9732278276216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2.5988961213518094</v>
      </c>
      <c r="AA173" s="21">
        <f>EXP(-LN(2)/25)*AA172+(1-EXP(-LN(2)/25))/(LN(2)/25)*Calculateur!V173*Calculateur!X173*VLOOKUP('Données projet'!$B$9,Paramètres!$A$1:$I$89,3,0)*0.475*44/12</f>
        <v>0.11092908125467268</v>
      </c>
      <c r="AB173" s="21">
        <f>EXP(-LN(2)/2)*AB172+(1-EXP(-LN(2)/2))/(LN(2)/2)*V173*Y173*VLOOKUP('Données projet'!$B$9,Paramètres!$A$1:$I$89,3,0)*0.475*44/12</f>
        <v>1.2894506475547448E-22</v>
      </c>
      <c r="AC173" s="22">
        <f t="shared" si="163"/>
        <v>2.7098252026064822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29.189530872116961</v>
      </c>
      <c r="T174" s="59">
        <f t="shared" si="142"/>
        <v>190.9732278276216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2.547933353582212</v>
      </c>
      <c r="AA174" s="21">
        <f>EXP(-LN(2)/25)*AA173+(1-EXP(-LN(2)/25))/(LN(2)/25)*Calculateur!V174*Calculateur!X174*VLOOKUP('Données projet'!$B$9,Paramètres!$A$1:$I$89,3,0)*0.475*44/12</f>
        <v>0.10789571969425681</v>
      </c>
      <c r="AB174" s="21">
        <f>EXP(-LN(2)/2)*AB173+(1-EXP(-LN(2)/2))/(LN(2)/2)*V174*Y174*VLOOKUP('Données projet'!$B$9,Paramètres!$A$1:$I$89,3,0)*0.475*44/12</f>
        <v>9.1177929689134492E-23</v>
      </c>
      <c r="AC174" s="22">
        <f t="shared" si="163"/>
        <v>2.6558290732764687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29.189530872116961</v>
      </c>
      <c r="T175" s="59">
        <f t="shared" si="142"/>
        <v>190.9732278276216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2.4979699346043573</v>
      </c>
      <c r="AA175" s="21">
        <f>EXP(-LN(2)/25)*AA174+(1-EXP(-LN(2)/25))/(LN(2)/25)*Calculateur!V175*Calculateur!X175*VLOOKUP('Données projet'!$B$9,Paramètres!$A$1:$I$89,3,0)*0.475*44/12</f>
        <v>0.10494530556522805</v>
      </c>
      <c r="AB175" s="21">
        <f>EXP(-LN(2)/2)*AB174+(1-EXP(-LN(2)/2))/(LN(2)/2)*V175*Y175*VLOOKUP('Données projet'!$B$9,Paramètres!$A$1:$I$89,3,0)*0.475*44/12</f>
        <v>6.4472532377737238E-23</v>
      </c>
      <c r="AC175" s="22">
        <f t="shared" si="163"/>
        <v>2.6029152401695854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29.189530872116961</v>
      </c>
      <c r="T176" s="59">
        <f t="shared" si="142"/>
        <v>190.9732278276216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2.4489862677979817</v>
      </c>
      <c r="AA176" s="21">
        <f>EXP(-LN(2)/25)*AA175+(1-EXP(-LN(2)/25))/(LN(2)/25)*Calculateur!V176*Calculateur!X176*VLOOKUP('Données projet'!$B$9,Paramètres!$A$1:$I$89,3,0)*0.475*44/12</f>
        <v>0.10207557066571313</v>
      </c>
      <c r="AB176" s="21">
        <f>EXP(-LN(2)/2)*AB175+(1-EXP(-LN(2)/2))/(LN(2)/2)*V176*Y176*VLOOKUP('Données projet'!$B$9,Paramètres!$A$1:$I$89,3,0)*0.475*44/12</f>
        <v>4.5588964844567246E-23</v>
      </c>
      <c r="AC176" s="22">
        <f t="shared" si="163"/>
        <v>2.5510618384636947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29.189530872116961</v>
      </c>
      <c r="T177" s="59">
        <f t="shared" si="142"/>
        <v>190.9732278276216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2.4009631408205925</v>
      </c>
      <c r="AA177" s="21">
        <f>EXP(-LN(2)/25)*AA176+(1-EXP(-LN(2)/25))/(LN(2)/25)*Calculateur!V177*Calculateur!X177*VLOOKUP('Données projet'!$B$9,Paramètres!$A$1:$I$89,3,0)*0.475*44/12</f>
        <v>9.9284308817938233E-2</v>
      </c>
      <c r="AB177" s="21">
        <f>EXP(-LN(2)/2)*AB176+(1-EXP(-LN(2)/2))/(LN(2)/2)*V177*Y177*VLOOKUP('Données projet'!$B$9,Paramètres!$A$1:$I$89,3,0)*0.475*44/12</f>
        <v>3.2236266188868619E-23</v>
      </c>
      <c r="AC177" s="22">
        <f t="shared" si="163"/>
        <v>2.5002474496385307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29.189530872116961</v>
      </c>
      <c r="T178" s="59">
        <f t="shared" si="142"/>
        <v>190.9732278276216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2.3538817180720146</v>
      </c>
      <c r="AA178" s="21">
        <f>EXP(-LN(2)/25)*AA177+(1-EXP(-LN(2)/25))/(LN(2)/25)*Calculateur!V178*Calculateur!X178*VLOOKUP('Données projet'!$B$9,Paramètres!$A$1:$I$89,3,0)*0.475*44/12</f>
        <v>9.6569374172176828E-2</v>
      </c>
      <c r="AB178" s="21">
        <f>EXP(-LN(2)/2)*AB177+(1-EXP(-LN(2)/2))/(LN(2)/2)*V178*Y178*VLOOKUP('Données projet'!$B$9,Paramètres!$A$1:$I$89,3,0)*0.475*44/12</f>
        <v>2.2794482422283623E-23</v>
      </c>
      <c r="AC178" s="22">
        <f t="shared" si="163"/>
        <v>2.4504510922441916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29.189530872116961</v>
      </c>
      <c r="T179" s="59">
        <f t="shared" si="142"/>
        <v>190.9732278276216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2.3077235333067043</v>
      </c>
      <c r="AA179" s="21">
        <f>EXP(-LN(2)/25)*AA178+(1-EXP(-LN(2)/25))/(LN(2)/25)*Calculateur!V179*Calculateur!X179*VLOOKUP('Données projet'!$B$9,Paramètres!$A$1:$I$89,3,0)*0.475*44/12</f>
        <v>9.3928679557075984E-2</v>
      </c>
      <c r="AB179" s="21">
        <f>EXP(-LN(2)/2)*AB178+(1-EXP(-LN(2)/2))/(LN(2)/2)*V179*Y179*VLOOKUP('Données projet'!$B$9,Paramètres!$A$1:$I$89,3,0)*0.475*44/12</f>
        <v>1.611813309443431E-23</v>
      </c>
      <c r="AC179" s="22">
        <f t="shared" si="163"/>
        <v>2.4016522128637803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29.189530872116961</v>
      </c>
      <c r="T180" s="59">
        <f t="shared" si="142"/>
        <v>190.9732278276216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2.262470482390929</v>
      </c>
      <c r="AA180" s="21">
        <f>EXP(-LN(2)/25)*AA179+(1-EXP(-LN(2)/25))/(LN(2)/25)*Calculateur!V180*Calculateur!X180*VLOOKUP('Données projet'!$B$9,Paramètres!$A$1:$I$89,3,0)*0.475*44/12</f>
        <v>9.1360194875093156E-2</v>
      </c>
      <c r="AB180" s="21">
        <f>EXP(-LN(2)/2)*AB179+(1-EXP(-LN(2)/2))/(LN(2)/2)*V180*Y180*VLOOKUP('Données projet'!$B$9,Paramètres!$A$1:$I$89,3,0)*0.475*44/12</f>
        <v>1.1397241211141812E-23</v>
      </c>
      <c r="AC180" s="22">
        <f t="shared" si="163"/>
        <v>2.3538306772660222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29.189530872116961</v>
      </c>
      <c r="T181" s="59">
        <f t="shared" si="142"/>
        <v>190.9732278276216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2.2181048162019765</v>
      </c>
      <c r="AA181" s="21">
        <f>EXP(-LN(2)/25)*AA180+(1-EXP(-LN(2)/25))/(LN(2)/25)*Calculateur!V181*Calculateur!X181*VLOOKUP('Données projet'!$B$9,Paramètres!$A$1:$I$89,3,0)*0.475*44/12</f>
        <v>8.8861945541809886E-2</v>
      </c>
      <c r="AB181" s="21">
        <f>EXP(-LN(2)/2)*AB180+(1-EXP(-LN(2)/2))/(LN(2)/2)*V181*Y181*VLOOKUP('Données projet'!$B$9,Paramètres!$A$1:$I$89,3,0)*0.475*44/12</f>
        <v>8.0590665472171548E-24</v>
      </c>
      <c r="AC181" s="22">
        <f t="shared" si="163"/>
        <v>2.3069667617437863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29.189530872116961</v>
      </c>
      <c r="T182" s="59">
        <f t="shared" si="142"/>
        <v>190.9732278276216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2.1746091336666047</v>
      </c>
      <c r="AA182" s="21">
        <f>EXP(-LN(2)/25)*AA181+(1-EXP(-LN(2)/25))/(LN(2)/25)*Calculateur!V182*Calculateur!X182*VLOOKUP('Données projet'!$B$9,Paramètres!$A$1:$I$89,3,0)*0.475*44/12</f>
        <v>8.6432010967922482E-2</v>
      </c>
      <c r="AB182" s="21">
        <f>EXP(-LN(2)/2)*AB181+(1-EXP(-LN(2)/2))/(LN(2)/2)*V182*Y182*VLOOKUP('Données projet'!$B$9,Paramètres!$A$1:$I$89,3,0)*0.475*44/12</f>
        <v>5.6986206055709058E-24</v>
      </c>
      <c r="AC182" s="22">
        <f t="shared" si="163"/>
        <v>2.2610411446345271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29.189530872116961</v>
      </c>
      <c r="T183" s="59">
        <f t="shared" si="142"/>
        <v>190.9732278276216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2.1319663749360047</v>
      </c>
      <c r="AA183" s="21">
        <f>EXP(-LN(2)/25)*AA182+(1-EXP(-LN(2)/25))/(LN(2)/25)*Calculateur!V183*Calculateur!X183*VLOOKUP('Données projet'!$B$9,Paramètres!$A$1:$I$89,3,0)*0.475*44/12</f>
        <v>8.4068523082742722E-2</v>
      </c>
      <c r="AB183" s="21">
        <f>EXP(-LN(2)/2)*AB182+(1-EXP(-LN(2)/2))/(LN(2)/2)*V183*Y183*VLOOKUP('Données projet'!$B$9,Paramètres!$A$1:$I$89,3,0)*0.475*44/12</f>
        <v>4.0295332736085774E-24</v>
      </c>
      <c r="AC183" s="22">
        <f t="shared" si="163"/>
        <v>2.2160348980187474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29.189530872116961</v>
      </c>
      <c r="T184" s="59">
        <f t="shared" si="142"/>
        <v>190.9732278276216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2.0901598146945974</v>
      </c>
      <c r="AA184" s="21">
        <f>EXP(-LN(2)/25)*AA183+(1-EXP(-LN(2)/25))/(LN(2)/25)*Calculateur!V184*Calculateur!X184*VLOOKUP('Données projet'!$B$9,Paramètres!$A$1:$I$89,3,0)*0.475*44/12</f>
        <v>8.1769664898073635E-2</v>
      </c>
      <c r="AB184" s="21">
        <f>EXP(-LN(2)/2)*AB183+(1-EXP(-LN(2)/2))/(LN(2)/2)*V184*Y184*VLOOKUP('Données projet'!$B$9,Paramètres!$A$1:$I$89,3,0)*0.475*44/12</f>
        <v>2.8493103027854529E-24</v>
      </c>
      <c r="AC184" s="22">
        <f t="shared" si="163"/>
        <v>2.1719294795926709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29.189530872116961</v>
      </c>
      <c r="T185" s="59">
        <f t="shared" si="142"/>
        <v>190.9732278276216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2.0491730556000403</v>
      </c>
      <c r="AA185" s="21">
        <f>EXP(-LN(2)/25)*AA184+(1-EXP(-LN(2)/25))/(LN(2)/25)*Calculateur!V185*Calculateur!X185*VLOOKUP('Données projet'!$B$9,Paramètres!$A$1:$I$89,3,0)*0.475*44/12</f>
        <v>7.9533669111356023E-2</v>
      </c>
      <c r="AB185" s="21">
        <f>EXP(-LN(2)/2)*AB184+(1-EXP(-LN(2)/2))/(LN(2)/2)*V185*Y185*VLOOKUP('Données projet'!$B$9,Paramètres!$A$1:$I$89,3,0)*0.475*44/12</f>
        <v>2.0147666368042887E-24</v>
      </c>
      <c r="AC185" s="22">
        <f t="shared" si="163"/>
        <v>2.1287067247113964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29.189530872116961</v>
      </c>
      <c r="T186" s="59">
        <f t="shared" si="142"/>
        <v>190.9732278276216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2.0089900218518726</v>
      </c>
      <c r="AA186" s="21">
        <f>EXP(-LN(2)/25)*AA185+(1-EXP(-LN(2)/25))/(LN(2)/25)*Calculateur!V186*Calculateur!X186*VLOOKUP('Données projet'!$B$9,Paramètres!$A$1:$I$89,3,0)*0.475*44/12</f>
        <v>7.7358816747012116E-2</v>
      </c>
      <c r="AB186" s="21">
        <f>EXP(-LN(2)/2)*AB185+(1-EXP(-LN(2)/2))/(LN(2)/2)*V186*Y186*VLOOKUP('Données projet'!$B$9,Paramètres!$A$1:$I$89,3,0)*0.475*44/12</f>
        <v>1.4246551513927264E-24</v>
      </c>
      <c r="AC186" s="22">
        <f t="shared" si="163"/>
        <v>2.0863488385988846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29.189530872116961</v>
      </c>
      <c r="T187" s="59">
        <f t="shared" si="142"/>
        <v>190.9732278276216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1.9695949528862762</v>
      </c>
      <c r="AA187" s="21">
        <f>EXP(-LN(2)/25)*AA186+(1-EXP(-LN(2)/25))/(LN(2)/25)*Calculateur!V187*Calculateur!X187*VLOOKUP('Données projet'!$B$9,Paramètres!$A$1:$I$89,3,0)*0.475*44/12</f>
        <v>7.5243435834941697E-2</v>
      </c>
      <c r="AB187" s="21">
        <f>EXP(-LN(2)/2)*AB186+(1-EXP(-LN(2)/2))/(LN(2)/2)*V187*Y187*VLOOKUP('Données projet'!$B$9,Paramètres!$A$1:$I$89,3,0)*0.475*44/12</f>
        <v>1.0073833184021443E-24</v>
      </c>
      <c r="AC187" s="22">
        <f t="shared" si="163"/>
        <v>2.0448383887212178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29.189530872116961</v>
      </c>
      <c r="T188" s="59">
        <f t="shared" si="142"/>
        <v>190.9732278276216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1.9309723971944757</v>
      </c>
      <c r="AA188" s="21">
        <f>EXP(-LN(2)/25)*AA187+(1-EXP(-LN(2)/25))/(LN(2)/25)*Calculateur!V188*Calculateur!X188*VLOOKUP('Données projet'!$B$9,Paramètres!$A$1:$I$89,3,0)*0.475*44/12</f>
        <v>7.3185900125154899E-2</v>
      </c>
      <c r="AB188" s="21">
        <f>EXP(-LN(2)/2)*AB187+(1-EXP(-LN(2)/2))/(LN(2)/2)*V188*Y188*VLOOKUP('Données projet'!$B$9,Paramètres!$A$1:$I$89,3,0)*0.475*44/12</f>
        <v>7.1232757569636322E-25</v>
      </c>
      <c r="AC188" s="22">
        <f t="shared" si="163"/>
        <v>2.0041582973196306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29.189530872116961</v>
      </c>
      <c r="T189" s="59">
        <f t="shared" si="142"/>
        <v>190.9732278276216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1.8931072062623584</v>
      </c>
      <c r="AA189" s="21">
        <f>EXP(-LN(2)/25)*AA188+(1-EXP(-LN(2)/25))/(LN(2)/25)*Calculateur!V189*Calculateur!X189*VLOOKUP('Données projet'!$B$9,Paramètres!$A$1:$I$89,3,0)*0.475*44/12</f>
        <v>7.1184627837553319E-2</v>
      </c>
      <c r="AB189" s="21">
        <f>EXP(-LN(2)/2)*AB188+(1-EXP(-LN(2)/2))/(LN(2)/2)*V189*Y189*VLOOKUP('Données projet'!$B$9,Paramètres!$A$1:$I$89,3,0)*0.475*44/12</f>
        <v>5.0369165920107217E-25</v>
      </c>
      <c r="AC189" s="22">
        <f t="shared" si="163"/>
        <v>1.9642918340999118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29.189530872116961</v>
      </c>
      <c r="T190" s="59">
        <f t="shared" si="142"/>
        <v>190.9732278276216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1.855984528628934</v>
      </c>
      <c r="AA190" s="21">
        <f>EXP(-LN(2)/25)*AA189+(1-EXP(-LN(2)/25))/(LN(2)/25)*Calculateur!V190*Calculateur!X190*VLOOKUP('Données projet'!$B$9,Paramètres!$A$1:$I$89,3,0)*0.475*44/12</f>
        <v>6.9238080445898534E-2</v>
      </c>
      <c r="AB190" s="21">
        <f>EXP(-LN(2)/2)*AB189+(1-EXP(-LN(2)/2))/(LN(2)/2)*V190*Y190*VLOOKUP('Données projet'!$B$9,Paramètres!$A$1:$I$89,3,0)*0.475*44/12</f>
        <v>3.5616378784818161E-25</v>
      </c>
      <c r="AC190" s="22">
        <f t="shared" si="163"/>
        <v>1.9252226090748326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29.189530872116961</v>
      </c>
      <c r="T191" s="59">
        <f t="shared" si="142"/>
        <v>190.9732278276216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1.8195898040613037</v>
      </c>
      <c r="AA191" s="21">
        <f>EXP(-LN(2)/25)*AA190+(1-EXP(-LN(2)/25))/(LN(2)/25)*Calculateur!V191*Calculateur!X191*VLOOKUP('Données projet'!$B$9,Paramètres!$A$1:$I$89,3,0)*0.475*44/12</f>
        <v>6.7344761495033031E-2</v>
      </c>
      <c r="AB191" s="21">
        <f>EXP(-LN(2)/2)*AB190+(1-EXP(-LN(2)/2))/(LN(2)/2)*V191*Y191*VLOOKUP('Données projet'!$B$9,Paramètres!$A$1:$I$89,3,0)*0.475*44/12</f>
        <v>2.5184582960053609E-25</v>
      </c>
      <c r="AC191" s="22">
        <f t="shared" si="163"/>
        <v>1.8869345655563368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29.189530872116961</v>
      </c>
      <c r="T192" s="59">
        <f t="shared" si="142"/>
        <v>190.9732278276216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1.7839087578438544</v>
      </c>
      <c r="AA192" s="21">
        <f>EXP(-LN(2)/25)*AA191+(1-EXP(-LN(2)/25))/(LN(2)/25)*Calculateur!V192*Calculateur!X192*VLOOKUP('Données projet'!$B$9,Paramètres!$A$1:$I$89,3,0)*0.475*44/12</f>
        <v>6.5503215450444269E-2</v>
      </c>
      <c r="AB192" s="21">
        <f>EXP(-LN(2)/2)*AB191+(1-EXP(-LN(2)/2))/(LN(2)/2)*V192*Y192*VLOOKUP('Données projet'!$B$9,Paramètres!$A$1:$I$89,3,0)*0.475*44/12</f>
        <v>1.7808189392409081E-25</v>
      </c>
      <c r="AC192" s="22">
        <f t="shared" si="163"/>
        <v>1.8494119732942986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29.189530872116961</v>
      </c>
      <c r="T193" s="59">
        <f t="shared" si="142"/>
        <v>190.9732278276216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1.74892739517944</v>
      </c>
      <c r="AA193" s="21">
        <f>EXP(-LN(2)/25)*AA192+(1-EXP(-LN(2)/25))/(LN(2)/25)*Calculateur!V193*Calculateur!X193*VLOOKUP('Données projet'!$B$9,Paramètres!$A$1:$I$89,3,0)*0.475*44/12</f>
        <v>6.3712026579287484E-2</v>
      </c>
      <c r="AB193" s="21">
        <f>EXP(-LN(2)/2)*AB192+(1-EXP(-LN(2)/2))/(LN(2)/2)*V193*Y193*VLOOKUP('Données projet'!$B$9,Paramètres!$A$1:$I$89,3,0)*0.475*44/12</f>
        <v>1.2592291480026804E-25</v>
      </c>
      <c r="AC193" s="22">
        <f t="shared" si="163"/>
        <v>1.8126394217587274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29.189530872116961</v>
      </c>
      <c r="T194" s="59">
        <f t="shared" si="142"/>
        <v>190.9732278276216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1.7146319957003504</v>
      </c>
      <c r="AA194" s="21">
        <f>EXP(-LN(2)/25)*AA193+(1-EXP(-LN(2)/25))/(LN(2)/25)*Calculateur!V194*Calculateur!X194*VLOOKUP('Données projet'!$B$9,Paramètres!$A$1:$I$89,3,0)*0.475*44/12</f>
        <v>6.1969817862007004E-2</v>
      </c>
      <c r="AB194" s="21">
        <f>EXP(-LN(2)/2)*AB193+(1-EXP(-LN(2)/2))/(LN(2)/2)*V194*Y194*VLOOKUP('Données projet'!$B$9,Paramètres!$A$1:$I$89,3,0)*0.475*44/12</f>
        <v>8.9040946962045403E-26</v>
      </c>
      <c r="AC194" s="22">
        <f t="shared" si="163"/>
        <v>1.7766018135623574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29.189530872116961</v>
      </c>
      <c r="T195" s="59">
        <f t="shared" si="142"/>
        <v>190.9732278276216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1.6810091080869176</v>
      </c>
      <c r="AA195" s="21">
        <f>EXP(-LN(2)/25)*AA194+(1-EXP(-LN(2)/25))/(LN(2)/25)*Calculateur!V195*Calculateur!X195*VLOOKUP('Données projet'!$B$9,Paramètres!$A$1:$I$89,3,0)*0.475*44/12</f>
        <v>6.0275249933719334E-2</v>
      </c>
      <c r="AB195" s="21">
        <f>EXP(-LN(2)/2)*AB194+(1-EXP(-LN(2)/2))/(LN(2)/2)*V195*Y195*VLOOKUP('Données projet'!$B$9,Paramètres!$A$1:$I$89,3,0)*0.475*44/12</f>
        <v>6.2961457400134022E-26</v>
      </c>
      <c r="AC195" s="22">
        <f t="shared" si="163"/>
        <v>1.741284358020637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29.189530872116961</v>
      </c>
      <c r="T196" s="59">
        <f t="shared" si="142"/>
        <v>190.9732278276216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1.6480455447916478</v>
      </c>
      <c r="AA196" s="21">
        <f>EXP(-LN(2)/25)*AA195+(1-EXP(-LN(2)/25))/(LN(2)/25)*Calculateur!V196*Calculateur!X196*VLOOKUP('Données projet'!$B$9,Paramètres!$A$1:$I$89,3,0)*0.475*44/12</f>
        <v>5.8627020054544149E-2</v>
      </c>
      <c r="AB196" s="21">
        <f>EXP(-LN(2)/2)*AB195+(1-EXP(-LN(2)/2))/(LN(2)/2)*V196*Y196*VLOOKUP('Données projet'!$B$9,Paramètres!$A$1:$I$89,3,0)*0.475*44/12</f>
        <v>4.4520473481022701E-26</v>
      </c>
      <c r="AC196" s="22">
        <f t="shared" si="163"/>
        <v>1.706672564846192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29.189530872116961</v>
      </c>
      <c r="T197" s="59">
        <f t="shared" ref="T197:T203" si="204">$T$3</f>
        <v>190.9732278276216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1.6157283768668098</v>
      </c>
      <c r="AA197" s="21">
        <f>EXP(-LN(2)/25)*AA196+(1-EXP(-LN(2)/25))/(LN(2)/25)*Calculateur!V197*Calculateur!X197*VLOOKUP('Données projet'!$B$9,Paramètres!$A$1:$I$89,3,0)*0.475*44/12</f>
        <v>5.7023861108091649E-2</v>
      </c>
      <c r="AB197" s="21">
        <f>EXP(-LN(2)/2)*AB196+(1-EXP(-LN(2)/2))/(LN(2)/2)*V197*Y197*VLOOKUP('Données projet'!$B$9,Paramètres!$A$1:$I$89,3,0)*0.475*44/12</f>
        <v>3.1480728700067011E-26</v>
      </c>
      <c r="AC197" s="22">
        <f t="shared" si="163"/>
        <v>1.6727522379749014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29.189530872116961</v>
      </c>
      <c r="T198" s="59">
        <f t="shared" si="204"/>
        <v>190.9732278276216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1.5840449288934517</v>
      </c>
      <c r="AA198" s="21">
        <f>EXP(-LN(2)/25)*AA197+(1-EXP(-LN(2)/25))/(LN(2)/25)*Calculateur!V198*Calculateur!X198*VLOOKUP('Données projet'!$B$9,Paramètres!$A$1:$I$89,3,0)*0.475*44/12</f>
        <v>5.5464540627336356E-2</v>
      </c>
      <c r="AB198" s="21">
        <f>EXP(-LN(2)/2)*AB197+(1-EXP(-LN(2)/2))/(LN(2)/2)*V198*Y198*VLOOKUP('Données projet'!$B$9,Paramètres!$A$1:$I$89,3,0)*0.475*44/12</f>
        <v>2.2260236740511351E-26</v>
      </c>
      <c r="AC198" s="22">
        <f t="shared" si="163"/>
        <v>1.6395094695207881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29.189530872116961</v>
      </c>
      <c r="T199" s="59">
        <f t="shared" si="204"/>
        <v>190.9732278276216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1.5529827740098563</v>
      </c>
      <c r="AA199" s="21">
        <f>EXP(-LN(2)/25)*AA198+(1-EXP(-LN(2)/25))/(LN(2)/25)*Calculateur!V199*Calculateur!X199*VLOOKUP('Données projet'!$B$9,Paramètres!$A$1:$I$89,3,0)*0.475*44/12</f>
        <v>5.3947859847128417E-2</v>
      </c>
      <c r="AB199" s="21">
        <f>EXP(-LN(2)/2)*AB198+(1-EXP(-LN(2)/2))/(LN(2)/2)*V199*Y199*VLOOKUP('Données projet'!$B$9,Paramètres!$A$1:$I$89,3,0)*0.475*44/12</f>
        <v>1.5740364350033505E-26</v>
      </c>
      <c r="AC199" s="22">
        <f t="shared" si="163"/>
        <v>1.6069306338569846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29.189530872116961</v>
      </c>
      <c r="T200" s="59">
        <f t="shared" si="204"/>
        <v>190.9732278276216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1.5225297290374844</v>
      </c>
      <c r="AA200" s="21">
        <f>EXP(-LN(2)/25)*AA199+(1-EXP(-LN(2)/25))/(LN(2)/25)*Calculateur!V200*Calculateur!X200*VLOOKUP('Données projet'!$B$9,Paramètres!$A$1:$I$89,3,0)*0.475*44/12</f>
        <v>5.2472652782614038E-2</v>
      </c>
      <c r="AB200" s="21">
        <f>EXP(-LN(2)/2)*AB199+(1-EXP(-LN(2)/2))/(LN(2)/2)*V200*Y200*VLOOKUP('Données projet'!$B$9,Paramètres!$A$1:$I$89,3,0)*0.475*44/12</f>
        <v>1.1130118370255675E-26</v>
      </c>
      <c r="AC200" s="22">
        <f t="shared" si="163"/>
        <v>1.5750023818200984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29.189530872116961</v>
      </c>
      <c r="T201" s="59">
        <f t="shared" si="204"/>
        <v>190.9732278276216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1.4926738497024974</v>
      </c>
      <c r="AA201" s="21">
        <f>EXP(-LN(2)/25)*AA200+(1-EXP(-LN(2)/25))/(LN(2)/25)*Calculateur!V201*Calculateur!X201*VLOOKUP('Données projet'!$B$9,Paramètres!$A$1:$I$89,3,0)*0.475*44/12</f>
        <v>5.1037785332856578E-2</v>
      </c>
      <c r="AB201" s="21">
        <f>EXP(-LN(2)/2)*AB200+(1-EXP(-LN(2)/2))/(LN(2)/2)*V201*Y201*VLOOKUP('Données projet'!$B$9,Paramètres!$A$1:$I$89,3,0)*0.475*44/12</f>
        <v>7.8701821750167527E-27</v>
      </c>
      <c r="AC201" s="22">
        <f t="shared" si="163"/>
        <v>1.5437116350353539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29.189530872116961</v>
      </c>
      <c r="T202" s="59">
        <f t="shared" si="204"/>
        <v>190.9732278276216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1.4634034259509812</v>
      </c>
      <c r="AA202" s="21">
        <f>EXP(-LN(2)/25)*AA201+(1-EXP(-LN(2)/25))/(LN(2)/25)*Calculateur!V202*Calculateur!X202*VLOOKUP('Données projet'!$B$9,Paramètres!$A$1:$I$89,3,0)*0.475*44/12</f>
        <v>4.964215440896913E-2</v>
      </c>
      <c r="AB202" s="21">
        <f>EXP(-LN(2)/2)*AB201+(1-EXP(-LN(2)/2))/(LN(2)/2)*V202*Y202*VLOOKUP('Données projet'!$B$9,Paramètres!$A$1:$I$89,3,0)*0.475*44/12</f>
        <v>5.5650591851278377E-27</v>
      </c>
      <c r="AC202" s="22">
        <f t="shared" si="163"/>
        <v>1.5130455803599503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29.189530872116961</v>
      </c>
      <c r="T203" s="59">
        <f t="shared" si="204"/>
        <v>190.9732278276216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1.4347069773560366</v>
      </c>
      <c r="AA203" s="21">
        <f>EXP(-LN(2)/25)*AA202+(1-EXP(-LN(2)/25))/(LN(2)/25)*Calculateur!V203*Calculateur!X203*VLOOKUP('Données projet'!$B$9,Paramètres!$A$1:$I$89,3,0)*0.475*44/12</f>
        <v>4.8284687086088428E-2</v>
      </c>
      <c r="AB203" s="21">
        <f>EXP(-LN(2)/2)*AB202+(1-EXP(-LN(2)/2))/(LN(2)/2)*V203*Y203*VLOOKUP('Données projet'!$B$9,Paramètres!$A$1:$I$89,3,0)*0.475*44/12</f>
        <v>3.9350910875083763E-27</v>
      </c>
      <c r="AC203" s="22">
        <f t="shared" si="163"/>
        <v>1.482991664442125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1.3411283585680507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3203125" defaultRowHeight="14.25" x14ac:dyDescent="0.45"/>
  <cols>
    <col min="1" max="1" width="23.33203125" style="4" bestFit="1" customWidth="1"/>
    <col min="2" max="2" width="27.73046875" style="4" bestFit="1" customWidth="1"/>
    <col min="3" max="3" width="11.796875" style="4" bestFit="1" customWidth="1"/>
    <col min="4" max="4" width="40" style="4" bestFit="1" customWidth="1"/>
    <col min="5" max="5" width="11.796875" style="4" bestFit="1" customWidth="1"/>
    <col min="6" max="6" width="13.73046875" style="4" bestFit="1" customWidth="1"/>
    <col min="7" max="7" width="11.33203125" style="4" bestFit="1" customWidth="1"/>
    <col min="8" max="8" width="39" style="4" bestFit="1" customWidth="1"/>
    <col min="9" max="9" width="16.73046875" style="4" customWidth="1"/>
    <col min="10" max="14" width="11.33203125" style="4"/>
    <col min="15" max="15" width="23.33203125" style="4" bestFit="1" customWidth="1"/>
    <col min="16" max="16384" width="11.3320312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zoomScale="90" zoomScaleNormal="90" workbookViewId="0">
      <selection activeCell="L16" sqref="L16"/>
    </sheetView>
  </sheetViews>
  <sheetFormatPr baseColWidth="10" defaultColWidth="11.33203125" defaultRowHeight="14.25" x14ac:dyDescent="0.45"/>
  <cols>
    <col min="1" max="1" width="22.796875" style="1" bestFit="1" customWidth="1"/>
    <col min="2" max="2" width="10.59765625" style="1" bestFit="1" customWidth="1"/>
    <col min="3" max="3" width="15.59765625" style="1" bestFit="1" customWidth="1"/>
    <col min="4" max="4" width="13.33203125" style="1" bestFit="1" customWidth="1"/>
    <col min="5" max="8" width="11.33203125" style="1"/>
    <col min="9" max="13" width="11.33203125" style="62"/>
    <col min="14" max="15" width="11.33203125" style="1"/>
    <col min="16" max="17" width="13.33203125" style="1" customWidth="1"/>
    <col min="18" max="16384" width="11.3320312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Peuplier Dorskamp</v>
      </c>
      <c r="B6" s="146">
        <f>'Données projet'!D9</f>
        <v>5.2355</v>
      </c>
      <c r="C6" s="147">
        <f ca="1">IF(OR('Données projet'!B9="",'Données projet'!C9="",'Données projet'!C9=0%),0,Calculateur!S3)</f>
        <v>29.189530872116961</v>
      </c>
      <c r="D6" s="147">
        <f>IF(OR('Données projet'!B9="",'Données projet'!C9="",'Données projet'!C9=0%),0,Calculateur!T3)</f>
        <v>190.9732278276216</v>
      </c>
      <c r="E6" s="147">
        <f ca="1">MIN(C6,D6)</f>
        <v>29.189530872116961</v>
      </c>
      <c r="F6" s="147">
        <f ca="1">E6*B6</f>
        <v>152.82178888096834</v>
      </c>
      <c r="G6" s="147">
        <f ca="1">F6*(100%-'Données projet'!$C$24)*(100%-'Données projet'!$C$25)*(100%-'Données projet'!$C$26)*(100%-'Données projet'!$C$27)</f>
        <v>137.5396099928715</v>
      </c>
      <c r="H6" s="148">
        <f>IF(OR('Données projet'!B9="",'Données projet'!C9="",'Données projet'!C9=0%),0,AVERAGE(Calculateur!$AC$3:$AC$33)*B6)</f>
        <v>122.67871531587819</v>
      </c>
      <c r="I6" s="149">
        <f>H6*(100%-'Données projet'!$C$24)*(100%-'Données projet'!$C$25)*(100%-'Données projet'!$C$26)*(100%-'Données projet'!$C$27)</f>
        <v>110.41084378429038</v>
      </c>
      <c r="J6" s="150">
        <f>IF(OR('Données projet'!B9="",'Données projet'!C9="",'Données projet'!C9=0%),0,SUM(Calculateur!$V$3:$V$33)*VLOOKUP('Données projet'!$B$9,Paramètres!$A$1:$I$89,9,0)*B6)</f>
        <v>1062.3353050000001</v>
      </c>
      <c r="K6" s="151">
        <f>J6*(100%-'Données projet'!$C$24)*(100%-'Données projet'!$C$25)*(100%-'Données projet'!$C$26)*(100%-'Données projet'!$C$27)</f>
        <v>956.10177450000003</v>
      </c>
      <c r="L6" s="152">
        <f ca="1">G6+I6+K6</f>
        <v>1204.0522282771619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152.82178888096834</v>
      </c>
      <c r="G16" s="166">
        <f t="shared" ca="1" si="3"/>
        <v>137.5396099928715</v>
      </c>
      <c r="H16" s="167">
        <f t="shared" si="3"/>
        <v>122.67871531587819</v>
      </c>
      <c r="I16" s="167">
        <f t="shared" si="3"/>
        <v>110.41084378429038</v>
      </c>
      <c r="J16" s="168">
        <f t="shared" si="3"/>
        <v>1062.3353050000001</v>
      </c>
      <c r="K16" s="168">
        <f t="shared" si="3"/>
        <v>956.10177450000003</v>
      </c>
      <c r="L16" s="169">
        <f t="shared" ca="1" si="3"/>
        <v>1204.0522282771619</v>
      </c>
      <c r="M16" s="23">
        <f ca="1">L16/'Données projet'!C5</f>
        <v>229.97846018091144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Peuplier Dorskamp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3" zoomScale="80" zoomScaleNormal="80" workbookViewId="0">
      <selection activeCell="I24" sqref="I24"/>
    </sheetView>
  </sheetViews>
  <sheetFormatPr baseColWidth="10" defaultColWidth="11.33203125" defaultRowHeight="14.25" x14ac:dyDescent="0.45"/>
  <cols>
    <col min="1" max="1" width="11.33203125" style="1"/>
    <col min="2" max="2" width="30.796875" style="1" bestFit="1" customWidth="1"/>
    <col min="3" max="3" width="18.06640625" style="1" bestFit="1" customWidth="1"/>
    <col min="4" max="5" width="11.33203125" style="1"/>
    <col min="6" max="6" width="14" style="1" customWidth="1"/>
    <col min="7" max="7" width="17.59765625" style="1" customWidth="1"/>
    <col min="8" max="8" width="21.73046875" style="1" customWidth="1"/>
    <col min="9" max="9" width="37" style="1" customWidth="1"/>
    <col min="10" max="10" width="11.33203125" style="1"/>
    <col min="11" max="11" width="8.796875" style="1" customWidth="1"/>
    <col min="12" max="12" width="11.33203125" style="1"/>
    <col min="13" max="13" width="21" style="1" customWidth="1"/>
    <col min="14" max="16" width="11.33203125" style="1"/>
    <col min="17" max="17" width="8" style="1" customWidth="1"/>
    <col min="18" max="18" width="11.33203125" style="1"/>
    <col min="19" max="19" width="31" style="1" customWidth="1"/>
    <col min="20" max="20" width="18.06640625" style="1" customWidth="1"/>
    <col min="21" max="21" width="16.33203125" style="1" customWidth="1"/>
    <col min="22" max="22" width="17.796875" style="1" customWidth="1"/>
    <col min="23" max="16384" width="11.3320312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Dorskamp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5324.9323376414059</v>
      </c>
      <c r="U10" s="178">
        <f>'Données projet'!D9</f>
        <v>5.2355</v>
      </c>
      <c r="V10" s="177">
        <f>U10*T10</f>
        <v>27878.683253721581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Peuplier Dorskamp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50.000000000000028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750.00000000000045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5239.5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404.92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556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18</v>
      </c>
      <c r="B23" s="181">
        <f>'Données projet'!D36</f>
        <v>197</v>
      </c>
      <c r="C23" s="193">
        <v>60</v>
      </c>
      <c r="D23" s="182">
        <f>B23*C23</f>
        <v>11820</v>
      </c>
      <c r="E23" s="193">
        <v>60</v>
      </c>
      <c r="F23" s="230"/>
      <c r="H23" s="190">
        <v>4</v>
      </c>
      <c r="I23" s="191">
        <v>708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-5971.9410078024302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>
        <v>5</v>
      </c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434.71527929637915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-6406.6562870988091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str">
        <f>IF(O51+1&lt;=MIN('Données projet'!$E$9:$E$18),O51+1,"STOP")</f>
        <v>STOP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B241C-397C-4760-AF2B-1BF6F136A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Marion FRESNEAU</cp:lastModifiedBy>
  <dcterms:created xsi:type="dcterms:W3CDTF">2021-02-01T08:22:39Z</dcterms:created>
  <dcterms:modified xsi:type="dcterms:W3CDTF">2024-09-12T12:34:20Z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