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mili\Documents\Forêt\Atmosylva\Projets forestiers\Jean de Russon\Herbignac\Dossier définitif\"/>
    </mc:Choice>
  </mc:AlternateContent>
  <xr:revisionPtr revIDLastSave="0" documentId="13_ncr:1_{2250EE11-AB76-4A4B-BE87-AB6FF3FA8DCC}" xr6:coauthVersionLast="47" xr6:coauthVersionMax="47" xr10:uidLastSave="{00000000-0000-0000-0000-000000000000}"/>
  <bookViews>
    <workbookView xWindow="6288" yWindow="120" windowWidth="16668" windowHeight="11976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6" l="1"/>
  <c r="C25" i="6"/>
  <c r="C24" i="6"/>
  <c r="C23" i="6"/>
  <c r="C126" i="6"/>
  <c r="C125" i="6"/>
  <c r="C124" i="6"/>
  <c r="C123" i="6"/>
  <c r="C122" i="6"/>
  <c r="C121" i="6"/>
  <c r="C120" i="6"/>
  <c r="C119" i="6"/>
  <c r="C118" i="6"/>
  <c r="C117" i="6"/>
  <c r="C116" i="6"/>
  <c r="C58" i="6"/>
  <c r="C57" i="6"/>
  <c r="C56" i="6"/>
  <c r="C55" i="6"/>
  <c r="C54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B101" i="1" l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118" i="1" l="1"/>
  <c r="B117" i="1"/>
  <c r="B126" i="1"/>
  <c r="B125" i="1"/>
  <c r="B124" i="1"/>
  <c r="B123" i="1"/>
  <c r="B122" i="1"/>
  <c r="B121" i="1"/>
  <c r="B120" i="1"/>
  <c r="B119" i="1"/>
  <c r="B116" i="1"/>
  <c r="B115" i="1"/>
  <c r="B114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E117" i="6" s="1"/>
  <c r="D118" i="6"/>
  <c r="E118" i="6" s="1"/>
  <c r="D119" i="6"/>
  <c r="E119" i="6" s="1"/>
  <c r="D120" i="6"/>
  <c r="E120" i="6" s="1"/>
  <c r="D121" i="6"/>
  <c r="E121" i="6" s="1"/>
  <c r="D122" i="6"/>
  <c r="E122" i="6" s="1"/>
  <c r="D123" i="6"/>
  <c r="E123" i="6" s="1"/>
  <c r="D124" i="6"/>
  <c r="E124" i="6" s="1"/>
  <c r="D125" i="6"/>
  <c r="E125" i="6" s="1"/>
  <c r="D126" i="6"/>
  <c r="E126" i="6" s="1"/>
  <c r="D127" i="6"/>
  <c r="E127" i="6" s="1"/>
  <c r="D128" i="6"/>
  <c r="E128" i="6" s="1"/>
  <c r="D129" i="6"/>
  <c r="D130" i="6"/>
  <c r="D131" i="6"/>
  <c r="D132" i="6"/>
  <c r="D133" i="6"/>
  <c r="D134" i="6"/>
  <c r="D135" i="6"/>
  <c r="D116" i="6"/>
  <c r="E116" i="6" s="1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E85" i="6" s="1"/>
  <c r="D55" i="6"/>
  <c r="E55" i="6" s="1"/>
  <c r="D56" i="6"/>
  <c r="E56" i="6" s="1"/>
  <c r="D57" i="6"/>
  <c r="E57" i="6" s="1"/>
  <c r="D58" i="6"/>
  <c r="E58" i="6" s="1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E24" i="6" s="1"/>
  <c r="D25" i="6"/>
  <c r="E25" i="6" s="1"/>
  <c r="D26" i="6"/>
  <c r="E26" i="6" s="1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FS18" i="2"/>
  <c r="EA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B22" i="2"/>
  <c r="EA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FS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HG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X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C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FS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G140" i="2" l="1"/>
  <c r="EX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X156" i="2" l="1"/>
  <c r="FS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HG157" i="2"/>
  <c r="EC157" i="2"/>
  <c r="EX157" i="2"/>
  <c r="EB157" i="2"/>
  <c r="HH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HI163" i="2"/>
  <c r="HH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S164" i="2" l="1"/>
  <c r="EV164" i="2"/>
  <c r="EA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A165" i="2"/>
  <c r="EX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EA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V192" i="2"/>
  <c r="HH192" i="2"/>
  <c r="EB192" i="2"/>
  <c r="EW192" i="2"/>
  <c r="HG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EB194" i="2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I195" i="2" l="1"/>
  <c r="AA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EB199" i="2"/>
  <c r="FS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82" i="2" a="1"/>
  <c r="BC82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64" i="2" a="1"/>
  <c r="BC164" i="2" s="1"/>
  <c r="BC143" i="2" a="1"/>
  <c r="BC143" i="2" s="1"/>
  <c r="BC185" i="2" a="1"/>
  <c r="BC185" i="2" s="1"/>
  <c r="BC83" i="2" a="1"/>
  <c r="BC8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BC181" i="2" a="1"/>
  <c r="BC181" i="2" s="1"/>
  <c r="BC38" i="2" a="1"/>
  <c r="BC38" i="2" s="1"/>
  <c r="BC32" i="2" a="1"/>
  <c r="BC32" i="2" s="1"/>
  <c r="BC126" i="2" a="1"/>
  <c r="BC126" i="2" s="1"/>
  <c r="BC7" i="2" a="1"/>
  <c r="BC7" i="2" s="1"/>
  <c r="BD7" i="2" s="1"/>
  <c r="BC84" i="2" a="1"/>
  <c r="BC84" i="2" s="1"/>
  <c r="BC55" i="2" a="1"/>
  <c r="BC55" i="2" s="1"/>
  <c r="BC114" i="2" a="1"/>
  <c r="BC114" i="2" s="1"/>
  <c r="BC68" i="2" a="1"/>
  <c r="BC68" i="2" s="1"/>
  <c r="BC151" i="2" a="1"/>
  <c r="BC151" i="2" s="1"/>
  <c r="BC31" i="2" a="1"/>
  <c r="BC31" i="2" s="1"/>
  <c r="BC192" i="2" a="1"/>
  <c r="BC192" i="2" s="1"/>
  <c r="BC65" i="2" a="1"/>
  <c r="BC65" i="2" s="1"/>
  <c r="BC47" i="2" a="1"/>
  <c r="BC47" i="2" s="1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25" i="2" l="1"/>
  <c r="BI47" i="2"/>
  <c r="BI100" i="2"/>
  <c r="BI142" i="2"/>
  <c r="BI194" i="2"/>
  <c r="BI29" i="2"/>
  <c r="BI20" i="2"/>
  <c r="BI147" i="2"/>
  <c r="BI173" i="2"/>
  <c r="BI130" i="2"/>
  <c r="BI51" i="2"/>
  <c r="BI170" i="2"/>
  <c r="BI95" i="2"/>
  <c r="BI117" i="2"/>
  <c r="BI3" i="2"/>
  <c r="C8" i="4" s="1"/>
  <c r="E8" i="4" s="1"/>
  <c r="F8" i="4" s="1"/>
  <c r="G8" i="4" s="1"/>
  <c r="L8" i="4" s="1"/>
  <c r="BI28" i="2"/>
  <c r="BI148" i="2"/>
  <c r="BI59" i="2"/>
  <c r="BI50" i="2"/>
  <c r="BI21" i="2"/>
  <c r="BI176" i="2"/>
  <c r="BI96" i="2"/>
  <c r="BI196" i="2"/>
  <c r="BI102" i="2"/>
  <c r="BI189" i="2"/>
  <c r="BI120" i="2"/>
  <c r="BI41" i="2"/>
  <c r="BI10" i="2"/>
  <c r="BI151" i="2"/>
  <c r="BI143" i="2"/>
  <c r="BI4" i="2"/>
  <c r="BI52" i="2"/>
  <c r="BI77" i="2"/>
  <c r="BI103" i="2"/>
  <c r="BI91" i="2"/>
  <c r="BI160" i="2"/>
  <c r="BI98" i="2"/>
  <c r="BI109" i="2"/>
  <c r="BI141" i="2"/>
  <c r="BI139" i="2"/>
  <c r="BI22" i="2"/>
  <c r="BI69" i="2"/>
  <c r="BI90" i="2"/>
  <c r="BI144" i="2"/>
  <c r="BI105" i="2"/>
  <c r="BI71" i="2"/>
  <c r="BI14" i="2"/>
  <c r="BI115" i="2"/>
  <c r="BI171" i="2"/>
  <c r="BI68" i="2"/>
  <c r="BI54" i="2"/>
  <c r="BI7" i="2"/>
  <c r="BI45" i="2"/>
  <c r="BI35" i="2"/>
  <c r="BI174" i="2"/>
  <c r="BI6" i="2"/>
  <c r="BI65" i="2"/>
  <c r="BI150" i="2"/>
  <c r="BI138" i="2"/>
  <c r="BI108" i="2"/>
  <c r="BI145" i="2"/>
  <c r="BI38" i="2"/>
  <c r="BI166" i="2"/>
  <c r="BI149" i="2"/>
  <c r="BI135" i="2"/>
  <c r="BI33" i="2"/>
  <c r="BI177" i="2"/>
  <c r="BI39" i="2"/>
  <c r="BI85" i="2"/>
  <c r="BI23" i="2"/>
  <c r="BI81" i="2"/>
  <c r="BI106" i="2"/>
  <c r="BI60" i="2"/>
  <c r="BI64" i="2"/>
  <c r="BI93" i="2"/>
  <c r="BI175" i="2"/>
  <c r="BI159" i="2"/>
  <c r="BI168" i="2"/>
  <c r="BI200" i="2"/>
  <c r="BI12" i="2"/>
  <c r="BI118" i="2"/>
  <c r="BI44" i="2"/>
  <c r="BI192" i="2"/>
  <c r="BI62" i="2"/>
  <c r="BI31" i="2"/>
  <c r="BI9" i="2"/>
  <c r="BI5" i="2"/>
  <c r="BI42" i="2"/>
  <c r="BI13" i="2"/>
  <c r="BI16" i="2"/>
  <c r="BI123" i="2"/>
  <c r="BI49" i="2"/>
  <c r="BI188" i="2"/>
  <c r="BI187" i="2"/>
  <c r="BI132" i="2"/>
  <c r="BI26" i="2"/>
  <c r="BI25" i="2"/>
  <c r="BI116" i="2"/>
  <c r="BI87" i="2"/>
  <c r="BI112" i="2"/>
  <c r="BI185" i="2"/>
  <c r="BI172" i="2"/>
  <c r="BI17" i="2"/>
  <c r="BI128" i="2"/>
  <c r="BI191" i="2"/>
  <c r="BI193" i="2"/>
  <c r="BI61" i="2"/>
  <c r="BI157" i="2"/>
  <c r="BI63" i="2"/>
  <c r="BI88" i="2"/>
  <c r="BI154" i="2"/>
  <c r="BI163" i="2"/>
  <c r="BI55" i="2"/>
  <c r="BI32" i="2"/>
  <c r="BI43" i="2"/>
  <c r="BI146" i="2"/>
  <c r="BI201" i="2"/>
  <c r="BI126" i="2"/>
  <c r="BI57" i="2"/>
  <c r="BI197" i="2"/>
  <c r="BI79" i="2"/>
  <c r="BI122" i="2"/>
  <c r="BI158" i="2"/>
  <c r="BI80" i="2"/>
  <c r="BI73" i="2"/>
  <c r="BI70" i="2"/>
  <c r="BI58" i="2"/>
  <c r="BI121" i="2"/>
  <c r="BI202" i="2"/>
  <c r="BI195" i="2"/>
  <c r="BI127" i="2"/>
  <c r="BI179" i="2"/>
  <c r="BI37" i="2"/>
  <c r="BI97" i="2"/>
  <c r="BI107" i="2"/>
  <c r="BI199" i="2"/>
  <c r="BI152" i="2"/>
  <c r="BI78" i="2"/>
  <c r="BI162" i="2"/>
  <c r="BI190" i="2"/>
  <c r="BI66" i="2"/>
  <c r="BI180" i="2"/>
  <c r="BI27" i="2"/>
  <c r="BI124" i="2"/>
  <c r="BI74" i="2"/>
  <c r="BI153" i="2"/>
  <c r="BI119" i="2"/>
  <c r="BI76" i="2"/>
  <c r="BI165" i="2"/>
  <c r="BI84" i="2"/>
  <c r="BI178" i="2"/>
  <c r="BI133" i="2"/>
  <c r="BI53" i="2"/>
  <c r="BI136" i="2"/>
  <c r="BI99" i="2"/>
  <c r="BI111" i="2"/>
  <c r="BI137" i="2"/>
  <c r="BI131" i="2"/>
  <c r="BI19" i="2"/>
  <c r="BI67" i="2"/>
  <c r="BI86" i="2"/>
  <c r="BI30" i="2"/>
  <c r="BI48" i="2"/>
  <c r="BI18" i="2"/>
  <c r="BI134" i="2"/>
  <c r="BI8" i="2"/>
  <c r="BI182" i="2"/>
  <c r="BI114" i="2"/>
  <c r="BI89" i="2"/>
  <c r="BI72" i="2"/>
  <c r="BI181" i="2"/>
  <c r="BI24" i="2"/>
  <c r="BI75" i="2"/>
  <c r="BI36" i="2"/>
  <c r="BI83" i="2"/>
  <c r="BI82" i="2"/>
  <c r="BI104" i="2"/>
  <c r="BI101" i="2"/>
  <c r="BI183" i="2"/>
  <c r="BI15" i="2"/>
  <c r="BI186" i="2"/>
  <c r="BI198" i="2"/>
  <c r="BI156" i="2"/>
  <c r="BI94" i="2"/>
  <c r="BI161" i="2"/>
  <c r="BI11" i="2"/>
  <c r="BI169" i="2"/>
  <c r="BI184" i="2"/>
  <c r="BI155" i="2"/>
  <c r="BI40" i="2"/>
  <c r="BI113" i="2"/>
  <c r="BI56" i="2"/>
  <c r="BI110" i="2"/>
  <c r="BI203" i="2"/>
  <c r="BI167" i="2"/>
  <c r="BI164" i="2"/>
  <c r="BI140" i="2"/>
  <c r="BI92" i="2"/>
  <c r="BI46" i="2"/>
  <c r="BI129" i="2"/>
  <c r="BI3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<sst xmlns="http://schemas.openxmlformats.org/spreadsheetml/2006/main" count="1173" uniqueCount="324">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</sst>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1.9024664163419562</c:v>
                </c:pt>
                <c:pt idx="2">
                  <c:v>2.3337471141675619</c:v>
                </c:pt>
                <c:pt idx="3">
                  <c:v>2.8631760070754217</c:v>
                </c:pt>
                <c:pt idx="4">
                  <c:v>3.5131705449753459</c:v>
                </c:pt>
                <c:pt idx="5">
                  <c:v>4.3112858795917255</c:v>
                </c:pt>
                <c:pt idx="6">
                  <c:v>5.2913960683870629</c:v>
                </c:pt>
                <c:pt idx="7">
                  <c:v>6.495147641515004</c:v>
                </c:pt>
                <c:pt idx="8">
                  <c:v>7.9737485018599576</c:v>
                </c:pt>
                <c:pt idx="9">
                  <c:v>9.7901697224433999</c:v>
                </c:pt>
                <c:pt idx="10">
                  <c:v>12.021855789634543</c:v>
                </c:pt>
                <c:pt idx="11">
                  <c:v>14.764061003687202</c:v>
                </c:pt>
                <c:pt idx="12">
                  <c:v>18.133957063093757</c:v>
                </c:pt>
                <c:pt idx="13">
                  <c:v>22.275690525990225</c:v>
                </c:pt>
                <c:pt idx="14">
                  <c:v>27.366610340195596</c:v>
                </c:pt>
                <c:pt idx="15">
                  <c:v>33.624936788614932</c:v>
                </c:pt>
                <c:pt idx="16">
                  <c:v>41.319206259948743</c:v>
                </c:pt>
                <c:pt idx="17">
                  <c:v>50.779904002896586</c:v>
                </c:pt>
                <c:pt idx="18">
                  <c:v>62.413792880912318</c:v>
                </c:pt>
                <c:pt idx="19">
                  <c:v>76.721564340008584</c:v>
                </c:pt>
                <c:pt idx="20">
                  <c:v>94.319583547664408</c:v>
                </c:pt>
                <c:pt idx="21">
                  <c:v>115.96668038884228</c:v>
                </c:pt>
                <c:pt idx="22">
                  <c:v>142.59715965174772</c:v>
                </c:pt>
                <c:pt idx="23">
                  <c:v>175.36147709368302</c:v>
                </c:pt>
                <c:pt idx="24">
                  <c:v>215.67636522938469</c:v>
                </c:pt>
                <c:pt idx="25">
                  <c:v>156.75740544818328</c:v>
                </c:pt>
                <c:pt idx="26">
                  <c:v>174.28565960860999</c:v>
                </c:pt>
                <c:pt idx="27">
                  <c:v>191.77248746980149</c:v>
                </c:pt>
                <c:pt idx="28">
                  <c:v>209.22219955438308</c:v>
                </c:pt>
                <c:pt idx="29">
                  <c:v>226.63832771007063</c:v>
                </c:pt>
                <c:pt idx="30">
                  <c:v>244.02381613322621</c:v>
                </c:pt>
                <c:pt idx="31">
                  <c:v>178.9040702134628</c:v>
                </c:pt>
                <c:pt idx="32">
                  <c:v>191.28726138283935</c:v>
                </c:pt>
                <c:pt idx="33">
                  <c:v>203.65179209609732</c:v>
                </c:pt>
                <c:pt idx="34">
                  <c:v>215.99895559960962</c:v>
                </c:pt>
                <c:pt idx="35">
                  <c:v>228.32988507538553</c:v>
                </c:pt>
                <c:pt idx="36">
                  <c:v>240.64558121434223</c:v>
                </c:pt>
                <c:pt idx="37">
                  <c:v>252.94693384163443</c:v>
                </c:pt>
                <c:pt idx="38">
                  <c:v>265.23473910996825</c:v>
                </c:pt>
                <c:pt idx="39">
                  <c:v>277.50971333671703</c:v>
                </c:pt>
                <c:pt idx="40">
                  <c:v>289.77250426251675</c:v>
                </c:pt>
                <c:pt idx="41">
                  <c:v>302.02370030287676</c:v>
                </c:pt>
                <c:pt idx="42">
                  <c:v>314.26383821914379</c:v>
                </c:pt>
                <c:pt idx="43">
                  <c:v>326.49340953118514</c:v>
                </c:pt>
                <c:pt idx="44">
                  <c:v>338.71286591855306</c:v>
                </c:pt>
                <c:pt idx="45">
                  <c:v>350.92262380116875</c:v>
                </c:pt>
                <c:pt idx="46">
                  <c:v>363.12306824895722</c:v>
                </c:pt>
                <c:pt idx="47">
                  <c:v>289.61228235764645</c:v>
                </c:pt>
                <c:pt idx="48">
                  <c:v>303.06413469570208</c:v>
                </c:pt>
                <c:pt idx="49">
                  <c:v>316.50270581476593</c:v>
                </c:pt>
                <c:pt idx="50">
                  <c:v>329.92863915898073</c:v>
                </c:pt>
                <c:pt idx="51">
                  <c:v>343.34252151852297</c:v>
                </c:pt>
                <c:pt idx="52">
                  <c:v>356.7448900832191</c:v>
                </c:pt>
                <c:pt idx="53">
                  <c:v>370.13623838046755</c:v>
                </c:pt>
                <c:pt idx="54">
                  <c:v>383.51702130873832</c:v>
                </c:pt>
                <c:pt idx="55">
                  <c:v>300.50292177638306</c:v>
                </c:pt>
                <c:pt idx="56">
                  <c:v>300.50292177638306</c:v>
                </c:pt>
                <c:pt idx="57">
                  <c:v>300.50292177638306</c:v>
                </c:pt>
                <c:pt idx="58">
                  <c:v>300.50292177638306</c:v>
                </c:pt>
                <c:pt idx="59">
                  <c:v>300.50292177638306</c:v>
                </c:pt>
                <c:pt idx="60">
                  <c:v>300.50292177638306</c:v>
                </c:pt>
                <c:pt idx="61">
                  <c:v>300.50292177638306</c:v>
                </c:pt>
                <c:pt idx="62">
                  <c:v>300.50292177638306</c:v>
                </c:pt>
                <c:pt idx="63">
                  <c:v>300.50292177638306</c:v>
                </c:pt>
                <c:pt idx="64">
                  <c:v>300.50292177638306</c:v>
                </c:pt>
                <c:pt idx="65">
                  <c:v>300.50292177638306</c:v>
                </c:pt>
                <c:pt idx="66">
                  <c:v>300.50292177638306</c:v>
                </c:pt>
                <c:pt idx="67">
                  <c:v>300.50292177638306</c:v>
                </c:pt>
                <c:pt idx="68">
                  <c:v>300.50292177638306</c:v>
                </c:pt>
                <c:pt idx="69">
                  <c:v>300.50292177638306</c:v>
                </c:pt>
                <c:pt idx="70">
                  <c:v>300.50292177638306</c:v>
                </c:pt>
                <c:pt idx="71">
                  <c:v>300.50292177638306</c:v>
                </c:pt>
                <c:pt idx="72">
                  <c:v>300.50292177638306</c:v>
                </c:pt>
                <c:pt idx="73">
                  <c:v>300.50292177638306</c:v>
                </c:pt>
                <c:pt idx="74">
                  <c:v>300.50292177638306</c:v>
                </c:pt>
                <c:pt idx="75">
                  <c:v>300.50292177638306</c:v>
                </c:pt>
                <c:pt idx="76">
                  <c:v>300.50292177638306</c:v>
                </c:pt>
                <c:pt idx="77">
                  <c:v>300.50292177638306</c:v>
                </c:pt>
                <c:pt idx="78">
                  <c:v>300.50292177638306</c:v>
                </c:pt>
                <c:pt idx="79">
                  <c:v>300.50292177638306</c:v>
                </c:pt>
                <c:pt idx="80">
                  <c:v>300.50292177638306</c:v>
                </c:pt>
                <c:pt idx="81">
                  <c:v>300.50292177638306</c:v>
                </c:pt>
                <c:pt idx="82">
                  <c:v>300.50292177638306</c:v>
                </c:pt>
                <c:pt idx="83">
                  <c:v>300.50292177638306</c:v>
                </c:pt>
                <c:pt idx="84">
                  <c:v>300.50292177638306</c:v>
                </c:pt>
                <c:pt idx="85">
                  <c:v>300.50292177638306</c:v>
                </c:pt>
                <c:pt idx="86">
                  <c:v>300.50292177638306</c:v>
                </c:pt>
                <c:pt idx="87">
                  <c:v>300.50292177638306</c:v>
                </c:pt>
                <c:pt idx="88">
                  <c:v>300.50292177638306</c:v>
                </c:pt>
                <c:pt idx="89">
                  <c:v>300.50292177638306</c:v>
                </c:pt>
                <c:pt idx="90">
                  <c:v>300.50292177638306</c:v>
                </c:pt>
                <c:pt idx="91">
                  <c:v>300.50292177638306</c:v>
                </c:pt>
                <c:pt idx="92">
                  <c:v>300.50292177638306</c:v>
                </c:pt>
                <c:pt idx="93">
                  <c:v>300.50292177638306</c:v>
                </c:pt>
                <c:pt idx="94">
                  <c:v>300.50292177638306</c:v>
                </c:pt>
                <c:pt idx="95">
                  <c:v>300.50292177638306</c:v>
                </c:pt>
                <c:pt idx="96">
                  <c:v>300.50292177638306</c:v>
                </c:pt>
                <c:pt idx="97">
                  <c:v>300.50292177638306</c:v>
                </c:pt>
                <c:pt idx="98">
                  <c:v>300.50292177638306</c:v>
                </c:pt>
                <c:pt idx="99">
                  <c:v>300.50292177638306</c:v>
                </c:pt>
                <c:pt idx="100">
                  <c:v>300.50292177638306</c:v>
                </c:pt>
                <c:pt idx="101">
                  <c:v>300.50292177638306</c:v>
                </c:pt>
                <c:pt idx="102">
                  <c:v>300.50292177638306</c:v>
                </c:pt>
                <c:pt idx="103">
                  <c:v>300.50292177638306</c:v>
                </c:pt>
                <c:pt idx="104">
                  <c:v>300.50292177638306</c:v>
                </c:pt>
                <c:pt idx="105">
                  <c:v>300.50292177638306</c:v>
                </c:pt>
                <c:pt idx="106">
                  <c:v>300.50292177638306</c:v>
                </c:pt>
                <c:pt idx="107">
                  <c:v>300.50292177638306</c:v>
                </c:pt>
                <c:pt idx="108">
                  <c:v>300.50292177638306</c:v>
                </c:pt>
                <c:pt idx="109">
                  <c:v>300.50292177638306</c:v>
                </c:pt>
                <c:pt idx="110">
                  <c:v>300.50292177638306</c:v>
                </c:pt>
                <c:pt idx="111">
                  <c:v>300.50292177638306</c:v>
                </c:pt>
                <c:pt idx="112">
                  <c:v>300.50292177638306</c:v>
                </c:pt>
                <c:pt idx="113">
                  <c:v>300.50292177638306</c:v>
                </c:pt>
                <c:pt idx="114">
                  <c:v>300.50292177638306</c:v>
                </c:pt>
                <c:pt idx="115">
                  <c:v>300.50292177638306</c:v>
                </c:pt>
                <c:pt idx="116">
                  <c:v>300.50292177638306</c:v>
                </c:pt>
                <c:pt idx="117">
                  <c:v>300.50292177638306</c:v>
                </c:pt>
                <c:pt idx="118">
                  <c:v>300.50292177638306</c:v>
                </c:pt>
                <c:pt idx="119">
                  <c:v>300.50292177638306</c:v>
                </c:pt>
                <c:pt idx="120">
                  <c:v>300.50292177638306</c:v>
                </c:pt>
                <c:pt idx="121">
                  <c:v>300.50292177638306</c:v>
                </c:pt>
                <c:pt idx="122">
                  <c:v>300.50292177638306</c:v>
                </c:pt>
                <c:pt idx="123">
                  <c:v>300.50292177638306</c:v>
                </c:pt>
                <c:pt idx="124">
                  <c:v>300.50292177638306</c:v>
                </c:pt>
                <c:pt idx="125">
                  <c:v>300.50292177638306</c:v>
                </c:pt>
                <c:pt idx="126">
                  <c:v>300.50292177638306</c:v>
                </c:pt>
                <c:pt idx="127">
                  <c:v>300.50292177638306</c:v>
                </c:pt>
                <c:pt idx="128">
                  <c:v>300.50292177638306</c:v>
                </c:pt>
                <c:pt idx="129">
                  <c:v>300.50292177638306</c:v>
                </c:pt>
                <c:pt idx="130">
                  <c:v>300.50292177638306</c:v>
                </c:pt>
                <c:pt idx="131">
                  <c:v>300.50292177638306</c:v>
                </c:pt>
                <c:pt idx="132">
                  <c:v>300.50292177638306</c:v>
                </c:pt>
                <c:pt idx="133">
                  <c:v>300.50292177638306</c:v>
                </c:pt>
                <c:pt idx="134">
                  <c:v>300.50292177638306</c:v>
                </c:pt>
                <c:pt idx="135">
                  <c:v>300.50292177638306</c:v>
                </c:pt>
                <c:pt idx="136">
                  <c:v>300.50292177638306</c:v>
                </c:pt>
                <c:pt idx="137">
                  <c:v>300.50292177638306</c:v>
                </c:pt>
                <c:pt idx="138">
                  <c:v>300.50292177638306</c:v>
                </c:pt>
                <c:pt idx="139">
                  <c:v>300.50292177638306</c:v>
                </c:pt>
                <c:pt idx="140">
                  <c:v>300.50292177638306</c:v>
                </c:pt>
                <c:pt idx="141">
                  <c:v>300.50292177638306</c:v>
                </c:pt>
                <c:pt idx="142">
                  <c:v>300.50292177638306</c:v>
                </c:pt>
                <c:pt idx="143">
                  <c:v>300.50292177638306</c:v>
                </c:pt>
                <c:pt idx="144">
                  <c:v>300.50292177638306</c:v>
                </c:pt>
                <c:pt idx="145">
                  <c:v>300.50292177638306</c:v>
                </c:pt>
                <c:pt idx="146">
                  <c:v>300.50292177638306</c:v>
                </c:pt>
                <c:pt idx="147">
                  <c:v>300.50292177638306</c:v>
                </c:pt>
                <c:pt idx="148">
                  <c:v>300.50292177638306</c:v>
                </c:pt>
                <c:pt idx="149">
                  <c:v>300.50292177638306</c:v>
                </c:pt>
                <c:pt idx="150">
                  <c:v>300.50292177638306</c:v>
                </c:pt>
                <c:pt idx="151">
                  <c:v>300.50292177638306</c:v>
                </c:pt>
                <c:pt idx="152">
                  <c:v>300.50292177638306</c:v>
                </c:pt>
                <c:pt idx="153">
                  <c:v>300.50292177638306</c:v>
                </c:pt>
                <c:pt idx="154">
                  <c:v>300.50292177638306</c:v>
                </c:pt>
                <c:pt idx="155">
                  <c:v>300.50292177638306</c:v>
                </c:pt>
                <c:pt idx="156">
                  <c:v>300.50292177638306</c:v>
                </c:pt>
                <c:pt idx="157">
                  <c:v>300.50292177638306</c:v>
                </c:pt>
                <c:pt idx="158">
                  <c:v>300.50292177638306</c:v>
                </c:pt>
                <c:pt idx="159">
                  <c:v>300.50292177638306</c:v>
                </c:pt>
                <c:pt idx="160">
                  <c:v>300.50292177638306</c:v>
                </c:pt>
                <c:pt idx="161">
                  <c:v>300.50292177638306</c:v>
                </c:pt>
                <c:pt idx="162">
                  <c:v>300.50292177638306</c:v>
                </c:pt>
                <c:pt idx="163">
                  <c:v>300.50292177638306</c:v>
                </c:pt>
                <c:pt idx="164">
                  <c:v>300.50292177638306</c:v>
                </c:pt>
                <c:pt idx="165">
                  <c:v>300.50292177638306</c:v>
                </c:pt>
                <c:pt idx="166">
                  <c:v>300.50292177638306</c:v>
                </c:pt>
                <c:pt idx="167">
                  <c:v>300.50292177638306</c:v>
                </c:pt>
                <c:pt idx="168">
                  <c:v>300.50292177638306</c:v>
                </c:pt>
                <c:pt idx="169">
                  <c:v>300.50292177638306</c:v>
                </c:pt>
                <c:pt idx="170">
                  <c:v>300.50292177638306</c:v>
                </c:pt>
                <c:pt idx="171">
                  <c:v>300.50292177638306</c:v>
                </c:pt>
                <c:pt idx="172">
                  <c:v>300.50292177638306</c:v>
                </c:pt>
                <c:pt idx="173">
                  <c:v>300.50292177638306</c:v>
                </c:pt>
                <c:pt idx="174">
                  <c:v>300.50292177638306</c:v>
                </c:pt>
                <c:pt idx="175">
                  <c:v>300.50292177638306</c:v>
                </c:pt>
                <c:pt idx="176">
                  <c:v>300.50292177638306</c:v>
                </c:pt>
                <c:pt idx="177">
                  <c:v>300.50292177638306</c:v>
                </c:pt>
                <c:pt idx="178">
                  <c:v>300.50292177638306</c:v>
                </c:pt>
                <c:pt idx="179">
                  <c:v>300.50292177638306</c:v>
                </c:pt>
                <c:pt idx="180">
                  <c:v>300.50292177638306</c:v>
                </c:pt>
                <c:pt idx="181">
                  <c:v>300.50292177638306</c:v>
                </c:pt>
                <c:pt idx="182">
                  <c:v>300.50292177638306</c:v>
                </c:pt>
                <c:pt idx="183">
                  <c:v>300.50292177638306</c:v>
                </c:pt>
                <c:pt idx="184">
                  <c:v>300.50292177638306</c:v>
                </c:pt>
                <c:pt idx="185">
                  <c:v>300.50292177638306</c:v>
                </c:pt>
                <c:pt idx="186">
                  <c:v>300.50292177638306</c:v>
                </c:pt>
                <c:pt idx="187">
                  <c:v>300.50292177638306</c:v>
                </c:pt>
                <c:pt idx="188">
                  <c:v>300.50292177638306</c:v>
                </c:pt>
                <c:pt idx="189">
                  <c:v>300.50292177638306</c:v>
                </c:pt>
                <c:pt idx="190">
                  <c:v>300.50292177638306</c:v>
                </c:pt>
                <c:pt idx="191">
                  <c:v>300.50292177638306</c:v>
                </c:pt>
                <c:pt idx="192">
                  <c:v>300.50292177638306</c:v>
                </c:pt>
                <c:pt idx="193">
                  <c:v>300.50292177638306</c:v>
                </c:pt>
                <c:pt idx="194">
                  <c:v>300.50292177638306</c:v>
                </c:pt>
                <c:pt idx="195">
                  <c:v>300.50292177638306</c:v>
                </c:pt>
                <c:pt idx="196">
                  <c:v>300.50292177638306</c:v>
                </c:pt>
                <c:pt idx="197">
                  <c:v>300.50292177638306</c:v>
                </c:pt>
                <c:pt idx="198">
                  <c:v>300.50292177638306</c:v>
                </c:pt>
                <c:pt idx="199">
                  <c:v>300.50292177638306</c:v>
                </c:pt>
                <c:pt idx="200">
                  <c:v>300.50292177638306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1.4848731020342081</c:v>
                </c:pt>
                <c:pt idx="2">
                  <c:v>1.7994412926152377</c:v>
                </c:pt>
                <c:pt idx="3">
                  <c:v>2.1809087522904558</c:v>
                </c:pt>
                <c:pt idx="4">
                  <c:v>2.6435550308142868</c:v>
                </c:pt>
                <c:pt idx="5">
                  <c:v>3.2047180767799408</c:v>
                </c:pt>
                <c:pt idx="6">
                  <c:v>3.8854513761078988</c:v>
                </c:pt>
                <c:pt idx="7">
                  <c:v>4.711322702055063</c:v>
                </c:pt>
                <c:pt idx="8">
                  <c:v>5.7133850763482643</c:v>
                </c:pt>
                <c:pt idx="9">
                  <c:v>6.9293571694305394</c:v>
                </c:pt>
                <c:pt idx="10">
                  <c:v>8.4050584352477262</c:v>
                </c:pt>
                <c:pt idx="11">
                  <c:v>10.196154095559937</c:v>
                </c:pt>
                <c:pt idx="12">
                  <c:v>12.370277041732173</c:v>
                </c:pt>
                <c:pt idx="13">
                  <c:v>15.009608272762607</c:v>
                </c:pt>
                <c:pt idx="14">
                  <c:v>18.214015202647616</c:v>
                </c:pt>
                <c:pt idx="15">
                  <c:v>22.104868737161553</c:v>
                </c:pt>
                <c:pt idx="16">
                  <c:v>26.829686279210947</c:v>
                </c:pt>
                <c:pt idx="17">
                  <c:v>32.567779795792312</c:v>
                </c:pt>
                <c:pt idx="18">
                  <c:v>39.537127014195512</c:v>
                </c:pt>
                <c:pt idx="19">
                  <c:v>48.002731228493211</c:v>
                </c:pt>
                <c:pt idx="20">
                  <c:v>58.28679293917321</c:v>
                </c:pt>
                <c:pt idx="21">
                  <c:v>70.781086872759886</c:v>
                </c:pt>
                <c:pt idx="22">
                  <c:v>85.962023580728768</c:v>
                </c:pt>
                <c:pt idx="23">
                  <c:v>104.40897914457423</c:v>
                </c:pt>
                <c:pt idx="24">
                  <c:v>126.82660359490315</c:v>
                </c:pt>
                <c:pt idx="25">
                  <c:v>154.0719734572057</c:v>
                </c:pt>
                <c:pt idx="26">
                  <c:v>145.86027198452103</c:v>
                </c:pt>
                <c:pt idx="27">
                  <c:v>152.67228191523733</c:v>
                </c:pt>
                <c:pt idx="28">
                  <c:v>159.47705809779879</c:v>
                </c:pt>
                <c:pt idx="29">
                  <c:v>166.2749532810291</c:v>
                </c:pt>
                <c:pt idx="30">
                  <c:v>173.06628896031688</c:v>
                </c:pt>
                <c:pt idx="31">
                  <c:v>179.85135929219064</c:v>
                </c:pt>
                <c:pt idx="32">
                  <c:v>186.63043438612894</c:v>
                </c:pt>
                <c:pt idx="33">
                  <c:v>193.40376309219209</c:v>
                </c:pt>
                <c:pt idx="34">
                  <c:v>159.06134085507787</c:v>
                </c:pt>
                <c:pt idx="35">
                  <c:v>168.05020710580905</c:v>
                </c:pt>
                <c:pt idx="36">
                  <c:v>177.02773786791826</c:v>
                </c:pt>
                <c:pt idx="37">
                  <c:v>185.99458974371052</c:v>
                </c:pt>
                <c:pt idx="38">
                  <c:v>194.95135076455381</c:v>
                </c:pt>
                <c:pt idx="39">
                  <c:v>203.89855044318566</c:v>
                </c:pt>
                <c:pt idx="40">
                  <c:v>212.83666796637644</c:v>
                </c:pt>
                <c:pt idx="41">
                  <c:v>221.76613893728009</c:v>
                </c:pt>
                <c:pt idx="42">
                  <c:v>146.25287453156298</c:v>
                </c:pt>
                <c:pt idx="43">
                  <c:v>157.51693940030586</c:v>
                </c:pt>
                <c:pt idx="44">
                  <c:v>168.76189262711571</c:v>
                </c:pt>
                <c:pt idx="45">
                  <c:v>179.98918825610136</c:v>
                </c:pt>
                <c:pt idx="46">
                  <c:v>191.20008386836318</c:v>
                </c:pt>
                <c:pt idx="47">
                  <c:v>202.39567734471336</c:v>
                </c:pt>
                <c:pt idx="48">
                  <c:v>213.57693505223472</c:v>
                </c:pt>
                <c:pt idx="49">
                  <c:v>224.74471380907838</c:v>
                </c:pt>
                <c:pt idx="50">
                  <c:v>235.89977824827369</c:v>
                </c:pt>
                <c:pt idx="51">
                  <c:v>247.04281472086529</c:v>
                </c:pt>
                <c:pt idx="52">
                  <c:v>258.17444255634149</c:v>
                </c:pt>
                <c:pt idx="53">
                  <c:v>139.80202496868716</c:v>
                </c:pt>
                <c:pt idx="54">
                  <c:v>158.83630884907683</c:v>
                </c:pt>
                <c:pt idx="55">
                  <c:v>177.81647954849529</c:v>
                </c:pt>
                <c:pt idx="56">
                  <c:v>196.74912969396584</c:v>
                </c:pt>
                <c:pt idx="57">
                  <c:v>215.63947701451934</c:v>
                </c:pt>
                <c:pt idx="58">
                  <c:v>234.49174917122002</c:v>
                </c:pt>
                <c:pt idx="59">
                  <c:v>253.30943789805815</c:v>
                </c:pt>
                <c:pt idx="60">
                  <c:v>272.0954734596906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2.9081966986311696</c:v>
                </c:pt>
                <c:pt idx="2">
                  <c:v>3.2800660139128888</c:v>
                </c:pt>
                <c:pt idx="3">
                  <c:v>3.6996527964719035</c:v>
                </c:pt>
                <c:pt idx="4">
                  <c:v>4.1731002733604425</c:v>
                </c:pt>
                <c:pt idx="5">
                  <c:v>4.7073450051996684</c:v>
                </c:pt>
                <c:pt idx="6">
                  <c:v>5.3102196313276817</c:v>
                </c:pt>
                <c:pt idx="7">
                  <c:v>5.9905689568919103</c:v>
                </c:pt>
                <c:pt idx="8">
                  <c:v>6.758381118633694</c:v>
                </c:pt>
                <c:pt idx="9">
                  <c:v>7.624935792694381</c:v>
                </c:pt>
                <c:pt idx="10">
                  <c:v>8.6029716639745164</c:v>
                </c:pt>
                <c:pt idx="11">
                  <c:v>9.7068756662800606</c:v>
                </c:pt>
                <c:pt idx="12">
                  <c:v>10.952896830080697</c:v>
                </c:pt>
                <c:pt idx="13">
                  <c:v>12.359387945148908</c:v>
                </c:pt>
                <c:pt idx="14">
                  <c:v>13.947078664260905</c:v>
                </c:pt>
                <c:pt idx="15">
                  <c:v>15.739384147873801</c:v>
                </c:pt>
                <c:pt idx="16">
                  <c:v>17.762753885434943</c:v>
                </c:pt>
                <c:pt idx="17">
                  <c:v>20.047065934859081</c:v>
                </c:pt>
                <c:pt idx="18">
                  <c:v>22.626072506925407</c:v>
                </c:pt>
                <c:pt idx="19">
                  <c:v>25.53790359630538</c:v>
                </c:pt>
                <c:pt idx="20">
                  <c:v>28.825636237407394</c:v>
                </c:pt>
                <c:pt idx="21">
                  <c:v>32.537937954535032</c:v>
                </c:pt>
                <c:pt idx="22">
                  <c:v>36.729794097073267</c:v>
                </c:pt>
                <c:pt idx="23">
                  <c:v>41.46333001859211</c:v>
                </c:pt>
                <c:pt idx="24">
                  <c:v>46.808740493181581</c:v>
                </c:pt>
                <c:pt idx="25">
                  <c:v>52.845340384836668</c:v>
                </c:pt>
                <c:pt idx="26">
                  <c:v>59.662752420991275</c:v>
                </c:pt>
                <c:pt idx="27">
                  <c:v>67.362249997307529</c:v>
                </c:pt>
                <c:pt idx="28">
                  <c:v>76.05827528918006</c:v>
                </c:pt>
                <c:pt idx="29">
                  <c:v>85.880155601899048</c:v>
                </c:pt>
                <c:pt idx="30">
                  <c:v>96.974043896521195</c:v>
                </c:pt>
                <c:pt idx="31">
                  <c:v>109.50511282804003</c:v>
                </c:pt>
                <c:pt idx="32">
                  <c:v>123.6600354782784</c:v>
                </c:pt>
                <c:pt idx="33">
                  <c:v>139.64979031671325</c:v>
                </c:pt>
                <c:pt idx="34">
                  <c:v>157.71283284458579</c:v>
                </c:pt>
                <c:pt idx="35">
                  <c:v>178.11868194628323</c:v>
                </c:pt>
                <c:pt idx="36">
                  <c:v>161.39639888364613</c:v>
                </c:pt>
                <c:pt idx="37">
                  <c:v>173.28198421740615</c:v>
                </c:pt>
                <c:pt idx="38">
                  <c:v>185.14840694275611</c:v>
                </c:pt>
                <c:pt idx="39">
                  <c:v>196.99706917130388</c:v>
                </c:pt>
                <c:pt idx="40">
                  <c:v>208.82919038278206</c:v>
                </c:pt>
                <c:pt idx="41">
                  <c:v>190.41659540288188</c:v>
                </c:pt>
                <c:pt idx="42">
                  <c:v>202.69601208813614</c:v>
                </c:pt>
                <c:pt idx="43">
                  <c:v>214.95821110174333</c:v>
                </c:pt>
                <c:pt idx="44">
                  <c:v>227.20431355624609</c:v>
                </c:pt>
                <c:pt idx="45">
                  <c:v>239.43530973942802</c:v>
                </c:pt>
                <c:pt idx="46">
                  <c:v>221.08320971383424</c:v>
                </c:pt>
                <c:pt idx="47">
                  <c:v>233.32164253354537</c:v>
                </c:pt>
                <c:pt idx="48">
                  <c:v>245.54542201156008</c:v>
                </c:pt>
                <c:pt idx="49">
                  <c:v>257.75538075421986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281.70179813149139</c:v>
                </c:pt>
                <c:pt idx="57">
                  <c:v>293.44034996889701</c:v>
                </c:pt>
                <c:pt idx="58">
                  <c:v>305.16842283850025</c:v>
                </c:pt>
                <c:pt idx="59">
                  <c:v>316.8864763741696</c:v>
                </c:pt>
                <c:pt idx="60">
                  <c:v>328.5949334270008</c:v>
                </c:pt>
                <c:pt idx="61">
                  <c:v>309.94362938891317</c:v>
                </c:pt>
                <c:pt idx="62">
                  <c:v>321.6577241361818</c:v>
                </c:pt>
                <c:pt idx="63">
                  <c:v>333.3623851108037</c:v>
                </c:pt>
                <c:pt idx="64">
                  <c:v>345.05799032946646</c:v>
                </c:pt>
                <c:pt idx="65">
                  <c:v>356.7448900832191</c:v>
                </c:pt>
                <c:pt idx="66">
                  <c:v>337.26190853958735</c:v>
                </c:pt>
                <c:pt idx="67">
                  <c:v>348.08874968614623</c:v>
                </c:pt>
                <c:pt idx="68">
                  <c:v>358.90820183854044</c:v>
                </c:pt>
                <c:pt idx="69">
                  <c:v>369.72051922288409</c:v>
                </c:pt>
                <c:pt idx="70">
                  <c:v>380.52593997693936</c:v>
                </c:pt>
                <c:pt idx="71">
                  <c:v>361.07122825453939</c:v>
                </c:pt>
                <c:pt idx="72">
                  <c:v>371.88214774985948</c:v>
                </c:pt>
                <c:pt idx="73">
                  <c:v>382.68621644309741</c:v>
                </c:pt>
                <c:pt idx="74">
                  <c:v>393.4836550724026</c:v>
                </c:pt>
                <c:pt idx="75">
                  <c:v>404.27467126938313</c:v>
                </c:pt>
                <c:pt idx="76">
                  <c:v>383.98225493635573</c:v>
                </c:pt>
                <c:pt idx="77">
                  <c:v>393.91541769108943</c:v>
                </c:pt>
                <c:pt idx="78">
                  <c:v>403.84315144097854</c:v>
                </c:pt>
                <c:pt idx="79">
                  <c:v>413.76560851360483</c:v>
                </c:pt>
                <c:pt idx="80">
                  <c:v>423.68293333202695</c:v>
                </c:pt>
                <c:pt idx="81">
                  <c:v>402.98008185125178</c:v>
                </c:pt>
                <c:pt idx="82">
                  <c:v>412.4716690472755</c:v>
                </c:pt>
                <c:pt idx="83">
                  <c:v>421.95854377334393</c:v>
                </c:pt>
                <c:pt idx="84">
                  <c:v>431.44082695809374</c:v>
                </c:pt>
                <c:pt idx="85">
                  <c:v>440.91863377904156</c:v>
                </c:pt>
                <c:pt idx="86">
                  <c:v>419.80284331345229</c:v>
                </c:pt>
                <c:pt idx="87">
                  <c:v>428.85519840828562</c:v>
                </c:pt>
                <c:pt idx="88">
                  <c:v>437.9034467468835</c:v>
                </c:pt>
                <c:pt idx="89">
                  <c:v>446.94768518373354</c:v>
                </c:pt>
                <c:pt idx="90">
                  <c:v>455.98800633231934</c:v>
                </c:pt>
                <c:pt idx="91">
                  <c:v>434.02612258593177</c:v>
                </c:pt>
                <c:pt idx="92">
                  <c:v>442.21072127655157</c:v>
                </c:pt>
                <c:pt idx="93">
                  <c:v>450.39207405650865</c:v>
                </c:pt>
                <c:pt idx="94">
                  <c:v>458.57024822962643</c:v>
                </c:pt>
                <c:pt idx="95">
                  <c:v>466.74530850225375</c:v>
                </c:pt>
                <c:pt idx="96">
                  <c:v>444.36402075569328</c:v>
                </c:pt>
                <c:pt idx="97">
                  <c:v>452.11405687747123</c:v>
                </c:pt>
                <c:pt idx="98">
                  <c:v>459.86125261266926</c:v>
                </c:pt>
                <c:pt idx="99">
                  <c:v>467.60566258446232</c:v>
                </c:pt>
                <c:pt idx="100">
                  <c:v>475.34733945827867</c:v>
                </c:pt>
                <c:pt idx="101">
                  <c:v>452.11405687747123</c:v>
                </c:pt>
                <c:pt idx="102">
                  <c:v>459.00059163685847</c:v>
                </c:pt>
                <c:pt idx="103">
                  <c:v>465.88492060890104</c:v>
                </c:pt>
                <c:pt idx="104">
                  <c:v>472.76708100439259</c:v>
                </c:pt>
                <c:pt idx="105">
                  <c:v>479.64710886178568</c:v>
                </c:pt>
                <c:pt idx="106">
                  <c:v>455.98800633231934</c:v>
                </c:pt>
                <c:pt idx="107">
                  <c:v>462.44302949249544</c:v>
                </c:pt>
                <c:pt idx="108">
                  <c:v>468.89613046728778</c:v>
                </c:pt>
                <c:pt idx="109">
                  <c:v>475.34733945827844</c:v>
                </c:pt>
                <c:pt idx="110">
                  <c:v>481.79668577992373</c:v>
                </c:pt>
                <c:pt idx="111">
                  <c:v>460.29157019967283</c:v>
                </c:pt>
                <c:pt idx="112">
                  <c:v>466.74530850225352</c:v>
                </c:pt>
                <c:pt idx="113">
                  <c:v>473.19714485434059</c:v>
                </c:pt>
                <c:pt idx="114">
                  <c:v>479.64710886178568</c:v>
                </c:pt>
                <c:pt idx="115">
                  <c:v>486.09522926878554</c:v>
                </c:pt>
                <c:pt idx="116">
                  <c:v>463.73380248274299</c:v>
                </c:pt>
                <c:pt idx="117">
                  <c:v>469.32626959947976</c:v>
                </c:pt>
                <c:pt idx="118">
                  <c:v>474.91731712823849</c:v>
                </c:pt>
                <c:pt idx="119">
                  <c:v>480.50696415087845</c:v>
                </c:pt>
                <c:pt idx="120">
                  <c:v>486.09522926878549</c:v>
                </c:pt>
                <c:pt idx="121">
                  <c:v>465.02449883304189</c:v>
                </c:pt>
                <c:pt idx="122">
                  <c:v>469.75640033198738</c:v>
                </c:pt>
                <c:pt idx="123">
                  <c:v>474.48728651141568</c:v>
                </c:pt>
                <c:pt idx="124">
                  <c:v>479.21716893121766</c:v>
                </c:pt>
                <c:pt idx="125">
                  <c:v>483.94605890429216</c:v>
                </c:pt>
                <c:pt idx="126">
                  <c:v>465.02449883304183</c:v>
                </c:pt>
                <c:pt idx="127">
                  <c:v>469.75640033198715</c:v>
                </c:pt>
                <c:pt idx="128">
                  <c:v>474.4872865114155</c:v>
                </c:pt>
                <c:pt idx="129">
                  <c:v>479.21716893121743</c:v>
                </c:pt>
                <c:pt idx="130">
                  <c:v>483.94605890429199</c:v>
                </c:pt>
                <c:pt idx="131">
                  <c:v>462.44302949249521</c:v>
                </c:pt>
                <c:pt idx="132">
                  <c:v>462.44302949249521</c:v>
                </c:pt>
                <c:pt idx="133">
                  <c:v>462.44302949249521</c:v>
                </c:pt>
                <c:pt idx="134">
                  <c:v>462.44302949249521</c:v>
                </c:pt>
                <c:pt idx="135">
                  <c:v>462.44302949249521</c:v>
                </c:pt>
                <c:pt idx="136">
                  <c:v>462.44302949249521</c:v>
                </c:pt>
                <c:pt idx="137">
                  <c:v>462.44302949249521</c:v>
                </c:pt>
                <c:pt idx="138">
                  <c:v>462.44302949249521</c:v>
                </c:pt>
                <c:pt idx="139">
                  <c:v>462.44302949249521</c:v>
                </c:pt>
                <c:pt idx="140">
                  <c:v>462.44302949249521</c:v>
                </c:pt>
                <c:pt idx="141">
                  <c:v>462.44302949249521</c:v>
                </c:pt>
                <c:pt idx="142">
                  <c:v>462.44302949249521</c:v>
                </c:pt>
                <c:pt idx="143">
                  <c:v>462.44302949249521</c:v>
                </c:pt>
                <c:pt idx="144">
                  <c:v>462.44302949249521</c:v>
                </c:pt>
                <c:pt idx="145">
                  <c:v>462.44302949249521</c:v>
                </c:pt>
                <c:pt idx="146">
                  <c:v>462.44302949249521</c:v>
                </c:pt>
                <c:pt idx="147">
                  <c:v>462.44302949249521</c:v>
                </c:pt>
                <c:pt idx="148">
                  <c:v>462.44302949249521</c:v>
                </c:pt>
                <c:pt idx="149">
                  <c:v>462.44302949249521</c:v>
                </c:pt>
                <c:pt idx="150">
                  <c:v>462.44302949249521</c:v>
                </c:pt>
                <c:pt idx="151">
                  <c:v>462.44302949249521</c:v>
                </c:pt>
                <c:pt idx="152">
                  <c:v>462.44302949249521</c:v>
                </c:pt>
                <c:pt idx="153">
                  <c:v>462.44302949249521</c:v>
                </c:pt>
                <c:pt idx="154">
                  <c:v>462.44302949249521</c:v>
                </c:pt>
                <c:pt idx="155">
                  <c:v>462.44302949249521</c:v>
                </c:pt>
                <c:pt idx="156">
                  <c:v>462.44302949249521</c:v>
                </c:pt>
                <c:pt idx="157">
                  <c:v>462.44302949249521</c:v>
                </c:pt>
                <c:pt idx="158">
                  <c:v>462.44302949249521</c:v>
                </c:pt>
                <c:pt idx="159">
                  <c:v>462.44302949249521</c:v>
                </c:pt>
                <c:pt idx="160">
                  <c:v>462.44302949249521</c:v>
                </c:pt>
                <c:pt idx="161">
                  <c:v>462.44302949249521</c:v>
                </c:pt>
                <c:pt idx="162">
                  <c:v>462.44302949249521</c:v>
                </c:pt>
                <c:pt idx="163">
                  <c:v>462.44302949249521</c:v>
                </c:pt>
                <c:pt idx="164">
                  <c:v>462.44302949249521</c:v>
                </c:pt>
                <c:pt idx="165">
                  <c:v>462.44302949249521</c:v>
                </c:pt>
                <c:pt idx="166">
                  <c:v>462.44302949249521</c:v>
                </c:pt>
                <c:pt idx="167">
                  <c:v>462.44302949249521</c:v>
                </c:pt>
                <c:pt idx="168">
                  <c:v>462.44302949249521</c:v>
                </c:pt>
                <c:pt idx="169">
                  <c:v>462.44302949249521</c:v>
                </c:pt>
                <c:pt idx="170">
                  <c:v>462.44302949249521</c:v>
                </c:pt>
                <c:pt idx="171">
                  <c:v>462.44302949249521</c:v>
                </c:pt>
                <c:pt idx="172">
                  <c:v>462.44302949249521</c:v>
                </c:pt>
                <c:pt idx="173">
                  <c:v>462.44302949249521</c:v>
                </c:pt>
                <c:pt idx="174">
                  <c:v>462.44302949249521</c:v>
                </c:pt>
                <c:pt idx="175">
                  <c:v>462.44302949249521</c:v>
                </c:pt>
                <c:pt idx="176">
                  <c:v>462.44302949249521</c:v>
                </c:pt>
                <c:pt idx="177">
                  <c:v>462.44302949249521</c:v>
                </c:pt>
                <c:pt idx="178">
                  <c:v>462.44302949249521</c:v>
                </c:pt>
                <c:pt idx="179">
                  <c:v>462.44302949249521</c:v>
                </c:pt>
                <c:pt idx="180">
                  <c:v>462.44302949249521</c:v>
                </c:pt>
                <c:pt idx="181">
                  <c:v>462.44302949249521</c:v>
                </c:pt>
                <c:pt idx="182">
                  <c:v>462.44302949249521</c:v>
                </c:pt>
                <c:pt idx="183">
                  <c:v>462.44302949249521</c:v>
                </c:pt>
                <c:pt idx="184">
                  <c:v>462.44302949249521</c:v>
                </c:pt>
                <c:pt idx="185">
                  <c:v>462.44302949249521</c:v>
                </c:pt>
                <c:pt idx="186">
                  <c:v>462.44302949249521</c:v>
                </c:pt>
                <c:pt idx="187">
                  <c:v>462.44302949249521</c:v>
                </c:pt>
                <c:pt idx="188">
                  <c:v>462.44302949249521</c:v>
                </c:pt>
                <c:pt idx="189">
                  <c:v>462.44302949249521</c:v>
                </c:pt>
                <c:pt idx="190">
                  <c:v>462.44302949249521</c:v>
                </c:pt>
                <c:pt idx="191">
                  <c:v>462.44302949249521</c:v>
                </c:pt>
                <c:pt idx="192">
                  <c:v>462.44302949249521</c:v>
                </c:pt>
                <c:pt idx="193">
                  <c:v>462.44302949249521</c:v>
                </c:pt>
                <c:pt idx="194">
                  <c:v>462.44302949249521</c:v>
                </c:pt>
                <c:pt idx="195">
                  <c:v>462.44302949249521</c:v>
                </c:pt>
                <c:pt idx="196">
                  <c:v>462.44302949249521</c:v>
                </c:pt>
                <c:pt idx="197">
                  <c:v>462.44302949249521</c:v>
                </c:pt>
                <c:pt idx="198">
                  <c:v>462.44302949249521</c:v>
                </c:pt>
                <c:pt idx="199">
                  <c:v>462.44302949249521</c:v>
                </c:pt>
                <c:pt idx="200">
                  <c:v>462.44302949249521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1.4743586527804835</c:v>
                </c:pt>
                <c:pt idx="2">
                  <c:v>1.8743396117083309</c:v>
                </c:pt>
                <c:pt idx="3">
                  <c:v>2.3832719334383721</c:v>
                </c:pt>
                <c:pt idx="4">
                  <c:v>3.030946396011732</c:v>
                </c:pt>
                <c:pt idx="5">
                  <c:v>3.8553286221630647</c:v>
                </c:pt>
                <c:pt idx="6">
                  <c:v>4.9048097657531677</c:v>
                </c:pt>
                <c:pt idx="7">
                  <c:v>6.2410787491366309</c:v>
                </c:pt>
                <c:pt idx="8">
                  <c:v>7.9427881805820597</c:v>
                </c:pt>
                <c:pt idx="9">
                  <c:v>10.110233871237673</c:v>
                </c:pt>
                <c:pt idx="10">
                  <c:v>12.871328960907347</c:v>
                </c:pt>
                <c:pt idx="11">
                  <c:v>16.389231759852411</c:v>
                </c:pt>
                <c:pt idx="12">
                  <c:v>20.872086264950017</c:v>
                </c:pt>
                <c:pt idx="13">
                  <c:v>26.585461984011399</c:v>
                </c:pt>
                <c:pt idx="14">
                  <c:v>33.868242970563898</c:v>
                </c:pt>
                <c:pt idx="15">
                  <c:v>43.15292477445589</c:v>
                </c:pt>
                <c:pt idx="16">
                  <c:v>54.991545074318275</c:v>
                </c:pt>
                <c:pt idx="17">
                  <c:v>70.088815360258224</c:v>
                </c:pt>
                <c:pt idx="18">
                  <c:v>89.344458022350253</c:v>
                </c:pt>
                <c:pt idx="19">
                  <c:v>113.90731225314703</c:v>
                </c:pt>
                <c:pt idx="20">
                  <c:v>145.24448744581247</c:v>
                </c:pt>
                <c:pt idx="21">
                  <c:v>128.85628453370961</c:v>
                </c:pt>
                <c:pt idx="22">
                  <c:v>155.82469609939704</c:v>
                </c:pt>
                <c:pt idx="23">
                  <c:v>182.68196779156236</c:v>
                </c:pt>
                <c:pt idx="24">
                  <c:v>209.44676856898141</c:v>
                </c:pt>
                <c:pt idx="25">
                  <c:v>236.13258605094427</c:v>
                </c:pt>
                <c:pt idx="26">
                  <c:v>199.13320991348715</c:v>
                </c:pt>
                <c:pt idx="27">
                  <c:v>228.8964750297209</c:v>
                </c:pt>
                <c:pt idx="28">
                  <c:v>258.57114022229695</c:v>
                </c:pt>
                <c:pt idx="29">
                  <c:v>288.16880248415811</c:v>
                </c:pt>
                <c:pt idx="30">
                  <c:v>317.69847869820859</c:v>
                </c:pt>
                <c:pt idx="31">
                  <c:v>281.15529641961587</c:v>
                </c:pt>
                <c:pt idx="32">
                  <c:v>310.88957110362543</c:v>
                </c:pt>
                <c:pt idx="33">
                  <c:v>340.5607294191388</c:v>
                </c:pt>
                <c:pt idx="34">
                  <c:v>370.17503831519883</c:v>
                </c:pt>
                <c:pt idx="35">
                  <c:v>399.73768031606465</c:v>
                </c:pt>
                <c:pt idx="36">
                  <c:v>361.31524417862607</c:v>
                </c:pt>
                <c:pt idx="37">
                  <c:v>388.82217617874659</c:v>
                </c:pt>
                <c:pt idx="38">
                  <c:v>416.28688101893516</c:v>
                </c:pt>
                <c:pt idx="39">
                  <c:v>443.7125332722058</c:v>
                </c:pt>
                <c:pt idx="40">
                  <c:v>471.1018833558872</c:v>
                </c:pt>
                <c:pt idx="41">
                  <c:v>430.00440790035367</c:v>
                </c:pt>
                <c:pt idx="42">
                  <c:v>454.59743907080411</c:v>
                </c:pt>
                <c:pt idx="43">
                  <c:v>479.16204783430902</c:v>
                </c:pt>
                <c:pt idx="44">
                  <c:v>503.69989470708992</c:v>
                </c:pt>
                <c:pt idx="45">
                  <c:v>528.21246537398554</c:v>
                </c:pt>
                <c:pt idx="46">
                  <c:v>494.15007541499972</c:v>
                </c:pt>
                <c:pt idx="47">
                  <c:v>516.23992884068559</c:v>
                </c:pt>
                <c:pt idx="48">
                  <c:v>538.30984418974776</c:v>
                </c:pt>
                <c:pt idx="49">
                  <c:v>560.36075313029983</c:v>
                </c:pt>
                <c:pt idx="50">
                  <c:v>582.39350809502037</c:v>
                </c:pt>
                <c:pt idx="51">
                  <c:v>554.38267399725669</c:v>
                </c:pt>
                <c:pt idx="52">
                  <c:v>573.99327651089095</c:v>
                </c:pt>
                <c:pt idx="53">
                  <c:v>593.58989511894561</c:v>
                </c:pt>
                <c:pt idx="54">
                  <c:v>613.17305607102821</c:v>
                </c:pt>
                <c:pt idx="55">
                  <c:v>632.74324929160707</c:v>
                </c:pt>
                <c:pt idx="56">
                  <c:v>608.69806541499895</c:v>
                </c:pt>
                <c:pt idx="57">
                  <c:v>625.66217100137249</c:v>
                </c:pt>
                <c:pt idx="58">
                  <c:v>642.61675865903692</c:v>
                </c:pt>
                <c:pt idx="59">
                  <c:v>659.56211468201616</c:v>
                </c:pt>
                <c:pt idx="60">
                  <c:v>676.49850946567312</c:v>
                </c:pt>
                <c:pt idx="61">
                  <c:v>654.34912568947277</c:v>
                </c:pt>
                <c:pt idx="62">
                  <c:v>668.49669786141612</c:v>
                </c:pt>
                <c:pt idx="63">
                  <c:v>682.63811513058783</c:v>
                </c:pt>
                <c:pt idx="64">
                  <c:v>696.77352288630311</c:v>
                </c:pt>
                <c:pt idx="65">
                  <c:v>710.90306014173893</c:v>
                </c:pt>
                <c:pt idx="66">
                  <c:v>690.63650917481755</c:v>
                </c:pt>
                <c:pt idx="67">
                  <c:v>701.97981768397142</c:v>
                </c:pt>
                <c:pt idx="68">
                  <c:v>713.31937643654783</c:v>
                </c:pt>
                <c:pt idx="69">
                  <c:v>724.65525341579951</c:v>
                </c:pt>
                <c:pt idx="70">
                  <c:v>735.98751430565608</c:v>
                </c:pt>
                <c:pt idx="71">
                  <c:v>718.70901888085416</c:v>
                </c:pt>
                <c:pt idx="72">
                  <c:v>728.37114408955085</c:v>
                </c:pt>
                <c:pt idx="73">
                  <c:v>738.03065687092123</c:v>
                </c:pt>
                <c:pt idx="74">
                  <c:v>747.68759622387745</c:v>
                </c:pt>
                <c:pt idx="75">
                  <c:v>757.34200005819628</c:v>
                </c:pt>
                <c:pt idx="76">
                  <c:v>741.00229513762667</c:v>
                </c:pt>
                <c:pt idx="77">
                  <c:v>747.87328162747372</c:v>
                </c:pt>
                <c:pt idx="78">
                  <c:v>754.74298480283039</c:v>
                </c:pt>
                <c:pt idx="79">
                  <c:v>761.6114179892628</c:v>
                </c:pt>
                <c:pt idx="80">
                  <c:v>768.47859425244042</c:v>
                </c:pt>
                <c:pt idx="81">
                  <c:v>748.98737437307125</c:v>
                </c:pt>
                <c:pt idx="82">
                  <c:v>748.98737437307125</c:v>
                </c:pt>
                <c:pt idx="83">
                  <c:v>748.98737437307125</c:v>
                </c:pt>
                <c:pt idx="84">
                  <c:v>748.98737437307125</c:v>
                </c:pt>
                <c:pt idx="85">
                  <c:v>748.98737437307125</c:v>
                </c:pt>
                <c:pt idx="86">
                  <c:v>748.98737437307125</c:v>
                </c:pt>
                <c:pt idx="87">
                  <c:v>748.98737437307125</c:v>
                </c:pt>
                <c:pt idx="88">
                  <c:v>748.98737437307125</c:v>
                </c:pt>
                <c:pt idx="89">
                  <c:v>748.98737437307125</c:v>
                </c:pt>
                <c:pt idx="90">
                  <c:v>748.98737437307125</c:v>
                </c:pt>
                <c:pt idx="91">
                  <c:v>748.98737437307125</c:v>
                </c:pt>
                <c:pt idx="92">
                  <c:v>748.98737437307125</c:v>
                </c:pt>
                <c:pt idx="93">
                  <c:v>748.98737437307125</c:v>
                </c:pt>
                <c:pt idx="94">
                  <c:v>748.98737437307125</c:v>
                </c:pt>
                <c:pt idx="95">
                  <c:v>748.98737437307125</c:v>
                </c:pt>
                <c:pt idx="96">
                  <c:v>748.98737437307125</c:v>
                </c:pt>
                <c:pt idx="97">
                  <c:v>748.98737437307125</c:v>
                </c:pt>
                <c:pt idx="98">
                  <c:v>748.98737437307125</c:v>
                </c:pt>
                <c:pt idx="99">
                  <c:v>748.98737437307125</c:v>
                </c:pt>
                <c:pt idx="100">
                  <c:v>748.98737437307125</c:v>
                </c:pt>
                <c:pt idx="101">
                  <c:v>748.98737437307125</c:v>
                </c:pt>
                <c:pt idx="102">
                  <c:v>748.98737437307125</c:v>
                </c:pt>
                <c:pt idx="103">
                  <c:v>748.98737437307125</c:v>
                </c:pt>
                <c:pt idx="104">
                  <c:v>748.98737437307125</c:v>
                </c:pt>
                <c:pt idx="105">
                  <c:v>748.98737437307125</c:v>
                </c:pt>
                <c:pt idx="106">
                  <c:v>748.98737437307125</c:v>
                </c:pt>
                <c:pt idx="107">
                  <c:v>748.98737437307125</c:v>
                </c:pt>
                <c:pt idx="108">
                  <c:v>748.98737437307125</c:v>
                </c:pt>
                <c:pt idx="109">
                  <c:v>748.98737437307125</c:v>
                </c:pt>
                <c:pt idx="110">
                  <c:v>748.98737437307125</c:v>
                </c:pt>
                <c:pt idx="111">
                  <c:v>748.98737437307125</c:v>
                </c:pt>
                <c:pt idx="112">
                  <c:v>748.98737437307125</c:v>
                </c:pt>
                <c:pt idx="113">
                  <c:v>748.98737437307125</c:v>
                </c:pt>
                <c:pt idx="114">
                  <c:v>748.98737437307125</c:v>
                </c:pt>
                <c:pt idx="115">
                  <c:v>748.98737437307125</c:v>
                </c:pt>
                <c:pt idx="116">
                  <c:v>748.98737437307125</c:v>
                </c:pt>
                <c:pt idx="117">
                  <c:v>748.98737437307125</c:v>
                </c:pt>
                <c:pt idx="118">
                  <c:v>748.98737437307125</c:v>
                </c:pt>
                <c:pt idx="119">
                  <c:v>748.98737437307125</c:v>
                </c:pt>
                <c:pt idx="120">
                  <c:v>748.98737437307125</c:v>
                </c:pt>
                <c:pt idx="121">
                  <c:v>748.98737437307125</c:v>
                </c:pt>
                <c:pt idx="122">
                  <c:v>748.98737437307125</c:v>
                </c:pt>
                <c:pt idx="123">
                  <c:v>748.98737437307125</c:v>
                </c:pt>
                <c:pt idx="124">
                  <c:v>748.98737437307125</c:v>
                </c:pt>
                <c:pt idx="125">
                  <c:v>748.98737437307125</c:v>
                </c:pt>
                <c:pt idx="126">
                  <c:v>748.98737437307125</c:v>
                </c:pt>
                <c:pt idx="127">
                  <c:v>748.98737437307125</c:v>
                </c:pt>
                <c:pt idx="128">
                  <c:v>748.98737437307125</c:v>
                </c:pt>
                <c:pt idx="129">
                  <c:v>748.98737437307125</c:v>
                </c:pt>
                <c:pt idx="130">
                  <c:v>748.98737437307125</c:v>
                </c:pt>
                <c:pt idx="131">
                  <c:v>748.98737437307125</c:v>
                </c:pt>
                <c:pt idx="132">
                  <c:v>748.98737437307125</c:v>
                </c:pt>
                <c:pt idx="133">
                  <c:v>748.98737437307125</c:v>
                </c:pt>
                <c:pt idx="134">
                  <c:v>748.98737437307125</c:v>
                </c:pt>
                <c:pt idx="135">
                  <c:v>748.98737437307125</c:v>
                </c:pt>
                <c:pt idx="136">
                  <c:v>748.98737437307125</c:v>
                </c:pt>
                <c:pt idx="137">
                  <c:v>748.98737437307125</c:v>
                </c:pt>
                <c:pt idx="138">
                  <c:v>748.98737437307125</c:v>
                </c:pt>
                <c:pt idx="139">
                  <c:v>748.98737437307125</c:v>
                </c:pt>
                <c:pt idx="140">
                  <c:v>748.98737437307125</c:v>
                </c:pt>
                <c:pt idx="141">
                  <c:v>748.98737437307125</c:v>
                </c:pt>
                <c:pt idx="142">
                  <c:v>748.98737437307125</c:v>
                </c:pt>
                <c:pt idx="143">
                  <c:v>748.98737437307125</c:v>
                </c:pt>
                <c:pt idx="144">
                  <c:v>748.98737437307125</c:v>
                </c:pt>
                <c:pt idx="145">
                  <c:v>748.98737437307125</c:v>
                </c:pt>
                <c:pt idx="146">
                  <c:v>748.98737437307125</c:v>
                </c:pt>
                <c:pt idx="147">
                  <c:v>748.98737437307125</c:v>
                </c:pt>
                <c:pt idx="148">
                  <c:v>748.98737437307125</c:v>
                </c:pt>
                <c:pt idx="149">
                  <c:v>748.98737437307125</c:v>
                </c:pt>
                <c:pt idx="150">
                  <c:v>748.98737437307125</c:v>
                </c:pt>
                <c:pt idx="151">
                  <c:v>748.98737437307125</c:v>
                </c:pt>
                <c:pt idx="152">
                  <c:v>748.98737437307125</c:v>
                </c:pt>
                <c:pt idx="153">
                  <c:v>748.98737437307125</c:v>
                </c:pt>
                <c:pt idx="154">
                  <c:v>748.98737437307125</c:v>
                </c:pt>
                <c:pt idx="155">
                  <c:v>748.98737437307125</c:v>
                </c:pt>
                <c:pt idx="156">
                  <c:v>748.98737437307125</c:v>
                </c:pt>
                <c:pt idx="157">
                  <c:v>748.98737437307125</c:v>
                </c:pt>
                <c:pt idx="158">
                  <c:v>748.98737437307125</c:v>
                </c:pt>
                <c:pt idx="159">
                  <c:v>748.98737437307125</c:v>
                </c:pt>
                <c:pt idx="160">
                  <c:v>748.98737437307125</c:v>
                </c:pt>
                <c:pt idx="161">
                  <c:v>748.98737437307125</c:v>
                </c:pt>
                <c:pt idx="162">
                  <c:v>748.98737437307125</c:v>
                </c:pt>
                <c:pt idx="163">
                  <c:v>748.98737437307125</c:v>
                </c:pt>
                <c:pt idx="164">
                  <c:v>748.98737437307125</c:v>
                </c:pt>
                <c:pt idx="165">
                  <c:v>748.98737437307125</c:v>
                </c:pt>
                <c:pt idx="166">
                  <c:v>748.98737437307125</c:v>
                </c:pt>
                <c:pt idx="167">
                  <c:v>748.98737437307125</c:v>
                </c:pt>
                <c:pt idx="168">
                  <c:v>748.98737437307125</c:v>
                </c:pt>
                <c:pt idx="169">
                  <c:v>748.98737437307125</c:v>
                </c:pt>
                <c:pt idx="170">
                  <c:v>748.98737437307125</c:v>
                </c:pt>
                <c:pt idx="171">
                  <c:v>748.98737437307125</c:v>
                </c:pt>
                <c:pt idx="172">
                  <c:v>748.98737437307125</c:v>
                </c:pt>
                <c:pt idx="173">
                  <c:v>748.98737437307125</c:v>
                </c:pt>
                <c:pt idx="174">
                  <c:v>748.98737437307125</c:v>
                </c:pt>
                <c:pt idx="175">
                  <c:v>748.98737437307125</c:v>
                </c:pt>
                <c:pt idx="176">
                  <c:v>748.98737437307125</c:v>
                </c:pt>
                <c:pt idx="177">
                  <c:v>748.98737437307125</c:v>
                </c:pt>
                <c:pt idx="178">
                  <c:v>748.98737437307125</c:v>
                </c:pt>
                <c:pt idx="179">
                  <c:v>748.98737437307125</c:v>
                </c:pt>
                <c:pt idx="180">
                  <c:v>748.98737437307125</c:v>
                </c:pt>
                <c:pt idx="181">
                  <c:v>748.98737437307125</c:v>
                </c:pt>
                <c:pt idx="182">
                  <c:v>748.98737437307125</c:v>
                </c:pt>
                <c:pt idx="183">
                  <c:v>748.98737437307125</c:v>
                </c:pt>
                <c:pt idx="184">
                  <c:v>748.98737437307125</c:v>
                </c:pt>
                <c:pt idx="185">
                  <c:v>748.98737437307125</c:v>
                </c:pt>
                <c:pt idx="186">
                  <c:v>748.98737437307125</c:v>
                </c:pt>
                <c:pt idx="187">
                  <c:v>748.98737437307125</c:v>
                </c:pt>
                <c:pt idx="188">
                  <c:v>748.98737437307125</c:v>
                </c:pt>
                <c:pt idx="189">
                  <c:v>748.98737437307125</c:v>
                </c:pt>
                <c:pt idx="190">
                  <c:v>748.98737437307125</c:v>
                </c:pt>
                <c:pt idx="191">
                  <c:v>748.98737437307125</c:v>
                </c:pt>
                <c:pt idx="192">
                  <c:v>748.98737437307125</c:v>
                </c:pt>
                <c:pt idx="193">
                  <c:v>748.98737437307125</c:v>
                </c:pt>
                <c:pt idx="194">
                  <c:v>748.98737437307125</c:v>
                </c:pt>
                <c:pt idx="195">
                  <c:v>748.98737437307125</c:v>
                </c:pt>
                <c:pt idx="196">
                  <c:v>748.98737437307125</c:v>
                </c:pt>
                <c:pt idx="197">
                  <c:v>748.98737437307125</c:v>
                </c:pt>
                <c:pt idx="198">
                  <c:v>748.98737437307125</c:v>
                </c:pt>
                <c:pt idx="199">
                  <c:v>748.98737437307125</c:v>
                </c:pt>
                <c:pt idx="200">
                  <c:v>748.98737437307125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7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4" zoomScale="70" zoomScaleNormal="70" workbookViewId="0">
      <selection activeCell="J23" sqref="J2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7.5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0.68</v>
      </c>
      <c r="D9" s="33">
        <f t="shared" ref="D9:D18" si="0">C9*$C$5</f>
        <v>5.1000000000000005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0.2</v>
      </c>
      <c r="D10" s="33">
        <f t="shared" si="0"/>
        <v>1.5</v>
      </c>
      <c r="E10" s="34">
        <v>60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12</v>
      </c>
      <c r="C11" s="32">
        <v>0.1</v>
      </c>
      <c r="D11" s="33">
        <f t="shared" si="0"/>
        <v>0.75</v>
      </c>
      <c r="E11" s="34">
        <v>130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156</v>
      </c>
      <c r="C12" s="32">
        <v>0.02</v>
      </c>
      <c r="D12" s="33">
        <f t="shared" si="0"/>
        <v>0.15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7.5000000000000009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24</v>
      </c>
      <c r="B36" s="60">
        <v>163</v>
      </c>
      <c r="C36" s="60">
        <v>1</v>
      </c>
      <c r="D36" s="60">
        <v>59</v>
      </c>
      <c r="E36" s="51"/>
      <c r="F36" s="51">
        <v>0.4</v>
      </c>
      <c r="G36" s="51">
        <v>0.6</v>
      </c>
      <c r="H36" s="51"/>
      <c r="I36" s="49">
        <f>IFERROR(B36/A36,"")</f>
        <v>6.791666666666667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185</v>
      </c>
      <c r="C37" s="60">
        <v>2</v>
      </c>
      <c r="D37" s="60">
        <v>60</v>
      </c>
      <c r="E37" s="51"/>
      <c r="F37" s="51">
        <v>0.4</v>
      </c>
      <c r="G37" s="51">
        <v>0.6</v>
      </c>
      <c r="H37" s="51"/>
      <c r="I37" s="53">
        <f t="shared" ref="I37:I55" si="1">IF(A37&lt;&gt;0,(B37-(B36-D36))/(A37-A36),"")</f>
        <v>13.5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46</v>
      </c>
      <c r="B38" s="60">
        <v>278</v>
      </c>
      <c r="C38" s="60">
        <v>3</v>
      </c>
      <c r="D38" s="60">
        <v>68</v>
      </c>
      <c r="E38" s="51">
        <v>0.5</v>
      </c>
      <c r="F38" s="51">
        <v>0.2</v>
      </c>
      <c r="G38" s="51">
        <v>0.3</v>
      </c>
      <c r="H38" s="51"/>
      <c r="I38" s="53">
        <f t="shared" si="1"/>
        <v>9.5625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54</v>
      </c>
      <c r="B39" s="60">
        <v>294</v>
      </c>
      <c r="C39" s="60">
        <v>4</v>
      </c>
      <c r="D39" s="60">
        <v>65</v>
      </c>
      <c r="E39" s="51">
        <v>0.6</v>
      </c>
      <c r="F39" s="51">
        <v>0.15</v>
      </c>
      <c r="G39" s="51">
        <v>0.25</v>
      </c>
      <c r="H39" s="51"/>
      <c r="I39" s="49">
        <f t="shared" si="1"/>
        <v>10.5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/>
      <c r="B40" s="60"/>
      <c r="C40" s="60"/>
      <c r="D40" s="60"/>
      <c r="E40" s="51"/>
      <c r="F40" s="51"/>
      <c r="G40" s="51"/>
      <c r="H40" s="51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25</v>
      </c>
      <c r="B62" s="60">
        <v>147.5</v>
      </c>
      <c r="C62" s="60">
        <v>1</v>
      </c>
      <c r="D62" s="60">
        <v>14.75</v>
      </c>
      <c r="E62" s="51"/>
      <c r="F62" s="51">
        <v>0.4</v>
      </c>
      <c r="G62" s="51">
        <v>0.6</v>
      </c>
      <c r="H62" s="51"/>
      <c r="I62" s="53">
        <f>IFERROR(B62/A62,"")</f>
        <v>5.9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33</v>
      </c>
      <c r="B63" s="60">
        <v>186.25</v>
      </c>
      <c r="C63" s="60">
        <v>2</v>
      </c>
      <c r="D63" s="60">
        <v>42.69</v>
      </c>
      <c r="E63" s="51"/>
      <c r="F63" s="51">
        <v>0.4</v>
      </c>
      <c r="G63" s="51">
        <v>0.6</v>
      </c>
      <c r="H63" s="51"/>
      <c r="I63" s="49">
        <f>IF(A63&lt;&gt;0,(B63-(B62-D62))/(A63-A62),"")</f>
        <v>6.6875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41</v>
      </c>
      <c r="B64" s="60">
        <v>214.31</v>
      </c>
      <c r="C64" s="60">
        <v>3</v>
      </c>
      <c r="D64" s="60">
        <v>85.55</v>
      </c>
      <c r="E64" s="51">
        <v>0.4</v>
      </c>
      <c r="F64" s="51">
        <v>0.25</v>
      </c>
      <c r="G64" s="51">
        <v>0.35</v>
      </c>
      <c r="H64" s="51"/>
      <c r="I64" s="49">
        <f>IF(A64&lt;&gt;0,(B64-(B63-D63))/(A64-A63),"")</f>
        <v>8.84375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52</v>
      </c>
      <c r="B65" s="60">
        <v>250.45</v>
      </c>
      <c r="C65" s="60">
        <v>4</v>
      </c>
      <c r="D65" s="60">
        <v>135.63999999999999</v>
      </c>
      <c r="E65" s="51">
        <v>0.5</v>
      </c>
      <c r="F65" s="51">
        <v>0.2</v>
      </c>
      <c r="G65" s="51">
        <v>0.3</v>
      </c>
      <c r="H65" s="51"/>
      <c r="I65" s="49">
        <f>IF(A65&lt;&gt;0,(B65-(B64-D64))/(A65-A64),"")</f>
        <v>11.062727272727273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264.3</v>
      </c>
      <c r="C66" s="60">
        <v>5</v>
      </c>
      <c r="D66" s="60">
        <v>264.36</v>
      </c>
      <c r="E66" s="51">
        <v>0.5</v>
      </c>
      <c r="F66" s="51">
        <v>0.2</v>
      </c>
      <c r="G66" s="51">
        <v>0.3</v>
      </c>
      <c r="H66" s="51"/>
      <c r="I66" s="49">
        <f t="shared" ref="I66:I81" si="2">IF(A66&lt;&gt;0,(B66-(B65-D65))/(A66-A65),"")</f>
        <v>18.686250000000001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pubescent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35</v>
      </c>
      <c r="B88" s="60">
        <f>66+D88</f>
        <v>79</v>
      </c>
      <c r="C88" s="60">
        <v>1</v>
      </c>
      <c r="D88" s="60">
        <v>13</v>
      </c>
      <c r="E88" s="51"/>
      <c r="F88" s="51"/>
      <c r="G88" s="51"/>
      <c r="H88" s="87">
        <v>1</v>
      </c>
      <c r="I88" s="53">
        <f>IFERROR(B88/A88,"")</f>
        <v>2.2571428571428571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40</v>
      </c>
      <c r="B89" s="60">
        <f>79+D89</f>
        <v>93</v>
      </c>
      <c r="C89" s="60">
        <v>2</v>
      </c>
      <c r="D89" s="60">
        <v>14</v>
      </c>
      <c r="E89" s="51"/>
      <c r="F89" s="51"/>
      <c r="G89" s="51"/>
      <c r="H89" s="87">
        <v>1</v>
      </c>
      <c r="I89" s="53">
        <f t="shared" ref="I89:I107" si="3">IF(A89&lt;&gt;0,(B89-(B88-D88))/(A89-A88),"")</f>
        <v>5.4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45</v>
      </c>
      <c r="B90" s="60">
        <f>93+D90</f>
        <v>107</v>
      </c>
      <c r="C90" s="60">
        <v>3</v>
      </c>
      <c r="D90" s="60">
        <v>14</v>
      </c>
      <c r="E90" s="87">
        <v>0.4</v>
      </c>
      <c r="F90" s="87">
        <v>0.08</v>
      </c>
      <c r="G90" s="87">
        <v>0.12</v>
      </c>
      <c r="H90" s="87">
        <v>0.4</v>
      </c>
      <c r="I90" s="53">
        <f t="shared" si="3"/>
        <v>5.6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f>107+D91</f>
        <v>121</v>
      </c>
      <c r="C91" s="60">
        <v>4</v>
      </c>
      <c r="D91" s="60">
        <v>14</v>
      </c>
      <c r="E91" s="87">
        <v>0.4</v>
      </c>
      <c r="F91" s="87">
        <v>0.08</v>
      </c>
      <c r="G91" s="87">
        <v>0.12</v>
      </c>
      <c r="H91" s="87">
        <v>0.4</v>
      </c>
      <c r="I91" s="53">
        <f t="shared" si="3"/>
        <v>5.6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55</v>
      </c>
      <c r="B92" s="60">
        <f>121+D92</f>
        <v>135</v>
      </c>
      <c r="C92" s="60">
        <v>5</v>
      </c>
      <c r="D92" s="60">
        <v>14</v>
      </c>
      <c r="E92" s="87">
        <v>0.6</v>
      </c>
      <c r="F92" s="87">
        <v>0.04</v>
      </c>
      <c r="G92" s="87">
        <v>0.06</v>
      </c>
      <c r="H92" s="87">
        <v>0.3</v>
      </c>
      <c r="I92" s="53">
        <f t="shared" si="3"/>
        <v>5.6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f>134+D93</f>
        <v>148</v>
      </c>
      <c r="C93" s="60">
        <v>6</v>
      </c>
      <c r="D93" s="60">
        <v>14</v>
      </c>
      <c r="E93" s="87">
        <v>0.6</v>
      </c>
      <c r="F93" s="87">
        <v>0.04</v>
      </c>
      <c r="G93" s="87">
        <v>0.06</v>
      </c>
      <c r="H93" s="87">
        <v>0.3</v>
      </c>
      <c r="I93" s="53">
        <f t="shared" si="3"/>
        <v>5.4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65</v>
      </c>
      <c r="B94" s="60">
        <f>147+D94</f>
        <v>161</v>
      </c>
      <c r="C94" s="60">
        <v>7</v>
      </c>
      <c r="D94" s="60">
        <v>14</v>
      </c>
      <c r="E94" s="87">
        <v>0.8</v>
      </c>
      <c r="F94" s="87">
        <v>0.04</v>
      </c>
      <c r="G94" s="87">
        <v>0.06</v>
      </c>
      <c r="H94" s="87">
        <v>0.1</v>
      </c>
      <c r="I94" s="53">
        <f t="shared" si="3"/>
        <v>5.4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70</v>
      </c>
      <c r="B95" s="60">
        <f>158+D95</f>
        <v>172</v>
      </c>
      <c r="C95" s="60">
        <v>8</v>
      </c>
      <c r="D95" s="60">
        <v>14</v>
      </c>
      <c r="E95" s="87">
        <v>0.8</v>
      </c>
      <c r="F95" s="87">
        <v>0.04</v>
      </c>
      <c r="G95" s="87">
        <v>0.06</v>
      </c>
      <c r="H95" s="87">
        <v>0.1</v>
      </c>
      <c r="I95" s="53">
        <f t="shared" si="3"/>
        <v>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75</v>
      </c>
      <c r="B96" s="60">
        <f>169+D96</f>
        <v>183</v>
      </c>
      <c r="C96" s="60">
        <v>9</v>
      </c>
      <c r="D96" s="60">
        <v>14</v>
      </c>
      <c r="E96" s="87">
        <v>0.8</v>
      </c>
      <c r="F96" s="87">
        <v>0.04</v>
      </c>
      <c r="G96" s="87">
        <v>0.06</v>
      </c>
      <c r="H96" s="87">
        <v>0.1</v>
      </c>
      <c r="I96" s="53">
        <f t="shared" si="3"/>
        <v>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80</v>
      </c>
      <c r="B97" s="60">
        <f>178+D97</f>
        <v>192</v>
      </c>
      <c r="C97" s="60">
        <v>10</v>
      </c>
      <c r="D97" s="60">
        <v>14</v>
      </c>
      <c r="E97" s="87">
        <v>0.8</v>
      </c>
      <c r="F97" s="87">
        <v>0.04</v>
      </c>
      <c r="G97" s="87">
        <v>0.06</v>
      </c>
      <c r="H97" s="87">
        <v>0.1</v>
      </c>
      <c r="I97" s="53">
        <f t="shared" si="3"/>
        <v>4.5999999999999996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85</v>
      </c>
      <c r="B98" s="60">
        <f>186+D98</f>
        <v>200</v>
      </c>
      <c r="C98" s="60">
        <v>11</v>
      </c>
      <c r="D98" s="60">
        <v>14</v>
      </c>
      <c r="E98" s="87">
        <v>0.8</v>
      </c>
      <c r="F98" s="87">
        <v>0.04</v>
      </c>
      <c r="G98" s="87">
        <v>0.06</v>
      </c>
      <c r="H98" s="87">
        <v>0.1</v>
      </c>
      <c r="I98" s="53">
        <f t="shared" si="3"/>
        <v>4.4000000000000004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90</v>
      </c>
      <c r="B99" s="60">
        <f>193+D99</f>
        <v>207</v>
      </c>
      <c r="C99" s="60">
        <v>12</v>
      </c>
      <c r="D99" s="60">
        <v>14</v>
      </c>
      <c r="E99" s="87">
        <v>0.8</v>
      </c>
      <c r="F99" s="87">
        <v>0.04</v>
      </c>
      <c r="G99" s="87">
        <v>0.06</v>
      </c>
      <c r="H99" s="87">
        <v>0.1</v>
      </c>
      <c r="I99" s="53">
        <f t="shared" si="3"/>
        <v>4.2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95</v>
      </c>
      <c r="B100" s="60">
        <f>198+D100</f>
        <v>212</v>
      </c>
      <c r="C100" s="60">
        <v>13</v>
      </c>
      <c r="D100" s="60">
        <v>14</v>
      </c>
      <c r="E100" s="65">
        <v>0.8</v>
      </c>
      <c r="F100" s="65">
        <v>0.04</v>
      </c>
      <c r="G100" s="65">
        <v>0.06</v>
      </c>
      <c r="H100" s="65">
        <v>0.1</v>
      </c>
      <c r="I100" s="53">
        <f t="shared" si="3"/>
        <v>3.8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100</v>
      </c>
      <c r="B101" s="60">
        <f>202+D101</f>
        <v>216</v>
      </c>
      <c r="C101" s="60">
        <v>14</v>
      </c>
      <c r="D101" s="60">
        <v>14</v>
      </c>
      <c r="E101" s="65">
        <v>0.8</v>
      </c>
      <c r="F101" s="65">
        <v>0.04</v>
      </c>
      <c r="G101" s="65">
        <v>0.06</v>
      </c>
      <c r="H101" s="65">
        <v>0.1</v>
      </c>
      <c r="I101" s="53">
        <f t="shared" si="3"/>
        <v>3.6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105</v>
      </c>
      <c r="B102" s="50">
        <v>218</v>
      </c>
      <c r="C102" s="60">
        <v>15</v>
      </c>
      <c r="D102" s="50">
        <v>14</v>
      </c>
      <c r="E102" s="54">
        <v>0.8</v>
      </c>
      <c r="F102" s="54">
        <v>0.04</v>
      </c>
      <c r="G102" s="54">
        <v>0.06</v>
      </c>
      <c r="H102" s="54">
        <v>0.1</v>
      </c>
      <c r="I102" s="53">
        <f t="shared" si="3"/>
        <v>3.2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110</v>
      </c>
      <c r="B103" s="50">
        <v>219</v>
      </c>
      <c r="C103" s="60">
        <v>16</v>
      </c>
      <c r="D103" s="50">
        <v>13</v>
      </c>
      <c r="E103" s="54">
        <v>0.8</v>
      </c>
      <c r="F103" s="54">
        <v>0.04</v>
      </c>
      <c r="G103" s="54">
        <v>0.06</v>
      </c>
      <c r="H103" s="54">
        <v>0.1</v>
      </c>
      <c r="I103" s="53">
        <f t="shared" si="3"/>
        <v>3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115</v>
      </c>
      <c r="B104" s="50">
        <v>221</v>
      </c>
      <c r="C104" s="60">
        <v>17</v>
      </c>
      <c r="D104" s="50">
        <v>13</v>
      </c>
      <c r="E104" s="54">
        <v>0.8</v>
      </c>
      <c r="F104" s="54">
        <v>0.04</v>
      </c>
      <c r="G104" s="54">
        <v>0.06</v>
      </c>
      <c r="H104" s="54">
        <v>0.1</v>
      </c>
      <c r="I104" s="53">
        <f t="shared" si="3"/>
        <v>3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120</v>
      </c>
      <c r="B105" s="50">
        <v>221</v>
      </c>
      <c r="C105" s="50">
        <v>18</v>
      </c>
      <c r="D105" s="50">
        <v>12</v>
      </c>
      <c r="E105" s="54">
        <v>0.8</v>
      </c>
      <c r="F105" s="54">
        <v>0.04</v>
      </c>
      <c r="G105" s="54">
        <v>0.06</v>
      </c>
      <c r="H105" s="54">
        <v>0.1</v>
      </c>
      <c r="I105" s="53">
        <f t="shared" si="3"/>
        <v>2.6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>
        <v>125</v>
      </c>
      <c r="B106" s="50">
        <v>220</v>
      </c>
      <c r="C106" s="50">
        <v>19</v>
      </c>
      <c r="D106" s="50">
        <v>11</v>
      </c>
      <c r="E106" s="54">
        <v>0.8</v>
      </c>
      <c r="F106" s="54">
        <v>0.04</v>
      </c>
      <c r="G106" s="54">
        <v>0.06</v>
      </c>
      <c r="H106" s="54">
        <v>0.1</v>
      </c>
      <c r="I106" s="53">
        <f t="shared" si="3"/>
        <v>2.2000000000000002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>
        <v>130</v>
      </c>
      <c r="B107" s="50">
        <v>220</v>
      </c>
      <c r="C107" s="50">
        <v>20</v>
      </c>
      <c r="D107" s="50">
        <v>10</v>
      </c>
      <c r="E107" s="54">
        <v>0.8</v>
      </c>
      <c r="F107" s="54">
        <v>0.04</v>
      </c>
      <c r="G107" s="54">
        <v>0.06</v>
      </c>
      <c r="H107" s="54">
        <v>0.1</v>
      </c>
      <c r="I107" s="53">
        <f t="shared" si="3"/>
        <v>2.2000000000000002</v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Séquoia toujours vert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f>102+D114</f>
        <v>147</v>
      </c>
      <c r="C114" s="50">
        <v>1</v>
      </c>
      <c r="D114" s="60">
        <v>45</v>
      </c>
      <c r="E114" s="51"/>
      <c r="F114" s="51">
        <v>0.6</v>
      </c>
      <c r="G114" s="51">
        <v>0.4</v>
      </c>
      <c r="H114" s="51"/>
      <c r="I114" s="53">
        <f>IFERROR(B114/A114,"")</f>
        <v>7.35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25</v>
      </c>
      <c r="B115" s="60">
        <f>172+D115</f>
        <v>242</v>
      </c>
      <c r="C115" s="50">
        <v>2</v>
      </c>
      <c r="D115" s="60">
        <v>70</v>
      </c>
      <c r="E115" s="51">
        <v>0.3</v>
      </c>
      <c r="F115" s="51">
        <v>0.42</v>
      </c>
      <c r="G115" s="51">
        <v>0.28000000000000003</v>
      </c>
      <c r="H115" s="51"/>
      <c r="I115" s="53">
        <f t="shared" ref="I115:I133" si="4">IF(A115&lt;&gt;0,(B115-(B114-D114))/(A115-A114),"")</f>
        <v>28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f>258+D116</f>
        <v>328</v>
      </c>
      <c r="C116" s="50">
        <v>3</v>
      </c>
      <c r="D116" s="60">
        <v>70</v>
      </c>
      <c r="E116" s="51">
        <v>0.5</v>
      </c>
      <c r="F116" s="51">
        <v>0.3</v>
      </c>
      <c r="G116" s="51">
        <v>0.2</v>
      </c>
      <c r="H116" s="51"/>
      <c r="I116" s="53">
        <f t="shared" si="4"/>
        <v>31.2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35</v>
      </c>
      <c r="B117" s="60">
        <f>345+D117</f>
        <v>415</v>
      </c>
      <c r="C117" s="50">
        <v>4</v>
      </c>
      <c r="D117" s="60">
        <v>70</v>
      </c>
      <c r="E117" s="51">
        <v>0.5</v>
      </c>
      <c r="F117" s="51">
        <v>0.3</v>
      </c>
      <c r="G117" s="51">
        <v>0.2</v>
      </c>
      <c r="H117" s="51"/>
      <c r="I117" s="53">
        <f t="shared" si="4"/>
        <v>31.4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40</v>
      </c>
      <c r="B118" s="60">
        <f>421+D118</f>
        <v>491</v>
      </c>
      <c r="C118" s="50">
        <v>5</v>
      </c>
      <c r="D118" s="60">
        <v>70</v>
      </c>
      <c r="E118" s="51">
        <v>0.5</v>
      </c>
      <c r="F118" s="51">
        <v>0.3</v>
      </c>
      <c r="G118" s="51">
        <v>0.2</v>
      </c>
      <c r="H118" s="51"/>
      <c r="I118" s="53">
        <f t="shared" si="4"/>
        <v>29.2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45</v>
      </c>
      <c r="B119" s="60">
        <f>492+D119</f>
        <v>552</v>
      </c>
      <c r="C119" s="50">
        <v>6</v>
      </c>
      <c r="D119" s="60">
        <v>60</v>
      </c>
      <c r="E119" s="51">
        <v>0.5</v>
      </c>
      <c r="F119" s="51">
        <v>0.3</v>
      </c>
      <c r="G119" s="51">
        <v>0.2</v>
      </c>
      <c r="H119" s="51"/>
      <c r="I119" s="53">
        <f t="shared" si="4"/>
        <v>26.2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50</v>
      </c>
      <c r="B120" s="60">
        <f>559+D120</f>
        <v>610</v>
      </c>
      <c r="C120" s="60">
        <v>7</v>
      </c>
      <c r="D120" s="60">
        <v>51</v>
      </c>
      <c r="E120" s="87">
        <v>0.6</v>
      </c>
      <c r="F120" s="87">
        <v>0.25</v>
      </c>
      <c r="G120" s="87">
        <v>0.15</v>
      </c>
      <c r="H120" s="87"/>
      <c r="I120" s="53">
        <f t="shared" si="4"/>
        <v>23.6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55</v>
      </c>
      <c r="B121" s="60">
        <f>620+D121</f>
        <v>664</v>
      </c>
      <c r="C121" s="60">
        <v>8</v>
      </c>
      <c r="D121" s="60">
        <v>44</v>
      </c>
      <c r="E121" s="87">
        <v>0.6</v>
      </c>
      <c r="F121" s="87">
        <v>0.25</v>
      </c>
      <c r="G121" s="87">
        <v>0.15</v>
      </c>
      <c r="H121" s="87"/>
      <c r="I121" s="53">
        <f t="shared" si="4"/>
        <v>21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60</v>
      </c>
      <c r="B122" s="60">
        <f>672+D122</f>
        <v>711</v>
      </c>
      <c r="C122" s="60">
        <v>9</v>
      </c>
      <c r="D122" s="60">
        <v>39</v>
      </c>
      <c r="E122" s="87">
        <v>0.6</v>
      </c>
      <c r="F122" s="87">
        <v>0.25</v>
      </c>
      <c r="G122" s="87">
        <v>0.15</v>
      </c>
      <c r="H122" s="87"/>
      <c r="I122" s="53">
        <f t="shared" si="4"/>
        <v>18.2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65</v>
      </c>
      <c r="B123" s="60">
        <f>714+D123</f>
        <v>748</v>
      </c>
      <c r="C123" s="60">
        <v>10</v>
      </c>
      <c r="D123" s="60">
        <v>34</v>
      </c>
      <c r="E123" s="87">
        <v>0.7</v>
      </c>
      <c r="F123" s="87">
        <v>0.25</v>
      </c>
      <c r="G123" s="87">
        <v>0.15</v>
      </c>
      <c r="H123" s="87"/>
      <c r="I123" s="53">
        <f t="shared" si="4"/>
        <v>15.2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70</v>
      </c>
      <c r="B124" s="60">
        <f>746+D124</f>
        <v>775</v>
      </c>
      <c r="C124" s="60">
        <v>11</v>
      </c>
      <c r="D124" s="60">
        <v>29</v>
      </c>
      <c r="E124" s="87">
        <v>0.7</v>
      </c>
      <c r="F124" s="87">
        <v>0.25</v>
      </c>
      <c r="G124" s="87">
        <v>0.15</v>
      </c>
      <c r="H124" s="87"/>
      <c r="I124" s="53">
        <f t="shared" si="4"/>
        <v>12.2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75</v>
      </c>
      <c r="B125" s="60">
        <f>773+D125</f>
        <v>798</v>
      </c>
      <c r="C125" s="60">
        <v>12</v>
      </c>
      <c r="D125" s="60">
        <v>25</v>
      </c>
      <c r="E125" s="87">
        <v>0.7</v>
      </c>
      <c r="F125" s="87">
        <v>0.25</v>
      </c>
      <c r="G125" s="87">
        <v>0.15</v>
      </c>
      <c r="H125" s="87"/>
      <c r="I125" s="53">
        <f t="shared" si="4"/>
        <v>10.4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80</v>
      </c>
      <c r="B126" s="60">
        <f>789+D126</f>
        <v>810</v>
      </c>
      <c r="C126" s="60">
        <v>13</v>
      </c>
      <c r="D126" s="60">
        <v>21</v>
      </c>
      <c r="E126" s="65">
        <v>0.7</v>
      </c>
      <c r="F126" s="65">
        <v>0.25</v>
      </c>
      <c r="G126" s="65">
        <v>0.15</v>
      </c>
      <c r="H126" s="65"/>
      <c r="I126" s="53">
        <f t="shared" si="4"/>
        <v>7.4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3" zoomScaleNormal="100" workbookViewId="0">
      <selection activeCell="D22" sqref="D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pubescent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Séquoia toujours vert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125.14227069357082</v>
      </c>
      <c r="T3" s="59">
        <f>IF('Données projet'!E9&gt;30,$R$33-$H$33,LOOKUP('Données projet'!$E$9,$A$3:$A$203,R3:R203)-LOOKUP('Données projet'!$E$9,$A$3:$A$203,$H$3:$H$203))</f>
        <v>193.39407925063165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74.573470247551825</v>
      </c>
      <c r="AO3" s="59">
        <f>IF('Données projet'!E10&gt;30,$AM$33-$H$33,LOOKUP('Données projet'!$E$10,$A$3:$A$203,AM3:AM203)-LOOKUP('Données projet'!$E$10,$A$3:$A$203,$H$3:$H$203))</f>
        <v>122.43655207772224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183.74583738362492</v>
      </c>
      <c r="BJ3" s="59">
        <f>IF('Données projet'!E11&gt;30,$BH$33-$H$33,LOOKUP('Données projet'!$E$11,$A$3:$A$203,BH3:BH203)-LOOKUP('Données projet'!$E$11,$A$3:$A$203,$H$3:$H$203))</f>
        <v>46.344307013926596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333.00091572040611</v>
      </c>
      <c r="CE3" s="59">
        <f>IF('Données projet'!E12&gt;30,$CC$33-$H$33,LOOKUP('Données projet'!$E$12,$A$3:$A$203,CC3:CC203)-LOOKUP('Données projet'!$E$12,$A$3:$A$203,$H$3:$H$203))</f>
        <v>267.06874181561398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1">
        <f>IFERROR(EXP(-1.0587+0.8836*LN(C4)+0.284),0)</f>
        <v>0.35031814074723205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67">
        <f t="shared" ref="H4:H67" si="1">(B4+E4+F4)*44/12+(C4+D4)*0.475*44/12</f>
        <v>295.22046076180141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6.791666666666667</v>
      </c>
      <c r="N4" s="13">
        <f>IF('Données projet'!$A$36&gt;35,N3+M4-V3,IF(A4&lt;'Données projet'!$A$36,$K$205^A4,IF(A4='Données projet'!$A$36,'Données projet'!$B$36,N3+M4-V3)))</f>
        <v>1.2364440913349526</v>
      </c>
      <c r="O4" s="13">
        <f>N4*VLOOKUP('Données projet'!$B$9,Paramètres!$A$1:$I$89,3,0)*VLOOKUP('Données projet'!$B$9,Paramètres!$A$1:$I$89,5,0)</f>
        <v>0.7393935666183018</v>
      </c>
      <c r="P4" s="13">
        <f>EXP(-1.0587+0.8836*LN(O4)+0.284)</f>
        <v>0.35293164850626635</v>
      </c>
      <c r="Q4" s="20">
        <f t="shared" ref="Q4:Q34" si="2">(O4+P4)*0.475*44/12</f>
        <v>1.9024664163419562</v>
      </c>
      <c r="R4" s="59">
        <f t="shared" si="0"/>
        <v>295.23579974967527</v>
      </c>
      <c r="S4" s="59">
        <f ca="1">AVERAGE(OFFSET($R$3,0,0,'Données projet'!$E$9+1,1))-AVERAGE(OFFSET($H$3,0,0,'Données projet'!$E$9+1,1))</f>
        <v>125.14227069357082</v>
      </c>
      <c r="T4" s="59">
        <f>$T$3</f>
        <v>193.39407925063165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5.9</v>
      </c>
      <c r="AI4" s="13">
        <f>IF('Données projet'!$A$62&gt;35,AI3+AH4-AQ3,IF(A4&lt;'Données projet'!$A$62,$AF$205^A4,IF(A4='Données projet'!$A$62,'Données projet'!$B$62,AI3+AH4-AQ3)))</f>
        <v>1.2211012640520602</v>
      </c>
      <c r="AJ4" s="13">
        <f>AI4*VLOOKUP('Données projet'!$B$10,Paramètres!$A$1:$I$89,3,0)*VLOOKUP('Données projet'!$B$10,Paramètres!$A$1:$I$89,5,0)</f>
        <v>0.57147539157636418</v>
      </c>
      <c r="AK4" s="13">
        <f>EXP(-1.0587+0.8836*LN(AJ4)+0.284)</f>
        <v>0.28108332729495156</v>
      </c>
      <c r="AL4" s="20">
        <f t="shared" ref="AL4:AL67" si="4">(AJ4+AK4)*0.475*44/12</f>
        <v>1.4848731020342081</v>
      </c>
      <c r="AM4" s="59">
        <f t="shared" ref="AM4:AM67" si="5">AL4+(AD4+AE4)*44/12</f>
        <v>294.81820643536753</v>
      </c>
      <c r="AN4" s="59">
        <f ca="1">AVERAGE(OFFSET($AM$3,0,0,'Données projet'!$E$10+1,1))-AVERAGE(OFFSET($H$3,0,0,'Données projet'!$E$10+1,1))</f>
        <v>74.573470247551825</v>
      </c>
      <c r="AO4" s="59">
        <f>$AO$3</f>
        <v>122.43655207772224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2.2571428571428571</v>
      </c>
      <c r="BD4" s="12">
        <f>IF('Données projet'!$A$88&gt;35,BD3+BC4-BL3,IF(A4&lt;'Données projet'!$A$88,$BA$205^A4,IF(A4='Données projet'!$A$88,'Données projet'!$B$88,BD3+BC4-BL3)))</f>
        <v>1.1329687128267454</v>
      </c>
      <c r="BE4" s="13">
        <f>BD4*VLOOKUP('Données projet'!$B$11,Paramètres!$A$1:$I$89,3,0)*VLOOKUP('Données projet'!$B$11,Paramètres!$A$1:$I$89,5,0)</f>
        <v>1.1488302748063199</v>
      </c>
      <c r="BF4" s="13">
        <f>EXP(-1.0587+0.8836*LN(BE4)+0.284)</f>
        <v>0.52094773397712668</v>
      </c>
      <c r="BG4" s="20">
        <f t="shared" ref="BG4:BG67" si="7">(BE4+BF4)*0.475*44/12</f>
        <v>2.9081966986311696</v>
      </c>
      <c r="BH4" s="59">
        <f t="shared" ref="BH4:BH67" si="8">BG4+(AY4+AZ4)*44/12</f>
        <v>296.24153003196449</v>
      </c>
      <c r="BI4" s="59">
        <f ca="1">AVERAGE(OFFSET($BH$3,0,0,'Données projet'!$E$11+1,1))-AVERAGE(OFFSET($H$3,0,0,'Données projet'!$E$11+1,1))</f>
        <v>183.74583738362492</v>
      </c>
      <c r="BJ4" s="59">
        <f>$BJ$3</f>
        <v>46.344307013926596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7.35</v>
      </c>
      <c r="BY4" s="12">
        <f>IF('Données projet'!$A$114&gt;35,BY3+BX4-CG3,IF(A4&lt;'Données projet'!$A$114,$BV$205^A4,IF(A4='Données projet'!$A$114,'Données projet'!$B$114,BY3+BX4-CG3)))</f>
        <v>1.2834113234941327</v>
      </c>
      <c r="BZ4" s="13">
        <f>BY4*VLOOKUP('Données projet'!$B$12,Paramètres!$A$1:$I$89,3,0)*VLOOKUP('Données projet'!$B$12,Paramètres!$A$1:$I$89,5,0)</f>
        <v>0.56726780498440665</v>
      </c>
      <c r="CA4" s="13">
        <f>EXP(-1.0587+0.8836*LN(BZ4)+0.284)</f>
        <v>0.2792539095307035</v>
      </c>
      <c r="CB4" s="20">
        <f t="shared" ref="CB4:CB67" si="10">(BZ4+CA4)*0.475*44/12</f>
        <v>1.4743586527804835</v>
      </c>
      <c r="CC4" s="59">
        <f t="shared" ref="CC4:CC67" si="11">CB4+(BT4+BU4)*44/12</f>
        <v>294.80769198611381</v>
      </c>
      <c r="CD4" s="59">
        <f ca="1">AVERAGE(OFFSET($CC$3,0,0,'Données projet'!$E$12+1,1))-AVERAGE(OFFSET($H$3,0,0,'Données projet'!$E$12+1,1))</f>
        <v>333.00091572040611</v>
      </c>
      <c r="CE4" s="59">
        <f>$CE$3</f>
        <v>267.06874181561398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1">
        <f t="shared" ref="D5:D68" si="32">IFERROR(EXP(-1.0587+0.8836*LN(C5)+0.284),0)</f>
        <v>0.64632764391155073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67">
        <f t="shared" si="1"/>
        <v>297.01300064647927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6.791666666666667</v>
      </c>
      <c r="N5" s="13">
        <f>IF('Données projet'!$A$36&gt;35,N4+M5-V4,IF(A5&lt;'Données projet'!$A$36,$K$205^A5,IF(A5='Données projet'!$A$36,'Données projet'!$B$36,N4+M5-V4)))</f>
        <v>1.5287939909971167</v>
      </c>
      <c r="O5" s="13">
        <f>N5*VLOOKUP('Données projet'!$B$9,Paramètres!$A$1:$I$89,3,0)*VLOOKUP('Données projet'!$B$9,Paramètres!$A$1:$I$89,5,0)</f>
        <v>0.91421880661627586</v>
      </c>
      <c r="P5" s="13">
        <f t="shared" ref="P5:P68" si="33">EXP(-1.0587+0.8836*LN(O5)+0.284)</f>
        <v>0.42573168955648699</v>
      </c>
      <c r="Q5" s="20">
        <f t="shared" si="2"/>
        <v>2.3337471141675619</v>
      </c>
      <c r="R5" s="59">
        <f t="shared" si="0"/>
        <v>295.66708044750089</v>
      </c>
      <c r="S5" s="59">
        <f ca="1">AVERAGE(OFFSET($R$3,0,0,'Données projet'!$E$9+1,1))-AVERAGE(OFFSET($H$3,0,0,'Données projet'!$E$9+1,1))</f>
        <v>125.14227069357082</v>
      </c>
      <c r="T5" s="59">
        <f t="shared" ref="T5:T68" si="34">$T$3</f>
        <v>193.39407925063165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5.9</v>
      </c>
      <c r="AI5" s="13">
        <f>IF('Données projet'!$A$62&gt;35,AI4+AH5-AQ4,IF(A5&lt;'Données projet'!$A$62,$AF$205^A5,IF(A5='Données projet'!$A$62,'Données projet'!$B$62,AI4+AH5-AQ4)))</f>
        <v>1.4910882970695392</v>
      </c>
      <c r="AJ5" s="13">
        <f>AI5*VLOOKUP('Données projet'!$B$10,Paramètres!$A$1:$I$89,3,0)*VLOOKUP('Données projet'!$B$10,Paramètres!$A$1:$I$89,5,0)</f>
        <v>0.69782932302854428</v>
      </c>
      <c r="AK5" s="13">
        <f t="shared" ref="AK5:AK68" si="35">EXP(-1.0587+0.8836*LN(AJ5)+0.284)</f>
        <v>0.33534271100891272</v>
      </c>
      <c r="AL5" s="20">
        <f t="shared" si="4"/>
        <v>1.7994412926152377</v>
      </c>
      <c r="AM5" s="59">
        <f t="shared" si="5"/>
        <v>295.13277462594857</v>
      </c>
      <c r="AN5" s="59">
        <f ca="1">AVERAGE(OFFSET($AM$3,0,0,'Données projet'!$E$10+1,1))-AVERAGE(OFFSET($H$3,0,0,'Données projet'!$E$10+1,1))</f>
        <v>74.573470247551825</v>
      </c>
      <c r="AO5" s="59">
        <f t="shared" ref="AO5:AO68" si="36">$AO$3</f>
        <v>122.43655207772224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2.2571428571428571</v>
      </c>
      <c r="BD5" s="12">
        <f>IF('Données projet'!$A$88&gt;35,BD4+BC5-BL4,IF(A5&lt;'Données projet'!$A$88,$BA$205^A5,IF(A5='Données projet'!$A$88,'Données projet'!$B$88,BD4+BC5-BL4)))</f>
        <v>1.2836181042442922</v>
      </c>
      <c r="BE5" s="13">
        <f>BD5*VLOOKUP('Données projet'!$B$11,Paramètres!$A$1:$I$89,3,0)*VLOOKUP('Données projet'!$B$11,Paramètres!$A$1:$I$89,5,0)</f>
        <v>1.3015887577037124</v>
      </c>
      <c r="BF5" s="13">
        <f t="shared" ref="BF5:BF68" si="37">EXP(-1.0587+0.8836*LN(BE5)+0.284)</f>
        <v>0.58170273353813784</v>
      </c>
      <c r="BG5" s="20">
        <f t="shared" si="7"/>
        <v>3.2800660139128888</v>
      </c>
      <c r="BH5" s="59">
        <f t="shared" si="8"/>
        <v>296.61339934724623</v>
      </c>
      <c r="BI5" s="59">
        <f ca="1">AVERAGE(OFFSET($BH$3,0,0,'Données projet'!$E$11+1,1))-AVERAGE(OFFSET($H$3,0,0,'Données projet'!$E$11+1,1))</f>
        <v>183.74583738362492</v>
      </c>
      <c r="BJ5" s="59">
        <f t="shared" ref="BJ5:BJ68" si="38">$BJ$3</f>
        <v>46.344307013926596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7.35</v>
      </c>
      <c r="BY5" s="12">
        <f>IF('Données projet'!$A$114&gt;35,BY4+BX5-CG4,IF(A5&lt;'Données projet'!$A$114,$BV$205^A5,IF(A5='Données projet'!$A$114,'Données projet'!$B$114,BY4+BX5-CG4)))</f>
        <v>1.6471446252729613</v>
      </c>
      <c r="BZ5" s="13">
        <f>BY5*VLOOKUP('Données projet'!$B$12,Paramètres!$A$1:$I$89,3,0)*VLOOKUP('Données projet'!$B$12,Paramètres!$A$1:$I$89,5,0)</f>
        <v>0.72803792437064907</v>
      </c>
      <c r="CA5" s="13">
        <f t="shared" ref="CA5:CA68" si="39">EXP(-1.0587+0.8836*LN(BZ5)+0.284)</f>
        <v>0.34813792924178949</v>
      </c>
      <c r="CB5" s="20">
        <f t="shared" si="10"/>
        <v>1.8743396117083309</v>
      </c>
      <c r="CC5" s="59">
        <f t="shared" si="11"/>
        <v>295.20767294504162</v>
      </c>
      <c r="CD5" s="59">
        <f ca="1">AVERAGE(OFFSET($CC$3,0,0,'Données projet'!$E$12+1,1))-AVERAGE(OFFSET($H$3,0,0,'Données projet'!$E$12+1,1))</f>
        <v>333.00091572040611</v>
      </c>
      <c r="CE5" s="59">
        <f t="shared" ref="CE5:CE68" si="40">$CE$3</f>
        <v>267.06874181561398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1">
        <f t="shared" si="32"/>
        <v>0.92479818325965968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67">
        <f t="shared" si="1"/>
        <v>298.77499350251054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6.791666666666667</v>
      </c>
      <c r="N6" s="13">
        <f>IF('Données projet'!$A$36&gt;35,N5+M6-V5,IF(A6&lt;'Données projet'!$A$36,$K$205^A6,IF(A6='Données projet'!$A$36,'Données projet'!$B$36,N5+M6-V5)))</f>
        <v>1.8902682970367657</v>
      </c>
      <c r="O6" s="13">
        <f>N6*VLOOKUP('Données projet'!$B$9,Paramètres!$A$1:$I$89,3,0)*VLOOKUP('Données projet'!$B$9,Paramètres!$A$1:$I$89,5,0)</f>
        <v>1.1303804416279859</v>
      </c>
      <c r="P6" s="13">
        <f t="shared" si="33"/>
        <v>0.51354836626220812</v>
      </c>
      <c r="Q6" s="20">
        <f t="shared" si="2"/>
        <v>2.8631760070754217</v>
      </c>
      <c r="R6" s="59">
        <f t="shared" si="0"/>
        <v>296.19650934040874</v>
      </c>
      <c r="S6" s="59">
        <f ca="1">AVERAGE(OFFSET($R$3,0,0,'Données projet'!$E$9+1,1))-AVERAGE(OFFSET($H$3,0,0,'Données projet'!$E$9+1,1))</f>
        <v>125.14227069357082</v>
      </c>
      <c r="T6" s="59">
        <f t="shared" si="34"/>
        <v>193.39407925063165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5.9</v>
      </c>
      <c r="AI6" s="13">
        <f>IF('Données projet'!$A$62&gt;35,AI5+AH6-AQ5,IF(A6&lt;'Données projet'!$A$62,$AF$205^A6,IF(A6='Données projet'!$A$62,'Données projet'!$B$62,AI5+AH6-AQ5)))</f>
        <v>1.8207698043648481</v>
      </c>
      <c r="AJ6" s="13">
        <f>AI6*VLOOKUP('Données projet'!$B$10,Paramètres!$A$1:$I$89,3,0)*VLOOKUP('Données projet'!$B$10,Paramètres!$A$1:$I$89,5,0)</f>
        <v>0.85212026844274891</v>
      </c>
      <c r="AK6" s="13">
        <f t="shared" si="35"/>
        <v>0.40007614435559918</v>
      </c>
      <c r="AL6" s="20">
        <f t="shared" si="4"/>
        <v>2.1809087522904558</v>
      </c>
      <c r="AM6" s="59">
        <f t="shared" si="5"/>
        <v>295.51424208562378</v>
      </c>
      <c r="AN6" s="59">
        <f ca="1">AVERAGE(OFFSET($AM$3,0,0,'Données projet'!$E$10+1,1))-AVERAGE(OFFSET($H$3,0,0,'Données projet'!$E$10+1,1))</f>
        <v>74.573470247551825</v>
      </c>
      <c r="AO6" s="59">
        <f t="shared" si="36"/>
        <v>122.43655207772224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2.2571428571428571</v>
      </c>
      <c r="BD6" s="12">
        <f>IF('Données projet'!$A$88&gt;35,BD5+BC6-BL5,IF(A6&lt;'Données projet'!$A$88,$BA$205^A6,IF(A6='Données projet'!$A$88,'Données projet'!$B$88,BD5+BC6-BL5)))</f>
        <v>1.4542991513267629</v>
      </c>
      <c r="BE6" s="13">
        <f>BD6*VLOOKUP('Données projet'!$B$11,Paramètres!$A$1:$I$89,3,0)*VLOOKUP('Données projet'!$B$11,Paramètres!$A$1:$I$89,5,0)</f>
        <v>1.4746593394453378</v>
      </c>
      <c r="BF6" s="13">
        <f t="shared" si="37"/>
        <v>0.64954322312226265</v>
      </c>
      <c r="BG6" s="20">
        <f t="shared" si="7"/>
        <v>3.6996527964719035</v>
      </c>
      <c r="BH6" s="59">
        <f t="shared" si="8"/>
        <v>297.03298612980524</v>
      </c>
      <c r="BI6" s="59">
        <f ca="1">AVERAGE(OFFSET($BH$3,0,0,'Données projet'!$E$11+1,1))-AVERAGE(OFFSET($H$3,0,0,'Données projet'!$E$11+1,1))</f>
        <v>183.74583738362492</v>
      </c>
      <c r="BJ6" s="59">
        <f t="shared" si="38"/>
        <v>46.344307013926596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7.35</v>
      </c>
      <c r="BY6" s="12">
        <f>IF('Données projet'!$A$114&gt;35,BY5+BX6-CG5,IF(A6&lt;'Données projet'!$A$114,$BV$205^A6,IF(A6='Données projet'!$A$114,'Données projet'!$B$114,BY5+BX6-CG5)))</f>
        <v>2.1139640635078187</v>
      </c>
      <c r="BZ6" s="13">
        <f>BY6*VLOOKUP('Données projet'!$B$12,Paramètres!$A$1:$I$89,3,0)*VLOOKUP('Données projet'!$B$12,Paramètres!$A$1:$I$89,5,0)</f>
        <v>0.93437211607045589</v>
      </c>
      <c r="CA6" s="13">
        <f t="shared" si="39"/>
        <v>0.43401368303291554</v>
      </c>
      <c r="CB6" s="20">
        <f t="shared" si="10"/>
        <v>2.3832719334383721</v>
      </c>
      <c r="CC6" s="59">
        <f t="shared" si="11"/>
        <v>295.71660526677169</v>
      </c>
      <c r="CD6" s="59">
        <f ca="1">AVERAGE(OFFSET($CC$3,0,0,'Données projet'!$E$12+1,1))-AVERAGE(OFFSET($H$3,0,0,'Données projet'!$E$12+1,1))</f>
        <v>333.00091572040611</v>
      </c>
      <c r="CE6" s="59">
        <f t="shared" si="40"/>
        <v>267.06874181561398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1">
        <f t="shared" si="32"/>
        <v>1.1924572972247856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67">
        <f t="shared" si="1"/>
        <v>300.51815645933317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6.791666666666667</v>
      </c>
      <c r="N7" s="13">
        <f>IF('Données projet'!$A$36&gt;35,N6+M7-V6,IF(A7&lt;'Données projet'!$A$36,$K$205^A7,IF(A7='Données projet'!$A$36,'Données projet'!$B$36,N6+M7-V6)))</f>
        <v>2.3372110669088921</v>
      </c>
      <c r="O7" s="13">
        <f>N7*VLOOKUP('Données projet'!$B$9,Paramètres!$A$1:$I$89,3,0)*VLOOKUP('Données projet'!$B$9,Paramètres!$A$1:$I$89,5,0)</f>
        <v>1.3976522180115176</v>
      </c>
      <c r="P7" s="13">
        <f t="shared" si="33"/>
        <v>0.61947919537145624</v>
      </c>
      <c r="Q7" s="20">
        <f t="shared" si="2"/>
        <v>3.5131705449753459</v>
      </c>
      <c r="R7" s="59">
        <f t="shared" si="0"/>
        <v>296.84650387830868</v>
      </c>
      <c r="S7" s="59">
        <f ca="1">AVERAGE(OFFSET($R$3,0,0,'Données projet'!$E$9+1,1))-AVERAGE(OFFSET($H$3,0,0,'Données projet'!$E$9+1,1))</f>
        <v>125.14227069357082</v>
      </c>
      <c r="T7" s="59">
        <f t="shared" si="34"/>
        <v>193.39407925063165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5.9</v>
      </c>
      <c r="AI7" s="13">
        <f>IF('Données projet'!$A$62&gt;35,AI6+AH7-AQ6,IF(A7&lt;'Données projet'!$A$62,$AF$205^A7,IF(A7='Données projet'!$A$62,'Données projet'!$B$62,AI6+AH7-AQ6)))</f>
        <v>2.2233443096577381</v>
      </c>
      <c r="AJ7" s="13">
        <f>AI7*VLOOKUP('Données projet'!$B$10,Paramètres!$A$1:$I$89,3,0)*VLOOKUP('Données projet'!$B$10,Paramètres!$A$1:$I$89,5,0)</f>
        <v>1.0405251369198214</v>
      </c>
      <c r="AK7" s="13">
        <f t="shared" si="35"/>
        <v>0.47730550278216161</v>
      </c>
      <c r="AL7" s="20">
        <f t="shared" si="4"/>
        <v>2.6435550308142868</v>
      </c>
      <c r="AM7" s="59">
        <f t="shared" si="5"/>
        <v>295.97688836414761</v>
      </c>
      <c r="AN7" s="59">
        <f ca="1">AVERAGE(OFFSET($AM$3,0,0,'Données projet'!$E$10+1,1))-AVERAGE(OFFSET($H$3,0,0,'Données projet'!$E$10+1,1))</f>
        <v>74.573470247551825</v>
      </c>
      <c r="AO7" s="59">
        <f t="shared" si="36"/>
        <v>122.43655207772224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2.2571428571428571</v>
      </c>
      <c r="BD7" s="12">
        <f>IF('Données projet'!$A$88&gt;35,BD6+BC7-BL6,IF(A7&lt;'Données projet'!$A$88,$BA$205^A7,IF(A7='Données projet'!$A$88,'Données projet'!$B$88,BD6+BC7-BL6)))</f>
        <v>1.6476754375437106</v>
      </c>
      <c r="BE7" s="13">
        <f>BD7*VLOOKUP('Données projet'!$B$11,Paramètres!$A$1:$I$89,3,0)*VLOOKUP('Données projet'!$B$11,Paramètres!$A$1:$I$89,5,0)</f>
        <v>1.6707428936693225</v>
      </c>
      <c r="BF7" s="13">
        <f t="shared" si="37"/>
        <v>0.72529554079600356</v>
      </c>
      <c r="BG7" s="20">
        <f t="shared" si="7"/>
        <v>4.1731002733604425</v>
      </c>
      <c r="BH7" s="59">
        <f t="shared" si="8"/>
        <v>297.50643360669375</v>
      </c>
      <c r="BI7" s="59">
        <f ca="1">AVERAGE(OFFSET($BH$3,0,0,'Données projet'!$E$11+1,1))-AVERAGE(OFFSET($H$3,0,0,'Données projet'!$E$11+1,1))</f>
        <v>183.74583738362492</v>
      </c>
      <c r="BJ7" s="59">
        <f t="shared" si="38"/>
        <v>46.344307013926596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7.35</v>
      </c>
      <c r="BY7" s="12">
        <f>IF('Données projet'!$A$114&gt;35,BY6+BX7-CG6,IF(A7&lt;'Données projet'!$A$114,$BV$205^A7,IF(A7='Données projet'!$A$114,'Données projet'!$B$114,BY6+BX7-CG6)))</f>
        <v>2.7130854165656042</v>
      </c>
      <c r="BZ7" s="13">
        <f>BY7*VLOOKUP('Données projet'!$B$12,Paramètres!$A$1:$I$89,3,0)*VLOOKUP('Données projet'!$B$12,Paramètres!$A$1:$I$89,5,0)</f>
        <v>1.1991837541219972</v>
      </c>
      <c r="CA7" s="13">
        <f t="shared" si="39"/>
        <v>0.54107254980818376</v>
      </c>
      <c r="CB7" s="20">
        <f t="shared" si="10"/>
        <v>3.030946396011732</v>
      </c>
      <c r="CC7" s="59">
        <f t="shared" si="11"/>
        <v>296.36427972934507</v>
      </c>
      <c r="CD7" s="59">
        <f ca="1">AVERAGE(OFFSET($CC$3,0,0,'Données projet'!$E$12+1,1))-AVERAGE(OFFSET($H$3,0,0,'Données projet'!$E$12+1,1))</f>
        <v>333.00091572040611</v>
      </c>
      <c r="CE7" s="59">
        <f t="shared" si="40"/>
        <v>267.06874181561398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1">
        <f t="shared" si="32"/>
        <v>1.4523541267681601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67">
        <f t="shared" si="1"/>
        <v>302.24780010412121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6.791666666666667</v>
      </c>
      <c r="N8" s="13">
        <f>IF('Données projet'!$A$36&gt;35,N7+M8-V7,IF(A8&lt;'Données projet'!$A$36,$K$205^A8,IF(A8='Données projet'!$A$36,'Données projet'!$B$36,N7+M8-V7)))</f>
        <v>2.8898308138821602</v>
      </c>
      <c r="O8" s="13">
        <f>N8*VLOOKUP('Données projet'!$B$9,Paramètres!$A$1:$I$89,3,0)*VLOOKUP('Données projet'!$B$9,Paramètres!$A$1:$I$89,5,0)</f>
        <v>1.7281188267015319</v>
      </c>
      <c r="P8" s="13">
        <f t="shared" si="33"/>
        <v>0.74726062569563101</v>
      </c>
      <c r="Q8" s="20">
        <f t="shared" si="2"/>
        <v>4.3112858795917255</v>
      </c>
      <c r="R8" s="59">
        <f t="shared" si="0"/>
        <v>297.64461921292502</v>
      </c>
      <c r="S8" s="59">
        <f ca="1">AVERAGE(OFFSET($R$3,0,0,'Données projet'!$E$9+1,1))-AVERAGE(OFFSET($H$3,0,0,'Données projet'!$E$9+1,1))</f>
        <v>125.14227069357082</v>
      </c>
      <c r="T8" s="59">
        <f t="shared" si="34"/>
        <v>193.39407925063165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5.9</v>
      </c>
      <c r="AI8" s="13">
        <f>IF('Données projet'!$A$62&gt;35,AI7+AH8-AQ7,IF(A8&lt;'Données projet'!$A$62,$AF$205^A8,IF(A8='Données projet'!$A$62,'Données projet'!$B$62,AI7+AH8-AQ7)))</f>
        <v>2.7149285469460191</v>
      </c>
      <c r="AJ8" s="13">
        <f>AI8*VLOOKUP('Données projet'!$B$10,Paramètres!$A$1:$I$89,3,0)*VLOOKUP('Données projet'!$B$10,Paramètres!$A$1:$I$89,5,0)</f>
        <v>1.2705865599707369</v>
      </c>
      <c r="AK8" s="13">
        <f t="shared" si="35"/>
        <v>0.56944295779765042</v>
      </c>
      <c r="AL8" s="20">
        <f t="shared" si="4"/>
        <v>3.2047180767799408</v>
      </c>
      <c r="AM8" s="59">
        <f t="shared" si="5"/>
        <v>296.53805141011327</v>
      </c>
      <c r="AN8" s="59">
        <f ca="1">AVERAGE(OFFSET($AM$3,0,0,'Données projet'!$E$10+1,1))-AVERAGE(OFFSET($H$3,0,0,'Données projet'!$E$10+1,1))</f>
        <v>74.573470247551825</v>
      </c>
      <c r="AO8" s="59">
        <f t="shared" si="36"/>
        <v>122.43655207772224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2.2571428571428571</v>
      </c>
      <c r="BD8" s="12">
        <f>IF('Données projet'!$A$88&gt;35,BD7+BC8-BL7,IF(A8&lt;'Données projet'!$A$88,$BA$205^A8,IF(A8='Données projet'!$A$88,'Données projet'!$B$88,BD7+BC8-BL7)))</f>
        <v>1.8667647196301422</v>
      </c>
      <c r="BE8" s="13">
        <f>BD8*VLOOKUP('Données projet'!$B$11,Paramètres!$A$1:$I$89,3,0)*VLOOKUP('Données projet'!$B$11,Paramètres!$A$1:$I$89,5,0)</f>
        <v>1.8928994257049643</v>
      </c>
      <c r="BF8" s="13">
        <f t="shared" si="37"/>
        <v>0.80988239546230956</v>
      </c>
      <c r="BG8" s="20">
        <f t="shared" si="7"/>
        <v>4.7073450051996684</v>
      </c>
      <c r="BH8" s="59">
        <f t="shared" si="8"/>
        <v>298.04067833853298</v>
      </c>
      <c r="BI8" s="59">
        <f ca="1">AVERAGE(OFFSET($BH$3,0,0,'Données projet'!$E$11+1,1))-AVERAGE(OFFSET($H$3,0,0,'Données projet'!$E$11+1,1))</f>
        <v>183.74583738362492</v>
      </c>
      <c r="BJ8" s="59">
        <f t="shared" si="38"/>
        <v>46.344307013926596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7.35</v>
      </c>
      <c r="BY8" s="12">
        <f>IF('Données projet'!$A$114&gt;35,BY7+BX8-CG7,IF(A8&lt;'Données projet'!$A$114,$BV$205^A8,IF(A8='Données projet'!$A$114,'Données projet'!$B$114,BY7+BX8-CG7)))</f>
        <v>3.4820045452270922</v>
      </c>
      <c r="BZ8" s="13">
        <f>BY8*VLOOKUP('Données projet'!$B$12,Paramètres!$A$1:$I$89,3,0)*VLOOKUP('Données projet'!$B$12,Paramètres!$A$1:$I$89,5,0)</f>
        <v>1.5390460089903748</v>
      </c>
      <c r="CA8" s="13">
        <f t="shared" si="39"/>
        <v>0.67453980277789205</v>
      </c>
      <c r="CB8" s="20">
        <f t="shared" si="10"/>
        <v>3.8553286221630647</v>
      </c>
      <c r="CC8" s="59">
        <f t="shared" si="11"/>
        <v>297.1886619554964</v>
      </c>
      <c r="CD8" s="59">
        <f ca="1">AVERAGE(OFFSET($CC$3,0,0,'Données projet'!$E$12+1,1))-AVERAGE(OFFSET($H$3,0,0,'Données projet'!$E$12+1,1))</f>
        <v>333.00091572040611</v>
      </c>
      <c r="CE8" s="59">
        <f t="shared" si="40"/>
        <v>267.06874181561398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1">
        <f t="shared" si="32"/>
        <v>1.7062280291992591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67">
        <f t="shared" si="1"/>
        <v>303.96695381752204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6.791666666666667</v>
      </c>
      <c r="N9" s="13">
        <f>IF('Données projet'!$A$36&gt;35,N8+M9-V8,IF(A9&lt;'Données projet'!$A$36,$K$205^A9,IF(A9='Données projet'!$A$36,'Données projet'!$B$36,N8+M9-V8)))</f>
        <v>3.5731142347822744</v>
      </c>
      <c r="O9" s="13">
        <f>N9*VLOOKUP('Données projet'!$B$9,Paramètres!$A$1:$I$89,3,0)*VLOOKUP('Données projet'!$B$9,Paramètres!$A$1:$I$89,5,0)</f>
        <v>2.1367223123998005</v>
      </c>
      <c r="P9" s="13">
        <f t="shared" si="33"/>
        <v>0.90139983212865704</v>
      </c>
      <c r="Q9" s="20">
        <f t="shared" si="2"/>
        <v>5.2913960683870629</v>
      </c>
      <c r="R9" s="59">
        <f t="shared" si="0"/>
        <v>298.6247294017204</v>
      </c>
      <c r="S9" s="59">
        <f ca="1">AVERAGE(OFFSET($R$3,0,0,'Données projet'!$E$9+1,1))-AVERAGE(OFFSET($H$3,0,0,'Données projet'!$E$9+1,1))</f>
        <v>125.14227069357082</v>
      </c>
      <c r="T9" s="59">
        <f t="shared" si="34"/>
        <v>193.39407925063165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5.9</v>
      </c>
      <c r="AI9" s="13">
        <f>IF('Données projet'!$A$62&gt;35,AI8+AH9-AQ8,IF(A9&lt;'Données projet'!$A$62,$AF$205^A9,IF(A9='Données projet'!$A$62,'Données projet'!$B$62,AI8+AH9-AQ8)))</f>
        <v>3.3152026804868067</v>
      </c>
      <c r="AJ9" s="13">
        <f>AI9*VLOOKUP('Données projet'!$B$10,Paramètres!$A$1:$I$89,3,0)*VLOOKUP('Données projet'!$B$10,Paramètres!$A$1:$I$89,5,0)</f>
        <v>1.5515148544678257</v>
      </c>
      <c r="AK9" s="13">
        <f t="shared" si="35"/>
        <v>0.67936631841709294</v>
      </c>
      <c r="AL9" s="20">
        <f t="shared" si="4"/>
        <v>3.8854513761078988</v>
      </c>
      <c r="AM9" s="59">
        <f t="shared" si="5"/>
        <v>297.21878470944119</v>
      </c>
      <c r="AN9" s="59">
        <f ca="1">AVERAGE(OFFSET($AM$3,0,0,'Données projet'!$E$10+1,1))-AVERAGE(OFFSET($H$3,0,0,'Données projet'!$E$10+1,1))</f>
        <v>74.573470247551825</v>
      </c>
      <c r="AO9" s="59">
        <f t="shared" si="36"/>
        <v>122.43655207772224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2.2571428571428571</v>
      </c>
      <c r="BD9" s="12">
        <f>IF('Données projet'!$A$88&gt;35,BD8+BC9-BL8,IF(A9&lt;'Données projet'!$A$88,$BA$205^A9,IF(A9='Données projet'!$A$88,'Données projet'!$B$88,BD8+BC9-BL8)))</f>
        <v>2.1149860215497425</v>
      </c>
      <c r="BE9" s="13">
        <f>BD9*VLOOKUP('Données projet'!$B$11,Paramètres!$A$1:$I$89,3,0)*VLOOKUP('Données projet'!$B$11,Paramètres!$A$1:$I$89,5,0)</f>
        <v>2.144595825851439</v>
      </c>
      <c r="BF9" s="13">
        <f t="shared" si="37"/>
        <v>0.9043341060113449</v>
      </c>
      <c r="BG9" s="20">
        <f t="shared" si="7"/>
        <v>5.3102196313276817</v>
      </c>
      <c r="BH9" s="59">
        <f t="shared" si="8"/>
        <v>298.64355296466101</v>
      </c>
      <c r="BI9" s="59">
        <f ca="1">AVERAGE(OFFSET($BH$3,0,0,'Données projet'!$E$11+1,1))-AVERAGE(OFFSET($H$3,0,0,'Données projet'!$E$11+1,1))</f>
        <v>183.74583738362492</v>
      </c>
      <c r="BJ9" s="59">
        <f t="shared" si="38"/>
        <v>46.344307013926596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7.35</v>
      </c>
      <c r="BY9" s="12">
        <f>IF('Données projet'!$A$114&gt;35,BY8+BX9-CG8,IF(A9&lt;'Données projet'!$A$114,$BV$205^A9,IF(A9='Données projet'!$A$114,'Données projet'!$B$114,BY8+BX9-CG8)))</f>
        <v>4.4688440618024883</v>
      </c>
      <c r="BZ9" s="13">
        <f>BY9*VLOOKUP('Données projet'!$B$12,Paramètres!$A$1:$I$89,3,0)*VLOOKUP('Données projet'!$B$12,Paramètres!$A$1:$I$89,5,0)</f>
        <v>1.9752290753167001</v>
      </c>
      <c r="CA9" s="13">
        <f t="shared" si="39"/>
        <v>0.84092964186215247</v>
      </c>
      <c r="CB9" s="20">
        <f t="shared" si="10"/>
        <v>4.9048097657531677</v>
      </c>
      <c r="CC9" s="59">
        <f t="shared" si="11"/>
        <v>298.23814309908647</v>
      </c>
      <c r="CD9" s="59">
        <f ca="1">AVERAGE(OFFSET($CC$3,0,0,'Données projet'!$E$12+1,1))-AVERAGE(OFFSET($H$3,0,0,'Données projet'!$E$12+1,1))</f>
        <v>333.00091572040611</v>
      </c>
      <c r="CE9" s="59">
        <f t="shared" si="40"/>
        <v>267.06874181561398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1">
        <f t="shared" si="32"/>
        <v>1.9552003009222731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67">
        <f t="shared" si="1"/>
        <v>305.67757052410627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6.791666666666667</v>
      </c>
      <c r="N10" s="13">
        <f>IF('Données projet'!$A$36&gt;35,N9+M10-V9,IF(A10&lt;'Données projet'!$A$36,$K$205^A10,IF(A10='Données projet'!$A$36,'Données projet'!$B$36,N9+M10-V9)))</f>
        <v>4.4179559832613542</v>
      </c>
      <c r="O10" s="13">
        <f>N10*VLOOKUP('Données projet'!$B$9,Paramètres!$A$1:$I$89,3,0)*VLOOKUP('Données projet'!$B$9,Paramètres!$A$1:$I$89,5,0)</f>
        <v>2.6419376779902897</v>
      </c>
      <c r="P10" s="13">
        <f t="shared" si="33"/>
        <v>1.0873336951283732</v>
      </c>
      <c r="Q10" s="20">
        <f t="shared" si="2"/>
        <v>6.495147641515004</v>
      </c>
      <c r="R10" s="59">
        <f t="shared" si="0"/>
        <v>299.82848097484833</v>
      </c>
      <c r="S10" s="59">
        <f ca="1">AVERAGE(OFFSET($R$3,0,0,'Données projet'!$E$9+1,1))-AVERAGE(OFFSET($H$3,0,0,'Données projet'!$E$9+1,1))</f>
        <v>125.14227069357082</v>
      </c>
      <c r="T10" s="59">
        <f t="shared" si="34"/>
        <v>193.39407925063165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5.9</v>
      </c>
      <c r="AI10" s="13">
        <f>IF('Données projet'!$A$62&gt;35,AI9+AH10-AQ9,IF(A10&lt;'Données projet'!$A$62,$AF$205^A10,IF(A10='Données projet'!$A$62,'Données projet'!$B$62,AI9+AH10-AQ9)))</f>
        <v>4.048198183731218</v>
      </c>
      <c r="AJ10" s="13">
        <f>AI10*VLOOKUP('Données projet'!$B$10,Paramètres!$A$1:$I$89,3,0)*VLOOKUP('Données projet'!$B$10,Paramètres!$A$1:$I$89,5,0)</f>
        <v>1.8945567499862099</v>
      </c>
      <c r="AK10" s="13">
        <f t="shared" si="35"/>
        <v>0.81050891626550059</v>
      </c>
      <c r="AL10" s="20">
        <f t="shared" si="4"/>
        <v>4.711322702055063</v>
      </c>
      <c r="AM10" s="59">
        <f t="shared" si="5"/>
        <v>298.04465603538836</v>
      </c>
      <c r="AN10" s="59">
        <f ca="1">AVERAGE(OFFSET($AM$3,0,0,'Données projet'!$E$10+1,1))-AVERAGE(OFFSET($H$3,0,0,'Données projet'!$E$10+1,1))</f>
        <v>74.573470247551825</v>
      </c>
      <c r="AO10" s="59">
        <f t="shared" si="36"/>
        <v>122.43655207772224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2.2571428571428571</v>
      </c>
      <c r="BD10" s="12">
        <f>IF('Données projet'!$A$88&gt;35,BD9+BC10-BL9,IF(A10&lt;'Données projet'!$A$88,$BA$205^A10,IF(A10='Données projet'!$A$88,'Données projet'!$B$88,BD9+BC10-BL9)))</f>
        <v>2.3962129904817711</v>
      </c>
      <c r="BE10" s="13">
        <f>BD10*VLOOKUP('Données projet'!$B$11,Paramètres!$A$1:$I$89,3,0)*VLOOKUP('Données projet'!$B$11,Paramètres!$A$1:$I$89,5,0)</f>
        <v>2.4297599723485162</v>
      </c>
      <c r="BF10" s="13">
        <f t="shared" si="37"/>
        <v>1.009801151225787</v>
      </c>
      <c r="BG10" s="20">
        <f t="shared" si="7"/>
        <v>5.9905689568919103</v>
      </c>
      <c r="BH10" s="59">
        <f t="shared" si="8"/>
        <v>299.32390229022525</v>
      </c>
      <c r="BI10" s="59">
        <f ca="1">AVERAGE(OFFSET($BH$3,0,0,'Données projet'!$E$11+1,1))-AVERAGE(OFFSET($H$3,0,0,'Données projet'!$E$11+1,1))</f>
        <v>183.74583738362492</v>
      </c>
      <c r="BJ10" s="59">
        <f t="shared" si="38"/>
        <v>46.344307013926596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7.35</v>
      </c>
      <c r="BY10" s="12">
        <f>IF('Données projet'!$A$114&gt;35,BY9+BX10-CG9,IF(A10&lt;'Données projet'!$A$114,$BV$205^A10,IF(A10='Données projet'!$A$114,'Données projet'!$B$114,BY9+BX10-CG9)))</f>
        <v>5.7353650718468279</v>
      </c>
      <c r="BZ10" s="13">
        <f>BY10*VLOOKUP('Données projet'!$B$12,Paramètres!$A$1:$I$89,3,0)*VLOOKUP('Données projet'!$B$12,Paramètres!$A$1:$I$89,5,0)</f>
        <v>2.5350313617562983</v>
      </c>
      <c r="CA10" s="13">
        <f t="shared" si="39"/>
        <v>1.0483631353556433</v>
      </c>
      <c r="CB10" s="20">
        <f t="shared" si="10"/>
        <v>6.2410787491366309</v>
      </c>
      <c r="CC10" s="59">
        <f t="shared" si="11"/>
        <v>299.57441208246996</v>
      </c>
      <c r="CD10" s="59">
        <f ca="1">AVERAGE(OFFSET($CC$3,0,0,'Données projet'!$E$12+1,1))-AVERAGE(OFFSET($H$3,0,0,'Données projet'!$E$12+1,1))</f>
        <v>333.00091572040611</v>
      </c>
      <c r="CE10" s="59">
        <f t="shared" si="40"/>
        <v>267.06874181561398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1">
        <f t="shared" si="32"/>
        <v>2.2000519691514757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67">
        <f t="shared" si="1"/>
        <v>307.38101051293881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6.791666666666667</v>
      </c>
      <c r="N11" s="13">
        <f>IF('Données projet'!$A$36&gt;35,N10+M11-V10,IF(A11&lt;'Données projet'!$A$36,$K$205^A11,IF(A11='Données projet'!$A$36,'Données projet'!$B$36,N10+M11-V10)))</f>
        <v>5.4625555712814018</v>
      </c>
      <c r="O11" s="13">
        <f>N11*VLOOKUP('Données projet'!$B$9,Paramètres!$A$1:$I$89,3,0)*VLOOKUP('Données projet'!$B$9,Paramètres!$A$1:$I$89,5,0)</f>
        <v>3.2666082316262783</v>
      </c>
      <c r="P11" s="13">
        <f t="shared" si="33"/>
        <v>1.3116205732693913</v>
      </c>
      <c r="Q11" s="20">
        <f t="shared" si="2"/>
        <v>7.9737485018599576</v>
      </c>
      <c r="R11" s="59">
        <f t="shared" si="0"/>
        <v>301.30708183519329</v>
      </c>
      <c r="S11" s="59">
        <f ca="1">AVERAGE(OFFSET($R$3,0,0,'Données projet'!$E$9+1,1))-AVERAGE(OFFSET($H$3,0,0,'Données projet'!$E$9+1,1))</f>
        <v>125.14227069357082</v>
      </c>
      <c r="T11" s="59">
        <f t="shared" si="34"/>
        <v>193.39407925063165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5.9</v>
      </c>
      <c r="AI11" s="13">
        <f>IF('Données projet'!$A$62&gt;35,AI10+AH11-AQ10,IF(A11&lt;'Données projet'!$A$62,$AF$205^A11,IF(A11='Données projet'!$A$62,'Données projet'!$B$62,AI10+AH11-AQ10)))</f>
        <v>4.9432599192874438</v>
      </c>
      <c r="AJ11" s="13">
        <f>AI11*VLOOKUP('Données projet'!$B$10,Paramètres!$A$1:$I$89,3,0)*VLOOKUP('Données projet'!$B$10,Paramètres!$A$1:$I$89,5,0)</f>
        <v>2.3134456422265237</v>
      </c>
      <c r="AK11" s="13">
        <f t="shared" si="35"/>
        <v>0.96696684180118753</v>
      </c>
      <c r="AL11" s="20">
        <f t="shared" si="4"/>
        <v>5.7133850763482643</v>
      </c>
      <c r="AM11" s="59">
        <f t="shared" si="5"/>
        <v>299.0467184096816</v>
      </c>
      <c r="AN11" s="59">
        <f ca="1">AVERAGE(OFFSET($AM$3,0,0,'Données projet'!$E$10+1,1))-AVERAGE(OFFSET($H$3,0,0,'Données projet'!$E$10+1,1))</f>
        <v>74.573470247551825</v>
      </c>
      <c r="AO11" s="59">
        <f t="shared" si="36"/>
        <v>122.43655207772224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2.2571428571428571</v>
      </c>
      <c r="BD11" s="12">
        <f>IF('Données projet'!$A$88&gt;35,BD10+BC11-BL10,IF(A11&lt;'Données projet'!$A$88,$BA$205^A11,IF(A11='Données projet'!$A$88,'Données projet'!$B$88,BD10+BC11-BL10)))</f>
        <v>2.714834347484858</v>
      </c>
      <c r="BE11" s="13">
        <f>BD11*VLOOKUP('Données projet'!$B$11,Paramètres!$A$1:$I$89,3,0)*VLOOKUP('Données projet'!$B$11,Paramètres!$A$1:$I$89,5,0)</f>
        <v>2.7528420283496464</v>
      </c>
      <c r="BF11" s="13">
        <f t="shared" si="37"/>
        <v>1.1275681833060629</v>
      </c>
      <c r="BG11" s="20">
        <f t="shared" si="7"/>
        <v>6.758381118633694</v>
      </c>
      <c r="BH11" s="59">
        <f t="shared" si="8"/>
        <v>300.09171445196699</v>
      </c>
      <c r="BI11" s="59">
        <f ca="1">AVERAGE(OFFSET($BH$3,0,0,'Données projet'!$E$11+1,1))-AVERAGE(OFFSET($H$3,0,0,'Données projet'!$E$11+1,1))</f>
        <v>183.74583738362492</v>
      </c>
      <c r="BJ11" s="59">
        <f t="shared" si="38"/>
        <v>46.344307013926596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7.35</v>
      </c>
      <c r="BY11" s="12">
        <f>IF('Données projet'!$A$114&gt;35,BY10+BX11-CG10,IF(A11&lt;'Données projet'!$A$114,$BV$205^A11,IF(A11='Données projet'!$A$114,'Données projet'!$B$114,BY10+BX11-CG10)))</f>
        <v>7.3608324775809582</v>
      </c>
      <c r="BZ11" s="13">
        <f>BY11*VLOOKUP('Données projet'!$B$12,Paramètres!$A$1:$I$89,3,0)*VLOOKUP('Données projet'!$B$12,Paramètres!$A$1:$I$89,5,0)</f>
        <v>3.253487955090784</v>
      </c>
      <c r="CA11" s="13">
        <f t="shared" si="39"/>
        <v>1.3069645887840831</v>
      </c>
      <c r="CB11" s="20">
        <f t="shared" si="10"/>
        <v>7.9427881805820597</v>
      </c>
      <c r="CC11" s="59">
        <f t="shared" si="11"/>
        <v>301.27612151391537</v>
      </c>
      <c r="CD11" s="59">
        <f ca="1">AVERAGE(OFFSET($CC$3,0,0,'Données projet'!$E$12+1,1))-AVERAGE(OFFSET($H$3,0,0,'Données projet'!$E$12+1,1))</f>
        <v>333.00091572040611</v>
      </c>
      <c r="CE11" s="59">
        <f t="shared" si="40"/>
        <v>267.06874181561398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1">
        <f t="shared" si="32"/>
        <v>2.4413570988248194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67">
        <f t="shared" si="1"/>
        <v>309.07827361378656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6.791666666666667</v>
      </c>
      <c r="N12" s="13">
        <f>IF('Données projet'!$A$36&gt;35,N11+M12-V11,IF(A12&lt;'Données projet'!$A$36,$K$205^A12,IF(A12='Données projet'!$A$36,'Données projet'!$B$36,N11+M12-V11)))</f>
        <v>6.7541445596997161</v>
      </c>
      <c r="O12" s="13">
        <f>N12*VLOOKUP('Données projet'!$B$9,Paramètres!$A$1:$I$89,3,0)*VLOOKUP('Données projet'!$B$9,Paramètres!$A$1:$I$89,5,0)</f>
        <v>4.0389784467004306</v>
      </c>
      <c r="P12" s="13">
        <f t="shared" si="33"/>
        <v>1.582171633171378</v>
      </c>
      <c r="Q12" s="20">
        <f t="shared" si="2"/>
        <v>9.7901697224433999</v>
      </c>
      <c r="R12" s="59">
        <f t="shared" si="0"/>
        <v>303.12350305577672</v>
      </c>
      <c r="S12" s="59">
        <f ca="1">AVERAGE(OFFSET($R$3,0,0,'Données projet'!$E$9+1,1))-AVERAGE(OFFSET($H$3,0,0,'Données projet'!$E$9+1,1))</f>
        <v>125.14227069357082</v>
      </c>
      <c r="T12" s="59">
        <f t="shared" si="34"/>
        <v>193.39407925063165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5.9</v>
      </c>
      <c r="AI12" s="13">
        <f>IF('Données projet'!$A$62&gt;35,AI11+AH12-AQ11,IF(A12&lt;'Données projet'!$A$62,$AF$205^A12,IF(A12='Données projet'!$A$62,'Données projet'!$B$62,AI11+AH12-AQ11)))</f>
        <v>6.0362209359797827</v>
      </c>
      <c r="AJ12" s="13">
        <f>AI12*VLOOKUP('Données projet'!$B$10,Paramètres!$A$1:$I$89,3,0)*VLOOKUP('Données projet'!$B$10,Paramètres!$A$1:$I$89,5,0)</f>
        <v>2.8249513980385381</v>
      </c>
      <c r="AK12" s="13">
        <f t="shared" si="35"/>
        <v>1.1536268810603363</v>
      </c>
      <c r="AL12" s="20">
        <f t="shared" si="4"/>
        <v>6.9293571694305394</v>
      </c>
      <c r="AM12" s="59">
        <f t="shared" si="5"/>
        <v>300.26269050276386</v>
      </c>
      <c r="AN12" s="59">
        <f ca="1">AVERAGE(OFFSET($AM$3,0,0,'Données projet'!$E$10+1,1))-AVERAGE(OFFSET($H$3,0,0,'Données projet'!$E$10+1,1))</f>
        <v>74.573470247551825</v>
      </c>
      <c r="AO12" s="59">
        <f t="shared" si="36"/>
        <v>122.43655207772224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2.2571428571428571</v>
      </c>
      <c r="BD12" s="12">
        <f>IF('Données projet'!$A$88&gt;35,BD11+BC12-BL11,IF(A12&lt;'Données projet'!$A$88,$BA$205^A12,IF(A12='Données projet'!$A$88,'Données projet'!$B$88,BD11+BC12-BL11)))</f>
        <v>3.0758223762077566</v>
      </c>
      <c r="BE12" s="13">
        <f>BD12*VLOOKUP('Données projet'!$B$11,Paramètres!$A$1:$I$89,3,0)*VLOOKUP('Données projet'!$B$11,Paramètres!$A$1:$I$89,5,0)</f>
        <v>3.1188838894746653</v>
      </c>
      <c r="BF12" s="13">
        <f t="shared" si="37"/>
        <v>1.2590696757087114</v>
      </c>
      <c r="BG12" s="20">
        <f t="shared" si="7"/>
        <v>7.624935792694381</v>
      </c>
      <c r="BH12" s="59">
        <f t="shared" si="8"/>
        <v>300.95826912602769</v>
      </c>
      <c r="BI12" s="59">
        <f ca="1">AVERAGE(OFFSET($BH$3,0,0,'Données projet'!$E$11+1,1))-AVERAGE(OFFSET($H$3,0,0,'Données projet'!$E$11+1,1))</f>
        <v>183.74583738362492</v>
      </c>
      <c r="BJ12" s="59">
        <f t="shared" si="38"/>
        <v>46.344307013926596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7.35</v>
      </c>
      <c r="BY12" s="12">
        <f>IF('Données projet'!$A$114&gt;35,BY11+BX12-CG11,IF(A12&lt;'Données projet'!$A$114,$BV$205^A12,IF(A12='Données projet'!$A$114,'Données projet'!$B$114,BY11+BX12-CG11)))</f>
        <v>9.4469757520707738</v>
      </c>
      <c r="BZ12" s="13">
        <f>BY12*VLOOKUP('Données projet'!$B$12,Paramètres!$A$1:$I$89,3,0)*VLOOKUP('Données projet'!$B$12,Paramètres!$A$1:$I$89,5,0)</f>
        <v>4.1755632824152826</v>
      </c>
      <c r="CA12" s="13">
        <f t="shared" si="39"/>
        <v>1.6293556867163954</v>
      </c>
      <c r="CB12" s="20">
        <f t="shared" si="10"/>
        <v>10.110233871237673</v>
      </c>
      <c r="CC12" s="59">
        <f t="shared" si="11"/>
        <v>303.44356720457097</v>
      </c>
      <c r="CD12" s="59">
        <f ca="1">AVERAGE(OFFSET($CC$3,0,0,'Données projet'!$E$12+1,1))-AVERAGE(OFFSET($H$3,0,0,'Données projet'!$E$12+1,1))</f>
        <v>333.00091572040611</v>
      </c>
      <c r="CE12" s="59">
        <f t="shared" si="40"/>
        <v>267.06874181561398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1">
        <f t="shared" si="32"/>
        <v>2.6795547009841778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67">
        <f t="shared" si="1"/>
        <v>310.77012443754745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6.791666666666667</v>
      </c>
      <c r="N13" s="13">
        <f>IF('Données projet'!$A$36&gt;35,N12+M13-V12,IF(A13&lt;'Données projet'!$A$36,$K$205^A13,IF(A13='Données projet'!$A$36,'Données projet'!$B$36,N12+M13-V12)))</f>
        <v>8.3511221328628285</v>
      </c>
      <c r="O13" s="13">
        <f>N13*VLOOKUP('Données projet'!$B$9,Paramètres!$A$1:$I$89,3,0)*VLOOKUP('Données projet'!$B$9,Paramètres!$A$1:$I$89,5,0)</f>
        <v>4.9939710354519722</v>
      </c>
      <c r="P13" s="13">
        <f t="shared" si="33"/>
        <v>1.9085298963956123</v>
      </c>
      <c r="Q13" s="20">
        <f t="shared" si="2"/>
        <v>12.021855789634543</v>
      </c>
      <c r="R13" s="59">
        <f t="shared" si="0"/>
        <v>305.35518912296789</v>
      </c>
      <c r="S13" s="59">
        <f ca="1">AVERAGE(OFFSET($R$3,0,0,'Données projet'!$E$9+1,1))-AVERAGE(OFFSET($H$3,0,0,'Données projet'!$E$9+1,1))</f>
        <v>125.14227069357082</v>
      </c>
      <c r="T13" s="59">
        <f t="shared" si="34"/>
        <v>193.39407925063165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5.9</v>
      </c>
      <c r="AI13" s="13">
        <f>IF('Données projet'!$A$62&gt;35,AI12+AH13-AQ12,IF(A13&lt;'Données projet'!$A$62,$AF$205^A13,IF(A13='Données projet'!$A$62,'Données projet'!$B$62,AI12+AH13-AQ12)))</f>
        <v>7.3708370150224223</v>
      </c>
      <c r="AJ13" s="13">
        <f>AI13*VLOOKUP('Données projet'!$B$10,Paramètres!$A$1:$I$89,3,0)*VLOOKUP('Données projet'!$B$10,Paramètres!$A$1:$I$89,5,0)</f>
        <v>3.4495517230304937</v>
      </c>
      <c r="AK13" s="13">
        <f t="shared" si="35"/>
        <v>1.3763191488820765</v>
      </c>
      <c r="AL13" s="20">
        <f t="shared" si="4"/>
        <v>8.4050584352477262</v>
      </c>
      <c r="AM13" s="59">
        <f t="shared" si="5"/>
        <v>301.73839176858104</v>
      </c>
      <c r="AN13" s="59">
        <f ca="1">AVERAGE(OFFSET($AM$3,0,0,'Données projet'!$E$10+1,1))-AVERAGE(OFFSET($H$3,0,0,'Données projet'!$E$10+1,1))</f>
        <v>74.573470247551825</v>
      </c>
      <c r="AO13" s="59">
        <f t="shared" si="36"/>
        <v>122.43655207772224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2.2571428571428571</v>
      </c>
      <c r="BD13" s="12">
        <f>IF('Données projet'!$A$88&gt;35,BD12+BC13-BL12,IF(A13&lt;'Données projet'!$A$88,$BA$205^A13,IF(A13='Données projet'!$A$88,'Données projet'!$B$88,BD12+BC13-BL12)))</f>
        <v>3.4848105184558036</v>
      </c>
      <c r="BE13" s="13">
        <f>BD13*VLOOKUP('Données projet'!$B$11,Paramètres!$A$1:$I$89,3,0)*VLOOKUP('Données projet'!$B$11,Paramètres!$A$1:$I$89,5,0)</f>
        <v>3.5335978657141847</v>
      </c>
      <c r="BF13" s="13">
        <f t="shared" si="37"/>
        <v>1.4059073958979771</v>
      </c>
      <c r="BG13" s="20">
        <f t="shared" si="7"/>
        <v>8.6029716639745164</v>
      </c>
      <c r="BH13" s="59">
        <f t="shared" si="8"/>
        <v>301.93630499730784</v>
      </c>
      <c r="BI13" s="59">
        <f ca="1">AVERAGE(OFFSET($BH$3,0,0,'Données projet'!$E$11+1,1))-AVERAGE(OFFSET($H$3,0,0,'Données projet'!$E$11+1,1))</f>
        <v>183.74583738362492</v>
      </c>
      <c r="BJ13" s="59">
        <f t="shared" si="38"/>
        <v>46.344307013926596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7.35</v>
      </c>
      <c r="BY13" s="12">
        <f>IF('Données projet'!$A$114&gt;35,BY12+BX13-CG12,IF(A13&lt;'Données projet'!$A$114,$BV$205^A13,IF(A13='Données projet'!$A$114,'Données projet'!$B$114,BY12+BX13-CG12)))</f>
        <v>12.12435565298213</v>
      </c>
      <c r="BZ13" s="13">
        <f>BY13*VLOOKUP('Données projet'!$B$12,Paramètres!$A$1:$I$89,3,0)*VLOOKUP('Données projet'!$B$12,Paramètres!$A$1:$I$89,5,0)</f>
        <v>5.3589651986181019</v>
      </c>
      <c r="CA13" s="13">
        <f t="shared" si="39"/>
        <v>2.0312715253478397</v>
      </c>
      <c r="CB13" s="20">
        <f t="shared" si="10"/>
        <v>12.871328960907347</v>
      </c>
      <c r="CC13" s="59">
        <f t="shared" si="11"/>
        <v>306.20466229424068</v>
      </c>
      <c r="CD13" s="59">
        <f ca="1">AVERAGE(OFFSET($CC$3,0,0,'Données projet'!$E$12+1,1))-AVERAGE(OFFSET($H$3,0,0,'Données projet'!$E$12+1,1))</f>
        <v>333.00091572040611</v>
      </c>
      <c r="CE13" s="59">
        <f t="shared" si="40"/>
        <v>267.06874181561398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1">
        <f t="shared" si="32"/>
        <v>2.9149909035839161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67">
        <f t="shared" si="1"/>
        <v>312.45716582374195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6.791666666666667</v>
      </c>
      <c r="N14" s="13">
        <f>IF('Données projet'!$A$36&gt;35,N13+M14-V13,IF(A14&lt;'Données projet'!$A$36,$K$205^A14,IF(A14='Données projet'!$A$36,'Données projet'!$B$36,N13+M14-V13)))</f>
        <v>10.325695617194793</v>
      </c>
      <c r="O14" s="13">
        <f>N14*VLOOKUP('Données projet'!$B$9,Paramètres!$A$1:$I$89,3,0)*VLOOKUP('Données projet'!$B$9,Paramètres!$A$1:$I$89,5,0)</f>
        <v>6.1747659790824869</v>
      </c>
      <c r="P14" s="13">
        <f t="shared" si="33"/>
        <v>2.3022068460010741</v>
      </c>
      <c r="Q14" s="20">
        <f t="shared" si="2"/>
        <v>14.764061003687202</v>
      </c>
      <c r="R14" s="59">
        <f t="shared" si="0"/>
        <v>308.09739433702049</v>
      </c>
      <c r="S14" s="59">
        <f ca="1">AVERAGE(OFFSET($R$3,0,0,'Données projet'!$E$9+1,1))-AVERAGE(OFFSET($H$3,0,0,'Données projet'!$E$9+1,1))</f>
        <v>125.14227069357082</v>
      </c>
      <c r="T14" s="59">
        <f t="shared" si="34"/>
        <v>193.39407925063165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5.9</v>
      </c>
      <c r="AI14" s="13">
        <f>IF('Données projet'!$A$62&gt;35,AI13+AH14-AQ13,IF(A14&lt;'Données projet'!$A$62,$AF$205^A14,IF(A14='Données projet'!$A$62,'Données projet'!$B$62,AI13+AH14-AQ13)))</f>
        <v>9.0005383961655934</v>
      </c>
      <c r="AJ14" s="13">
        <f>AI14*VLOOKUP('Données projet'!$B$10,Paramètres!$A$1:$I$89,3,0)*VLOOKUP('Données projet'!$B$10,Paramètres!$A$1:$I$89,5,0)</f>
        <v>4.2122519694054974</v>
      </c>
      <c r="AK14" s="13">
        <f t="shared" si="35"/>
        <v>1.6419991859399212</v>
      </c>
      <c r="AL14" s="20">
        <f t="shared" si="4"/>
        <v>10.196154095559937</v>
      </c>
      <c r="AM14" s="59">
        <f t="shared" si="5"/>
        <v>303.52948742889328</v>
      </c>
      <c r="AN14" s="59">
        <f ca="1">AVERAGE(OFFSET($AM$3,0,0,'Données projet'!$E$10+1,1))-AVERAGE(OFFSET($H$3,0,0,'Données projet'!$E$10+1,1))</f>
        <v>74.573470247551825</v>
      </c>
      <c r="AO14" s="59">
        <f t="shared" si="36"/>
        <v>122.43655207772224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2.2571428571428571</v>
      </c>
      <c r="BD14" s="12">
        <f>IF('Données projet'!$A$88&gt;35,BD13+BC14-BL13,IF(A14&lt;'Données projet'!$A$88,$BA$205^A14,IF(A14='Données projet'!$A$88,'Données projet'!$B$88,BD13+BC14-BL13)))</f>
        <v>3.9481812875399749</v>
      </c>
      <c r="BE14" s="13">
        <f>BD14*VLOOKUP('Données projet'!$B$11,Paramètres!$A$1:$I$89,3,0)*VLOOKUP('Données projet'!$B$11,Paramètres!$A$1:$I$89,5,0)</f>
        <v>4.0034558255655348</v>
      </c>
      <c r="BF14" s="13">
        <f t="shared" si="37"/>
        <v>1.5698699158392857</v>
      </c>
      <c r="BG14" s="20">
        <f t="shared" si="7"/>
        <v>9.7068756662800606</v>
      </c>
      <c r="BH14" s="59">
        <f t="shared" si="8"/>
        <v>303.04020899961336</v>
      </c>
      <c r="BI14" s="59">
        <f ca="1">AVERAGE(OFFSET($BH$3,0,0,'Données projet'!$E$11+1,1))-AVERAGE(OFFSET($H$3,0,0,'Données projet'!$E$11+1,1))</f>
        <v>183.74583738362492</v>
      </c>
      <c r="BJ14" s="59">
        <f t="shared" si="38"/>
        <v>46.344307013926596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7.35</v>
      </c>
      <c r="BY14" s="12">
        <f>IF('Données projet'!$A$114&gt;35,BY13+BX14-CG13,IF(A14&lt;'Données projet'!$A$114,$BV$205^A14,IF(A14='Données projet'!$A$114,'Données projet'!$B$114,BY13+BX14-CG13)))</f>
        <v>15.560535335107367</v>
      </c>
      <c r="BZ14" s="13">
        <f>BY14*VLOOKUP('Données projet'!$B$12,Paramètres!$A$1:$I$89,3,0)*VLOOKUP('Données projet'!$B$12,Paramètres!$A$1:$I$89,5,0)</f>
        <v>6.8777566181174565</v>
      </c>
      <c r="CA14" s="13">
        <f t="shared" si="39"/>
        <v>2.5323286028504346</v>
      </c>
      <c r="CB14" s="20">
        <f t="shared" si="10"/>
        <v>16.389231759852411</v>
      </c>
      <c r="CC14" s="59">
        <f t="shared" si="11"/>
        <v>309.72256509318572</v>
      </c>
      <c r="CD14" s="59">
        <f ca="1">AVERAGE(OFFSET($CC$3,0,0,'Données projet'!$E$12+1,1))-AVERAGE(OFFSET($H$3,0,0,'Données projet'!$E$12+1,1))</f>
        <v>333.00091572040611</v>
      </c>
      <c r="CE14" s="59">
        <f t="shared" si="40"/>
        <v>267.06874181561398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1">
        <f t="shared" si="32"/>
        <v>3.1479452926301796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67">
        <f t="shared" si="1"/>
        <v>314.13988471799752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6.791666666666667</v>
      </c>
      <c r="N15" s="13">
        <f>IF('Données projet'!$A$36&gt;35,N14+M15-V14,IF(A15&lt;'Données projet'!$A$36,$K$205^A15,IF(A15='Données projet'!$A$36,'Données projet'!$B$36,N14+M15-V14)))</f>
        <v>12.767145334803718</v>
      </c>
      <c r="O15" s="13">
        <f>N15*VLOOKUP('Données projet'!$B$9,Paramètres!$A$1:$I$89,3,0)*VLOOKUP('Données projet'!$B$9,Paramètres!$A$1:$I$89,5,0)</f>
        <v>7.6347529102126233</v>
      </c>
      <c r="P15" s="13">
        <f t="shared" si="33"/>
        <v>2.7770884657263766</v>
      </c>
      <c r="Q15" s="20">
        <f t="shared" si="2"/>
        <v>18.133957063093757</v>
      </c>
      <c r="R15" s="59">
        <f t="shared" si="0"/>
        <v>311.46729039642707</v>
      </c>
      <c r="S15" s="59">
        <f ca="1">AVERAGE(OFFSET($R$3,0,0,'Données projet'!$E$9+1,1))-AVERAGE(OFFSET($H$3,0,0,'Données projet'!$E$9+1,1))</f>
        <v>125.14227069357082</v>
      </c>
      <c r="T15" s="59">
        <f t="shared" si="34"/>
        <v>193.39407925063165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5.9</v>
      </c>
      <c r="AI15" s="13">
        <f>IF('Données projet'!$A$62&gt;35,AI14+AH15-AQ14,IF(A15&lt;'Données projet'!$A$62,$AF$205^A15,IF(A15='Données projet'!$A$62,'Données projet'!$B$62,AI14+AH15-AQ14)))</f>
        <v>10.990568812706908</v>
      </c>
      <c r="AJ15" s="13">
        <f>AI15*VLOOKUP('Données projet'!$B$10,Paramètres!$A$1:$I$89,3,0)*VLOOKUP('Données projet'!$B$10,Paramètres!$A$1:$I$89,5,0)</f>
        <v>5.1435862043468328</v>
      </c>
      <c r="AK15" s="13">
        <f t="shared" si="35"/>
        <v>1.9589652071740322</v>
      </c>
      <c r="AL15" s="20">
        <f t="shared" si="4"/>
        <v>12.370277041732173</v>
      </c>
      <c r="AM15" s="59">
        <f t="shared" si="5"/>
        <v>305.70361037506547</v>
      </c>
      <c r="AN15" s="59">
        <f ca="1">AVERAGE(OFFSET($AM$3,0,0,'Données projet'!$E$10+1,1))-AVERAGE(OFFSET($H$3,0,0,'Données projet'!$E$10+1,1))</f>
        <v>74.573470247551825</v>
      </c>
      <c r="AO15" s="59">
        <f t="shared" si="36"/>
        <v>122.43655207772224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2.2571428571428571</v>
      </c>
      <c r="BD15" s="12">
        <f>IF('Données projet'!$A$88&gt;35,BD14+BC15-BL14,IF(A15&lt;'Données projet'!$A$88,$BA$205^A15,IF(A15='Données projet'!$A$88,'Données projet'!$B$88,BD14+BC15-BL14)))</f>
        <v>4.4731658713508073</v>
      </c>
      <c r="BE15" s="13">
        <f>BD15*VLOOKUP('Données projet'!$B$11,Paramètres!$A$1:$I$89,3,0)*VLOOKUP('Données projet'!$B$11,Paramètres!$A$1:$I$89,5,0)</f>
        <v>4.5357901935497189</v>
      </c>
      <c r="BF15" s="13">
        <f t="shared" si="37"/>
        <v>1.752954397884174</v>
      </c>
      <c r="BG15" s="20">
        <f t="shared" si="7"/>
        <v>10.952896830080697</v>
      </c>
      <c r="BH15" s="59">
        <f t="shared" si="8"/>
        <v>304.28623016341402</v>
      </c>
      <c r="BI15" s="59">
        <f ca="1">AVERAGE(OFFSET($BH$3,0,0,'Données projet'!$E$11+1,1))-AVERAGE(OFFSET($H$3,0,0,'Données projet'!$E$11+1,1))</f>
        <v>183.74583738362492</v>
      </c>
      <c r="BJ15" s="59">
        <f t="shared" si="38"/>
        <v>46.344307013926596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7.35</v>
      </c>
      <c r="BY15" s="12">
        <f>IF('Données projet'!$A$114&gt;35,BY14+BX15-CG14,IF(A15&lt;'Données projet'!$A$114,$BV$205^A15,IF(A15='Données projet'!$A$114,'Données projet'!$B$114,BY14+BX15-CG14)))</f>
        <v>19.970567248707361</v>
      </c>
      <c r="BZ15" s="13">
        <f>BY15*VLOOKUP('Données projet'!$B$12,Paramètres!$A$1:$I$89,3,0)*VLOOKUP('Données projet'!$B$12,Paramètres!$A$1:$I$89,5,0)</f>
        <v>8.8269907239286542</v>
      </c>
      <c r="CA15" s="13">
        <f t="shared" si="39"/>
        <v>3.1569822511622658</v>
      </c>
      <c r="CB15" s="20">
        <f t="shared" si="10"/>
        <v>20.872086264950017</v>
      </c>
      <c r="CC15" s="59">
        <f t="shared" si="11"/>
        <v>314.20541959828336</v>
      </c>
      <c r="CD15" s="59">
        <f ca="1">AVERAGE(OFFSET($CC$3,0,0,'Données projet'!$E$12+1,1))-AVERAGE(OFFSET($H$3,0,0,'Données projet'!$E$12+1,1))</f>
        <v>333.00091572040611</v>
      </c>
      <c r="CE15" s="59">
        <f t="shared" si="40"/>
        <v>267.06874181561398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1">
        <f t="shared" si="32"/>
        <v>3.3786481992658062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67">
        <f t="shared" si="1"/>
        <v>315.81868228038792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6.791666666666667</v>
      </c>
      <c r="N16" s="13">
        <f>IF('Données projet'!$A$36&gt;35,N15+M16-V15,IF(A16&lt;'Données projet'!$A$36,$K$205^A16,IF(A16='Données projet'!$A$36,'Données projet'!$B$36,N15+M16-V15)))</f>
        <v>15.785861412432663</v>
      </c>
      <c r="O16" s="13">
        <f>N16*VLOOKUP('Données projet'!$B$9,Paramètres!$A$1:$I$89,3,0)*VLOOKUP('Données projet'!$B$9,Paramètres!$A$1:$I$89,5,0)</f>
        <v>9.4399451246347326</v>
      </c>
      <c r="P16" s="13">
        <f t="shared" si="33"/>
        <v>3.3499250338285553</v>
      </c>
      <c r="Q16" s="20">
        <f t="shared" si="2"/>
        <v>22.275690525990225</v>
      </c>
      <c r="R16" s="59">
        <f t="shared" si="0"/>
        <v>315.60902385932354</v>
      </c>
      <c r="S16" s="59">
        <f ca="1">AVERAGE(OFFSET($R$3,0,0,'Données projet'!$E$9+1,1))-AVERAGE(OFFSET($H$3,0,0,'Données projet'!$E$9+1,1))</f>
        <v>125.14227069357082</v>
      </c>
      <c r="T16" s="59">
        <f t="shared" si="34"/>
        <v>193.39407925063165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5.9</v>
      </c>
      <c r="AI16" s="13">
        <f>IF('Données projet'!$A$62&gt;35,AI15+AH16-AQ15,IF(A16&lt;'Données projet'!$A$62,$AF$205^A16,IF(A16='Données projet'!$A$62,'Données projet'!$B$62,AI15+AH16-AQ15)))</f>
        <v>13.420597469847555</v>
      </c>
      <c r="AJ16" s="13">
        <f>AI16*VLOOKUP('Données projet'!$B$10,Paramètres!$A$1:$I$89,3,0)*VLOOKUP('Données projet'!$B$10,Paramètres!$A$1:$I$89,5,0)</f>
        <v>6.2808396158886559</v>
      </c>
      <c r="AK16" s="13">
        <f t="shared" si="35"/>
        <v>2.3371172871329366</v>
      </c>
      <c r="AL16" s="20">
        <f t="shared" si="4"/>
        <v>15.009608272762607</v>
      </c>
      <c r="AM16" s="59">
        <f t="shared" si="5"/>
        <v>308.34294160609591</v>
      </c>
      <c r="AN16" s="59">
        <f ca="1">AVERAGE(OFFSET($AM$3,0,0,'Données projet'!$E$10+1,1))-AVERAGE(OFFSET($H$3,0,0,'Données projet'!$E$10+1,1))</f>
        <v>74.573470247551825</v>
      </c>
      <c r="AO16" s="59">
        <f t="shared" si="36"/>
        <v>122.43655207772224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2.2571428571428571</v>
      </c>
      <c r="BD16" s="12">
        <f>IF('Données projet'!$A$88&gt;35,BD15+BC16-BL15,IF(A16&lt;'Données projet'!$A$88,$BA$205^A16,IF(A16='Données projet'!$A$88,'Données projet'!$B$88,BD15+BC16-BL15)))</f>
        <v>5.0679569795248511</v>
      </c>
      <c r="BE16" s="13">
        <f>BD16*VLOOKUP('Données projet'!$B$11,Paramètres!$A$1:$I$89,3,0)*VLOOKUP('Données projet'!$B$11,Paramètres!$A$1:$I$89,5,0)</f>
        <v>5.1389083772381996</v>
      </c>
      <c r="BF16" s="13">
        <f t="shared" si="37"/>
        <v>1.9573909214118912</v>
      </c>
      <c r="BG16" s="20">
        <f t="shared" si="7"/>
        <v>12.359387945148908</v>
      </c>
      <c r="BH16" s="59">
        <f t="shared" si="8"/>
        <v>305.69272127848222</v>
      </c>
      <c r="BI16" s="59">
        <f ca="1">AVERAGE(OFFSET($BH$3,0,0,'Données projet'!$E$11+1,1))-AVERAGE(OFFSET($H$3,0,0,'Données projet'!$E$11+1,1))</f>
        <v>183.74583738362492</v>
      </c>
      <c r="BJ16" s="59">
        <f t="shared" si="38"/>
        <v>46.344307013926596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7.35</v>
      </c>
      <c r="BY16" s="12">
        <f>IF('Données projet'!$A$114&gt;35,BY15+BX16-CG15,IF(A16&lt;'Données projet'!$A$114,$BV$205^A16,IF(A16='Données projet'!$A$114,'Données projet'!$B$114,BY15+BX16-CG15)))</f>
        <v>25.630452143592095</v>
      </c>
      <c r="BZ16" s="13">
        <f>BY16*VLOOKUP('Données projet'!$B$12,Paramètres!$A$1:$I$89,3,0)*VLOOKUP('Données projet'!$B$12,Paramètres!$A$1:$I$89,5,0)</f>
        <v>11.328659847467708</v>
      </c>
      <c r="CA16" s="13">
        <f t="shared" si="39"/>
        <v>3.9357202390460144</v>
      </c>
      <c r="CB16" s="20">
        <f t="shared" si="10"/>
        <v>26.585461984011399</v>
      </c>
      <c r="CC16" s="59">
        <f t="shared" si="11"/>
        <v>319.91879531734469</v>
      </c>
      <c r="CD16" s="59">
        <f ca="1">AVERAGE(OFFSET($CC$3,0,0,'Données projet'!$E$12+1,1))-AVERAGE(OFFSET($H$3,0,0,'Données projet'!$E$12+1,1))</f>
        <v>333.00091572040611</v>
      </c>
      <c r="CE16" s="59">
        <f t="shared" si="40"/>
        <v>267.06874181561398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1">
        <f t="shared" si="32"/>
        <v>3.6072925061053467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67">
        <f t="shared" si="1"/>
        <v>317.49389444813346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6.791666666666667</v>
      </c>
      <c r="N17" s="13">
        <f>IF('Données projet'!$A$36&gt;35,N16+M17-V16,IF(A17&lt;'Données projet'!$A$36,$K$205^A17,IF(A17='Données projet'!$A$36,'Données projet'!$B$36,N16+M17-V16)))</f>
        <v>19.518335070034794</v>
      </c>
      <c r="O17" s="13">
        <f>N17*VLOOKUP('Données projet'!$B$9,Paramètres!$A$1:$I$89,3,0)*VLOOKUP('Données projet'!$B$9,Paramètres!$A$1:$I$89,5,0)</f>
        <v>11.671964371880808</v>
      </c>
      <c r="P17" s="13">
        <f t="shared" si="33"/>
        <v>4.0409219478487239</v>
      </c>
      <c r="Q17" s="20">
        <f t="shared" si="2"/>
        <v>27.366610340195596</v>
      </c>
      <c r="R17" s="59">
        <f t="shared" si="0"/>
        <v>320.69994367352894</v>
      </c>
      <c r="S17" s="59">
        <f ca="1">AVERAGE(OFFSET($R$3,0,0,'Données projet'!$E$9+1,1))-AVERAGE(OFFSET($H$3,0,0,'Données projet'!$E$9+1,1))</f>
        <v>125.14227069357082</v>
      </c>
      <c r="T17" s="59">
        <f t="shared" si="34"/>
        <v>193.39407925063165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5.9</v>
      </c>
      <c r="AI17" s="13">
        <f>IF('Données projet'!$A$62&gt;35,AI16+AH17-AQ16,IF(A17&lt;'Données projet'!$A$62,$AF$205^A17,IF(A17='Données projet'!$A$62,'Données projet'!$B$62,AI16+AH17-AQ16)))</f>
        <v>16.38790853476473</v>
      </c>
      <c r="AJ17" s="13">
        <f>AI17*VLOOKUP('Données projet'!$B$10,Paramètres!$A$1:$I$89,3,0)*VLOOKUP('Données projet'!$B$10,Paramètres!$A$1:$I$89,5,0)</f>
        <v>7.6695411942698932</v>
      </c>
      <c r="AK17" s="13">
        <f t="shared" si="35"/>
        <v>2.7882665775851971</v>
      </c>
      <c r="AL17" s="20">
        <f t="shared" si="4"/>
        <v>18.214015202647616</v>
      </c>
      <c r="AM17" s="59">
        <f t="shared" si="5"/>
        <v>311.54734853598092</v>
      </c>
      <c r="AN17" s="59">
        <f ca="1">AVERAGE(OFFSET($AM$3,0,0,'Données projet'!$E$10+1,1))-AVERAGE(OFFSET($H$3,0,0,'Données projet'!$E$10+1,1))</f>
        <v>74.573470247551825</v>
      </c>
      <c r="AO17" s="59">
        <f t="shared" si="36"/>
        <v>122.43655207772224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2.2571428571428571</v>
      </c>
      <c r="BD17" s="12">
        <f>IF('Données projet'!$A$88&gt;35,BD16+BC17-BL16,IF(A17&lt;'Données projet'!$A$88,$BA$205^A17,IF(A17='Données projet'!$A$88,'Données projet'!$B$88,BD16+BC17-BL16)))</f>
        <v>5.7418366957535909</v>
      </c>
      <c r="BE17" s="13">
        <f>BD17*VLOOKUP('Données projet'!$B$11,Paramètres!$A$1:$I$89,3,0)*VLOOKUP('Données projet'!$B$11,Paramètres!$A$1:$I$89,5,0)</f>
        <v>5.8222224094941417</v>
      </c>
      <c r="BF17" s="13">
        <f t="shared" si="37"/>
        <v>2.1856696465408278</v>
      </c>
      <c r="BG17" s="20">
        <f t="shared" si="7"/>
        <v>13.947078664260905</v>
      </c>
      <c r="BH17" s="59">
        <f t="shared" si="8"/>
        <v>307.28041199759423</v>
      </c>
      <c r="BI17" s="59">
        <f ca="1">AVERAGE(OFFSET($BH$3,0,0,'Données projet'!$E$11+1,1))-AVERAGE(OFFSET($H$3,0,0,'Données projet'!$E$11+1,1))</f>
        <v>183.74583738362492</v>
      </c>
      <c r="BJ17" s="59">
        <f t="shared" si="38"/>
        <v>46.344307013926596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7.35</v>
      </c>
      <c r="BY17" s="12">
        <f>IF('Données projet'!$A$114&gt;35,BY16+BX17-CG16,IF(A17&lt;'Données projet'!$A$114,$BV$205^A17,IF(A17='Données projet'!$A$114,'Données projet'!$B$114,BY16+BX17-CG16)))</f>
        <v>32.894412507360563</v>
      </c>
      <c r="BZ17" s="13">
        <f>BY17*VLOOKUP('Données projet'!$B$12,Paramètres!$A$1:$I$89,3,0)*VLOOKUP('Données projet'!$B$12,Paramètres!$A$1:$I$89,5,0)</f>
        <v>14.539330328253371</v>
      </c>
      <c r="CA17" s="13">
        <f t="shared" si="39"/>
        <v>4.9065508031708758</v>
      </c>
      <c r="CB17" s="20">
        <f t="shared" si="10"/>
        <v>33.868242970563898</v>
      </c>
      <c r="CC17" s="59">
        <f t="shared" si="11"/>
        <v>327.20157630389724</v>
      </c>
      <c r="CD17" s="59">
        <f ca="1">AVERAGE(OFFSET($CC$3,0,0,'Données projet'!$E$12+1,1))-AVERAGE(OFFSET($H$3,0,0,'Données projet'!$E$12+1,1))</f>
        <v>333.00091572040611</v>
      </c>
      <c r="CE17" s="59">
        <f t="shared" si="40"/>
        <v>267.06874181561398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1">
        <f t="shared" si="32"/>
        <v>3.8340419797271834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67">
        <f t="shared" si="1"/>
        <v>319.1658064480248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6.791666666666667</v>
      </c>
      <c r="N18" s="13">
        <f>IF('Données projet'!$A$36&gt;35,N17+M18-V17,IF(A18&lt;'Données projet'!$A$36,$K$205^A18,IF(A18='Données projet'!$A$36,'Données projet'!$B$36,N17+M18-V17)))</f>
        <v>24.133330070040312</v>
      </c>
      <c r="O18" s="13">
        <f>N18*VLOOKUP('Données projet'!$B$9,Paramètres!$A$1:$I$89,3,0)*VLOOKUP('Données projet'!$B$9,Paramètres!$A$1:$I$89,5,0)</f>
        <v>14.431731381884109</v>
      </c>
      <c r="P18" s="13">
        <f t="shared" si="33"/>
        <v>4.8744524201914485</v>
      </c>
      <c r="Q18" s="20">
        <f t="shared" si="2"/>
        <v>33.624936788614932</v>
      </c>
      <c r="R18" s="59">
        <f t="shared" si="0"/>
        <v>326.95827012194826</v>
      </c>
      <c r="S18" s="59">
        <f ca="1">AVERAGE(OFFSET($R$3,0,0,'Données projet'!$E$9+1,1))-AVERAGE(OFFSET($H$3,0,0,'Données projet'!$E$9+1,1))</f>
        <v>125.14227069357082</v>
      </c>
      <c r="T18" s="59">
        <f t="shared" si="34"/>
        <v>193.39407925063165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5.9</v>
      </c>
      <c r="AI18" s="13">
        <f>IF('Données projet'!$A$62&gt;35,AI17+AH18-AQ17,IF(A18&lt;'Données projet'!$A$62,$AF$205^A18,IF(A18='Données projet'!$A$62,'Données projet'!$B$62,AI17+AH18-AQ17)))</f>
        <v>20.011295826970755</v>
      </c>
      <c r="AJ18" s="13">
        <f>AI18*VLOOKUP('Données projet'!$B$10,Paramètres!$A$1:$I$89,3,0)*VLOOKUP('Données projet'!$B$10,Paramètres!$A$1:$I$89,5,0)</f>
        <v>9.3652864470223136</v>
      </c>
      <c r="AK18" s="13">
        <f t="shared" si="35"/>
        <v>3.3265042154627897</v>
      </c>
      <c r="AL18" s="20">
        <f t="shared" si="4"/>
        <v>22.104868737161553</v>
      </c>
      <c r="AM18" s="59">
        <f t="shared" si="5"/>
        <v>315.43820207049487</v>
      </c>
      <c r="AN18" s="59">
        <f ca="1">AVERAGE(OFFSET($AM$3,0,0,'Données projet'!$E$10+1,1))-AVERAGE(OFFSET($H$3,0,0,'Données projet'!$E$10+1,1))</f>
        <v>74.573470247551825</v>
      </c>
      <c r="AO18" s="59">
        <f t="shared" si="36"/>
        <v>122.43655207772224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2.2571428571428571</v>
      </c>
      <c r="BD18" s="12">
        <f>IF('Données projet'!$A$88&gt;35,BD17+BC18-BL17,IF(A18&lt;'Données projet'!$A$88,$BA$205^A18,IF(A18='Données projet'!$A$88,'Données projet'!$B$88,BD17+BC18-BL17)))</f>
        <v>6.5053213304493189</v>
      </c>
      <c r="BE18" s="13">
        <f>BD18*VLOOKUP('Données projet'!$B$11,Paramètres!$A$1:$I$89,3,0)*VLOOKUP('Données projet'!$B$11,Paramètres!$A$1:$I$89,5,0)</f>
        <v>6.5963958290756093</v>
      </c>
      <c r="BF18" s="13">
        <f t="shared" si="37"/>
        <v>2.4405711457801624</v>
      </c>
      <c r="BG18" s="20">
        <f t="shared" si="7"/>
        <v>15.739384147873801</v>
      </c>
      <c r="BH18" s="59">
        <f t="shared" si="8"/>
        <v>309.07271748120712</v>
      </c>
      <c r="BI18" s="59">
        <f ca="1">AVERAGE(OFFSET($BH$3,0,0,'Données projet'!$E$11+1,1))-AVERAGE(OFFSET($H$3,0,0,'Données projet'!$E$11+1,1))</f>
        <v>183.74583738362492</v>
      </c>
      <c r="BJ18" s="59">
        <f t="shared" si="38"/>
        <v>46.344307013926596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7.35</v>
      </c>
      <c r="BY18" s="12">
        <f>IF('Données projet'!$A$114&gt;35,BY17+BX18-CG17,IF(A18&lt;'Données projet'!$A$114,$BV$205^A18,IF(A18='Données projet'!$A$114,'Données projet'!$B$114,BY17+BX18-CG17)))</f>
        <v>42.217061491633579</v>
      </c>
      <c r="BZ18" s="13">
        <f>BY18*VLOOKUP('Données projet'!$B$12,Paramètres!$A$1:$I$89,3,0)*VLOOKUP('Données projet'!$B$12,Paramètres!$A$1:$I$89,5,0)</f>
        <v>18.659941179302045</v>
      </c>
      <c r="CA18" s="13">
        <f t="shared" si="39"/>
        <v>6.1168577342611501</v>
      </c>
      <c r="CB18" s="20">
        <f t="shared" si="10"/>
        <v>43.15292477445589</v>
      </c>
      <c r="CC18" s="59">
        <f t="shared" si="11"/>
        <v>336.48625810778918</v>
      </c>
      <c r="CD18" s="59">
        <f ca="1">AVERAGE(OFFSET($CC$3,0,0,'Données projet'!$E$12+1,1))-AVERAGE(OFFSET($H$3,0,0,'Données projet'!$E$12+1,1))</f>
        <v>333.00091572040611</v>
      </c>
      <c r="CE18" s="59">
        <f t="shared" si="40"/>
        <v>267.06874181561398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1">
        <f t="shared" si="32"/>
        <v>4.0590373158284008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67">
        <f t="shared" si="1"/>
        <v>320.83466332506777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6.791666666666667</v>
      </c>
      <c r="N19" s="13">
        <f>IF('Données projet'!$A$36&gt;35,N18+M19-V18,IF(A19&lt;'Données projet'!$A$36,$K$205^A19,IF(A19='Données projet'!$A$36,'Données projet'!$B$36,N18+M19-V18)))</f>
        <v>29.839513369337482</v>
      </c>
      <c r="O19" s="13">
        <f>N19*VLOOKUP('Données projet'!$B$9,Paramètres!$A$1:$I$89,3,0)*VLOOKUP('Données projet'!$B$9,Paramètres!$A$1:$I$89,5,0)</f>
        <v>17.844028994863816</v>
      </c>
      <c r="P19" s="13">
        <f t="shared" si="33"/>
        <v>5.8799171830971879</v>
      </c>
      <c r="Q19" s="20">
        <f t="shared" si="2"/>
        <v>41.319206259948743</v>
      </c>
      <c r="R19" s="59">
        <f t="shared" si="0"/>
        <v>334.65253959328209</v>
      </c>
      <c r="S19" s="59">
        <f ca="1">AVERAGE(OFFSET($R$3,0,0,'Données projet'!$E$9+1,1))-AVERAGE(OFFSET($H$3,0,0,'Données projet'!$E$9+1,1))</f>
        <v>125.14227069357082</v>
      </c>
      <c r="T19" s="59">
        <f t="shared" si="34"/>
        <v>193.39407925063165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5.9</v>
      </c>
      <c r="AI19" s="13">
        <f>IF('Données projet'!$A$62&gt;35,AI18+AH19-AQ18,IF(A19&lt;'Données projet'!$A$62,$AF$205^A19,IF(A19='Données projet'!$A$62,'Données projet'!$B$62,AI18+AH19-AQ18)))</f>
        <v>24.435818629633705</v>
      </c>
      <c r="AJ19" s="13">
        <f>AI19*VLOOKUP('Données projet'!$B$10,Paramètres!$A$1:$I$89,3,0)*VLOOKUP('Données projet'!$B$10,Paramètres!$A$1:$I$89,5,0)</f>
        <v>11.435963118668575</v>
      </c>
      <c r="AK19" s="13">
        <f t="shared" si="35"/>
        <v>3.9686414435578063</v>
      </c>
      <c r="AL19" s="20">
        <f t="shared" si="4"/>
        <v>26.829686279210947</v>
      </c>
      <c r="AM19" s="59">
        <f t="shared" si="5"/>
        <v>320.16301961254425</v>
      </c>
      <c r="AN19" s="59">
        <f ca="1">AVERAGE(OFFSET($AM$3,0,0,'Données projet'!$E$10+1,1))-AVERAGE(OFFSET($H$3,0,0,'Données projet'!$E$10+1,1))</f>
        <v>74.573470247551825</v>
      </c>
      <c r="AO19" s="59">
        <f t="shared" si="36"/>
        <v>122.43655207772224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2.2571428571428571</v>
      </c>
      <c r="BD19" s="12">
        <f>IF('Données projet'!$A$88&gt;35,BD18+BC19-BL18,IF(A19&lt;'Données projet'!$A$88,$BA$205^A19,IF(A19='Données projet'!$A$88,'Données projet'!$B$88,BD18+BC19-BL18)))</f>
        <v>7.3703255342835341</v>
      </c>
      <c r="BE19" s="13">
        <f>BD19*VLOOKUP('Données projet'!$B$11,Paramètres!$A$1:$I$89,3,0)*VLOOKUP('Données projet'!$B$11,Paramètres!$A$1:$I$89,5,0)</f>
        <v>7.4735100917635044</v>
      </c>
      <c r="BF19" s="13">
        <f t="shared" si="37"/>
        <v>2.7252002730795253</v>
      </c>
      <c r="BG19" s="20">
        <f t="shared" si="7"/>
        <v>17.762753885434943</v>
      </c>
      <c r="BH19" s="59">
        <f t="shared" si="8"/>
        <v>311.09608721876828</v>
      </c>
      <c r="BI19" s="59">
        <f ca="1">AVERAGE(OFFSET($BH$3,0,0,'Données projet'!$E$11+1,1))-AVERAGE(OFFSET($H$3,0,0,'Données projet'!$E$11+1,1))</f>
        <v>183.74583738362492</v>
      </c>
      <c r="BJ19" s="59">
        <f t="shared" si="38"/>
        <v>46.344307013926596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7.35</v>
      </c>
      <c r="BY19" s="12">
        <f>IF('Données projet'!$A$114&gt;35,BY18+BX19-CG18,IF(A19&lt;'Données projet'!$A$114,$BV$205^A19,IF(A19='Données projet'!$A$114,'Données projet'!$B$114,BY18+BX19-CG18)))</f>
        <v>54.181854763010627</v>
      </c>
      <c r="BZ19" s="13">
        <f>BY19*VLOOKUP('Données projet'!$B$12,Paramètres!$A$1:$I$89,3,0)*VLOOKUP('Données projet'!$B$12,Paramètres!$A$1:$I$89,5,0)</f>
        <v>23.948379805250699</v>
      </c>
      <c r="CA19" s="13">
        <f t="shared" si="39"/>
        <v>7.6257130603865875</v>
      </c>
      <c r="CB19" s="20">
        <f t="shared" si="10"/>
        <v>54.991545074318275</v>
      </c>
      <c r="CC19" s="59">
        <f t="shared" si="11"/>
        <v>348.32487840765157</v>
      </c>
      <c r="CD19" s="59">
        <f ca="1">AVERAGE(OFFSET($CC$3,0,0,'Données projet'!$E$12+1,1))-AVERAGE(OFFSET($H$3,0,0,'Données projet'!$E$12+1,1))</f>
        <v>333.00091572040611</v>
      </c>
      <c r="CE19" s="59">
        <f t="shared" si="40"/>
        <v>267.06874181561398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1">
        <f t="shared" si="32"/>
        <v>4.2824006291256396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67">
        <f t="shared" si="1"/>
        <v>322.50067776239382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6.791666666666667</v>
      </c>
      <c r="N20" s="13">
        <f>IF('Données projet'!$A$36&gt;35,N19+M20-V19,IF(A20&lt;'Données projet'!$A$36,$K$205^A20,IF(A20='Données projet'!$A$36,'Données projet'!$B$36,N19+M20-V19)))</f>
        <v>36.894889993827654</v>
      </c>
      <c r="O20" s="13">
        <f>N20*VLOOKUP('Données projet'!$B$9,Paramètres!$A$1:$I$89,3,0)*VLOOKUP('Données projet'!$B$9,Paramètres!$A$1:$I$89,5,0)</f>
        <v>22.063144216308938</v>
      </c>
      <c r="P20" s="13">
        <f t="shared" si="33"/>
        <v>7.0927815269809669</v>
      </c>
      <c r="Q20" s="20">
        <f t="shared" si="2"/>
        <v>50.779904002896586</v>
      </c>
      <c r="R20" s="59">
        <f t="shared" si="0"/>
        <v>344.11323733622987</v>
      </c>
      <c r="S20" s="59">
        <f ca="1">AVERAGE(OFFSET($R$3,0,0,'Données projet'!$E$9+1,1))-AVERAGE(OFFSET($H$3,0,0,'Données projet'!$E$9+1,1))</f>
        <v>125.14227069357082</v>
      </c>
      <c r="T20" s="59">
        <f t="shared" si="34"/>
        <v>193.39407925063165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5.9</v>
      </c>
      <c r="AI20" s="13">
        <f>IF('Données projet'!$A$62&gt;35,AI19+AH20-AQ19,IF(A20&lt;'Données projet'!$A$62,$AF$205^A20,IF(A20='Données projet'!$A$62,'Données projet'!$B$62,AI19+AH20-AQ19)))</f>
        <v>29.838609016792599</v>
      </c>
      <c r="AJ20" s="13">
        <f>AI20*VLOOKUP('Données projet'!$B$10,Paramètres!$A$1:$I$89,3,0)*VLOOKUP('Données projet'!$B$10,Paramètres!$A$1:$I$89,5,0)</f>
        <v>13.964469019858937</v>
      </c>
      <c r="AK20" s="13">
        <f t="shared" si="35"/>
        <v>4.7347346906438279</v>
      </c>
      <c r="AL20" s="20">
        <f t="shared" si="4"/>
        <v>32.567779795792312</v>
      </c>
      <c r="AM20" s="59">
        <f t="shared" si="5"/>
        <v>325.90111312912563</v>
      </c>
      <c r="AN20" s="59">
        <f ca="1">AVERAGE(OFFSET($AM$3,0,0,'Données projet'!$E$10+1,1))-AVERAGE(OFFSET($H$3,0,0,'Données projet'!$E$10+1,1))</f>
        <v>74.573470247551825</v>
      </c>
      <c r="AO20" s="59">
        <f t="shared" si="36"/>
        <v>122.43655207772224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2.2571428571428571</v>
      </c>
      <c r="BD20" s="12">
        <f>IF('Données projet'!$A$88&gt;35,BD19+BC20-BL19,IF(A20&lt;'Données projet'!$A$88,$BA$205^A20,IF(A20='Données projet'!$A$88,'Données projet'!$B$88,BD19+BC20-BL19)))</f>
        <v>8.3503482336913102</v>
      </c>
      <c r="BE20" s="13">
        <f>BD20*VLOOKUP('Données projet'!$B$11,Paramètres!$A$1:$I$89,3,0)*VLOOKUP('Données projet'!$B$11,Paramètres!$A$1:$I$89,5,0)</f>
        <v>8.4672531089629892</v>
      </c>
      <c r="BF20" s="13">
        <f t="shared" si="37"/>
        <v>3.0430239828221319</v>
      </c>
      <c r="BG20" s="20">
        <f t="shared" si="7"/>
        <v>20.047065934859081</v>
      </c>
      <c r="BH20" s="59">
        <f t="shared" si="8"/>
        <v>313.38039926819238</v>
      </c>
      <c r="BI20" s="59">
        <f ca="1">AVERAGE(OFFSET($BH$3,0,0,'Données projet'!$E$11+1,1))-AVERAGE(OFFSET($H$3,0,0,'Données projet'!$E$11+1,1))</f>
        <v>183.74583738362492</v>
      </c>
      <c r="BJ20" s="59">
        <f t="shared" si="38"/>
        <v>46.344307013926596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7.35</v>
      </c>
      <c r="BY20" s="12">
        <f>IF('Données projet'!$A$114&gt;35,BY19+BX20-CG19,IF(A20&lt;'Données projet'!$A$114,$BV$205^A20,IF(A20='Données projet'!$A$114,'Données projet'!$B$114,BY19+BX20-CG19)))</f>
        <v>69.537605930762339</v>
      </c>
      <c r="BZ20" s="13">
        <f>BY20*VLOOKUP('Données projet'!$B$12,Paramètres!$A$1:$I$89,3,0)*VLOOKUP('Données projet'!$B$12,Paramètres!$A$1:$I$89,5,0)</f>
        <v>30.735621821396958</v>
      </c>
      <c r="CA20" s="13">
        <f t="shared" si="39"/>
        <v>9.5067602036316856</v>
      </c>
      <c r="CB20" s="20">
        <f t="shared" si="10"/>
        <v>70.088815360258224</v>
      </c>
      <c r="CC20" s="59">
        <f t="shared" si="11"/>
        <v>363.42214869359157</v>
      </c>
      <c r="CD20" s="59">
        <f ca="1">AVERAGE(OFFSET($CC$3,0,0,'Données projet'!$E$12+1,1))-AVERAGE(OFFSET($H$3,0,0,'Données projet'!$E$12+1,1))</f>
        <v>333.00091572040611</v>
      </c>
      <c r="CE20" s="59">
        <f t="shared" si="40"/>
        <v>267.06874181561398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1">
        <f t="shared" si="32"/>
        <v>4.504238856327774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67">
        <f t="shared" si="1"/>
        <v>324.16403600810418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6.791666666666667</v>
      </c>
      <c r="N21" s="13">
        <f>IF('Données projet'!$A$36&gt;35,N20+M21-V20,IF(A21&lt;'Données projet'!$A$36,$K$205^A21,IF(A21='Données projet'!$A$36,'Données projet'!$B$36,N20+M21-V20)))</f>
        <v>45.618468733321265</v>
      </c>
      <c r="O21" s="13">
        <f>N21*VLOOKUP('Données projet'!$B$9,Paramètres!$A$1:$I$89,3,0)*VLOOKUP('Données projet'!$B$9,Paramètres!$A$1:$I$89,5,0)</f>
        <v>27.279844302526122</v>
      </c>
      <c r="P21" s="13">
        <f t="shared" si="33"/>
        <v>8.5558262511077476</v>
      </c>
      <c r="Q21" s="20">
        <f t="shared" si="2"/>
        <v>62.413792880912318</v>
      </c>
      <c r="R21" s="59">
        <f t="shared" si="0"/>
        <v>355.74712621424561</v>
      </c>
      <c r="S21" s="59">
        <f ca="1">AVERAGE(OFFSET($R$3,0,0,'Données projet'!$E$9+1,1))-AVERAGE(OFFSET($H$3,0,0,'Données projet'!$E$9+1,1))</f>
        <v>125.14227069357082</v>
      </c>
      <c r="T21" s="59">
        <f t="shared" si="34"/>
        <v>193.39407925063165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5.9</v>
      </c>
      <c r="AI21" s="13">
        <f>IF('Données projet'!$A$62&gt;35,AI20+AH21-AQ20,IF(A21&lt;'Données projet'!$A$62,$AF$205^A21,IF(A21='Données projet'!$A$62,'Données projet'!$B$62,AI20+AH21-AQ20)))</f>
        <v>36.435963187960638</v>
      </c>
      <c r="AJ21" s="13">
        <f>AI21*VLOOKUP('Données projet'!$B$10,Paramètres!$A$1:$I$89,3,0)*VLOOKUP('Données projet'!$B$10,Paramètres!$A$1:$I$89,5,0)</f>
        <v>17.05203077196558</v>
      </c>
      <c r="AK21" s="13">
        <f t="shared" si="35"/>
        <v>5.6487120113045712</v>
      </c>
      <c r="AL21" s="20">
        <f t="shared" si="4"/>
        <v>39.537127014195512</v>
      </c>
      <c r="AM21" s="59">
        <f t="shared" si="5"/>
        <v>332.87046034752882</v>
      </c>
      <c r="AN21" s="59">
        <f ca="1">AVERAGE(OFFSET($AM$3,0,0,'Données projet'!$E$10+1,1))-AVERAGE(OFFSET($H$3,0,0,'Données projet'!$E$10+1,1))</f>
        <v>74.573470247551825</v>
      </c>
      <c r="AO21" s="59">
        <f t="shared" si="36"/>
        <v>122.43655207772224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2.2571428571428571</v>
      </c>
      <c r="BD21" s="12">
        <f>IF('Données projet'!$A$88&gt;35,BD20+BC21-BL20,IF(A21&lt;'Données projet'!$A$88,$BA$205^A21,IF(A21='Données projet'!$A$88,'Données projet'!$B$88,BD20+BC21-BL20)))</f>
        <v>9.4606832899803308</v>
      </c>
      <c r="BE21" s="13">
        <f>BD21*VLOOKUP('Données projet'!$B$11,Paramètres!$A$1:$I$89,3,0)*VLOOKUP('Données projet'!$B$11,Paramètres!$A$1:$I$89,5,0)</f>
        <v>9.5931328560400555</v>
      </c>
      <c r="BF21" s="13">
        <f t="shared" si="37"/>
        <v>3.3979135594195076</v>
      </c>
      <c r="BG21" s="20">
        <f t="shared" si="7"/>
        <v>22.626072506925407</v>
      </c>
      <c r="BH21" s="59">
        <f t="shared" si="8"/>
        <v>315.95940584025874</v>
      </c>
      <c r="BI21" s="59">
        <f ca="1">AVERAGE(OFFSET($BH$3,0,0,'Données projet'!$E$11+1,1))-AVERAGE(OFFSET($H$3,0,0,'Données projet'!$E$11+1,1))</f>
        <v>183.74583738362492</v>
      </c>
      <c r="BJ21" s="59">
        <f t="shared" si="38"/>
        <v>46.344307013926596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7.35</v>
      </c>
      <c r="BY21" s="12">
        <f>IF('Données projet'!$A$114&gt;35,BY20+BX21-CG20,IF(A21&lt;'Données projet'!$A$114,$BV$205^A21,IF(A21='Données projet'!$A$114,'Données projet'!$B$114,BY20+BX21-CG20)))</f>
        <v>89.245350860213151</v>
      </c>
      <c r="BZ21" s="13">
        <f>BY21*VLOOKUP('Données projet'!$B$12,Paramètres!$A$1:$I$89,3,0)*VLOOKUP('Données projet'!$B$12,Paramètres!$A$1:$I$89,5,0)</f>
        <v>39.446445080214218</v>
      </c>
      <c r="CA21" s="13">
        <f t="shared" si="39"/>
        <v>11.851808329747655</v>
      </c>
      <c r="CB21" s="20">
        <f t="shared" si="10"/>
        <v>89.344458022350253</v>
      </c>
      <c r="CC21" s="59">
        <f t="shared" si="11"/>
        <v>382.67779135568355</v>
      </c>
      <c r="CD21" s="59">
        <f ca="1">AVERAGE(OFFSET($CC$3,0,0,'Données projet'!$E$12+1,1))-AVERAGE(OFFSET($H$3,0,0,'Données projet'!$E$12+1,1))</f>
        <v>333.00091572040611</v>
      </c>
      <c r="CE21" s="59">
        <f t="shared" si="40"/>
        <v>267.06874181561398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1">
        <f t="shared" si="32"/>
        <v>4.7246463812124082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67">
        <f t="shared" si="1"/>
        <v>325.82490244727825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6.791666666666667</v>
      </c>
      <c r="N22" s="13">
        <f>IF('Données projet'!$A$36&gt;35,N21+M22-V21,IF(A22&lt;'Données projet'!$A$36,$K$205^A22,IF(A22='Données projet'!$A$36,'Données projet'!$B$36,N21+M22-V21)))</f>
        <v>56.404686121063364</v>
      </c>
      <c r="O22" s="13">
        <f>N22*VLOOKUP('Données projet'!$B$9,Paramètres!$A$1:$I$89,3,0)*VLOOKUP('Données projet'!$B$9,Paramètres!$A$1:$I$89,5,0)</f>
        <v>33.730002300395896</v>
      </c>
      <c r="P22" s="13">
        <f t="shared" si="33"/>
        <v>10.320656650805208</v>
      </c>
      <c r="Q22" s="20">
        <f t="shared" si="2"/>
        <v>76.721564340008584</v>
      </c>
      <c r="R22" s="59">
        <f t="shared" si="0"/>
        <v>370.05489767334188</v>
      </c>
      <c r="S22" s="59">
        <f ca="1">AVERAGE(OFFSET($R$3,0,0,'Données projet'!$E$9+1,1))-AVERAGE(OFFSET($H$3,0,0,'Données projet'!$E$9+1,1))</f>
        <v>125.14227069357082</v>
      </c>
      <c r="T22" s="59">
        <f t="shared" si="34"/>
        <v>193.39407925063165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5.9</v>
      </c>
      <c r="AI22" s="13">
        <f>IF('Données projet'!$A$62&gt;35,AI21+AH22-AQ21,IF(A22&lt;'Données projet'!$A$62,$AF$205^A22,IF(A22='Données projet'!$A$62,'Données projet'!$B$62,AI21+AH22-AQ21)))</f>
        <v>44.492000705773073</v>
      </c>
      <c r="AJ22" s="13">
        <f>AI22*VLOOKUP('Données projet'!$B$10,Paramètres!$A$1:$I$89,3,0)*VLOOKUP('Données projet'!$B$10,Paramètres!$A$1:$I$89,5,0)</f>
        <v>20.822256330301801</v>
      </c>
      <c r="AK22" s="13">
        <f t="shared" si="35"/>
        <v>6.73912045160818</v>
      </c>
      <c r="AL22" s="20">
        <f t="shared" si="4"/>
        <v>48.002731228493211</v>
      </c>
      <c r="AM22" s="59">
        <f t="shared" si="5"/>
        <v>341.3360645618265</v>
      </c>
      <c r="AN22" s="59">
        <f ca="1">AVERAGE(OFFSET($AM$3,0,0,'Données projet'!$E$10+1,1))-AVERAGE(OFFSET($H$3,0,0,'Données projet'!$E$10+1,1))</f>
        <v>74.573470247551825</v>
      </c>
      <c r="AO22" s="59">
        <f t="shared" si="36"/>
        <v>122.43655207772224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2.2571428571428571</v>
      </c>
      <c r="BD22" s="12">
        <f>IF('Données projet'!$A$88&gt;35,BD21+BC22-BL21,IF(A22&lt;'Données projet'!$A$88,$BA$205^A22,IF(A22='Données projet'!$A$88,'Données projet'!$B$88,BD21+BC22-BL21)))</f>
        <v>10.718658169510514</v>
      </c>
      <c r="BE22" s="13">
        <f>BD22*VLOOKUP('Données projet'!$B$11,Paramètres!$A$1:$I$89,3,0)*VLOOKUP('Données projet'!$B$11,Paramètres!$A$1:$I$89,5,0)</f>
        <v>10.868719383883661</v>
      </c>
      <c r="BF22" s="13">
        <f t="shared" si="37"/>
        <v>3.7941917718897642</v>
      </c>
      <c r="BG22" s="20">
        <f t="shared" si="7"/>
        <v>25.53790359630538</v>
      </c>
      <c r="BH22" s="59">
        <f t="shared" si="8"/>
        <v>318.87123692963871</v>
      </c>
      <c r="BI22" s="59">
        <f ca="1">AVERAGE(OFFSET($BH$3,0,0,'Données projet'!$E$11+1,1))-AVERAGE(OFFSET($H$3,0,0,'Données projet'!$E$11+1,1))</f>
        <v>183.74583738362492</v>
      </c>
      <c r="BJ22" s="59">
        <f t="shared" si="38"/>
        <v>46.344307013926596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7.35</v>
      </c>
      <c r="BY22" s="12">
        <f>IF('Données projet'!$A$114&gt;35,BY21+BX22-CG21,IF(A22&lt;'Données projet'!$A$114,$BV$205^A22,IF(A22='Données projet'!$A$114,'Données projet'!$B$114,BY21+BX22-CG21)))</f>
        <v>114.53849386320441</v>
      </c>
      <c r="BZ22" s="13">
        <f>BY22*VLOOKUP('Données projet'!$B$12,Paramètres!$A$1:$I$89,3,0)*VLOOKUP('Données projet'!$B$12,Paramètres!$A$1:$I$89,5,0)</f>
        <v>50.62601428753635</v>
      </c>
      <c r="CA22" s="13">
        <f t="shared" si="39"/>
        <v>14.775313321926065</v>
      </c>
      <c r="CB22" s="20">
        <f t="shared" si="10"/>
        <v>113.90731225314703</v>
      </c>
      <c r="CC22" s="59">
        <f t="shared" si="11"/>
        <v>407.24064558648035</v>
      </c>
      <c r="CD22" s="59">
        <f ca="1">AVERAGE(OFFSET($CC$3,0,0,'Données projet'!$E$12+1,1))-AVERAGE(OFFSET($H$3,0,0,'Données projet'!$E$12+1,1))</f>
        <v>333.00091572040611</v>
      </c>
      <c r="CE22" s="59">
        <f t="shared" si="40"/>
        <v>267.06874181561398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1">
        <f t="shared" si="32"/>
        <v>4.9437070912888705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67">
        <f t="shared" si="1"/>
        <v>327.48342318399477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6.791666666666667</v>
      </c>
      <c r="N23" s="13">
        <f>IF('Données projet'!$A$36&gt;35,N22+M23-V22,IF(A23&lt;'Données projet'!$A$36,$K$205^A23,IF(A23='Données projet'!$A$36,'Données projet'!$B$36,N22+M23-V22)))</f>
        <v>69.741240877991402</v>
      </c>
      <c r="O23" s="13">
        <f>N23*VLOOKUP('Données projet'!$B$9,Paramètres!$A$1:$I$89,3,0)*VLOOKUP('Données projet'!$B$9,Paramètres!$A$1:$I$89,5,0)</f>
        <v>41.705262045038864</v>
      </c>
      <c r="P23" s="13">
        <f t="shared" si="33"/>
        <v>12.449522767017259</v>
      </c>
      <c r="Q23" s="20">
        <f t="shared" si="2"/>
        <v>94.319583547664408</v>
      </c>
      <c r="R23" s="59">
        <f t="shared" si="0"/>
        <v>387.65291688099774</v>
      </c>
      <c r="S23" s="59">
        <f ca="1">AVERAGE(OFFSET($R$3,0,0,'Données projet'!$E$9+1,1))-AVERAGE(OFFSET($H$3,0,0,'Données projet'!$E$9+1,1))</f>
        <v>125.14227069357082</v>
      </c>
      <c r="T23" s="59">
        <f t="shared" si="34"/>
        <v>193.39407925063165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5.9</v>
      </c>
      <c r="AI23" s="13">
        <f>IF('Données projet'!$A$62&gt;35,AI22+AH23-AQ22,IF(A23&lt;'Données projet'!$A$62,$AF$205^A23,IF(A23='Données projet'!$A$62,'Données projet'!$B$62,AI22+AH23-AQ22)))</f>
        <v>54.329238302024642</v>
      </c>
      <c r="AJ23" s="13">
        <f>AI23*VLOOKUP('Données projet'!$B$10,Paramètres!$A$1:$I$89,3,0)*VLOOKUP('Données projet'!$B$10,Paramètres!$A$1:$I$89,5,0)</f>
        <v>25.426083525347533</v>
      </c>
      <c r="AK23" s="13">
        <f t="shared" si="35"/>
        <v>8.0400176837471324</v>
      </c>
      <c r="AL23" s="20">
        <f t="shared" si="4"/>
        <v>58.28679293917321</v>
      </c>
      <c r="AM23" s="59">
        <f t="shared" si="5"/>
        <v>351.62012627250652</v>
      </c>
      <c r="AN23" s="59">
        <f ca="1">AVERAGE(OFFSET($AM$3,0,0,'Données projet'!$E$10+1,1))-AVERAGE(OFFSET($H$3,0,0,'Données projet'!$E$10+1,1))</f>
        <v>74.573470247551825</v>
      </c>
      <c r="AO23" s="59">
        <f t="shared" si="36"/>
        <v>122.43655207772224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2.2571428571428571</v>
      </c>
      <c r="BD23" s="12">
        <f>IF('Données projet'!$A$88&gt;35,BD22+BC23-BL22,IF(A23&lt;'Données projet'!$A$88,$BA$205^A23,IF(A23='Données projet'!$A$88,'Données projet'!$B$88,BD22+BC23-BL22)))</f>
        <v>12.143904349540204</v>
      </c>
      <c r="BE23" s="13">
        <f>BD23*VLOOKUP('Données projet'!$B$11,Paramètres!$A$1:$I$89,3,0)*VLOOKUP('Données projet'!$B$11,Paramètres!$A$1:$I$89,5,0)</f>
        <v>12.313919010433768</v>
      </c>
      <c r="BF23" s="13">
        <f t="shared" si="37"/>
        <v>4.2366855277905735</v>
      </c>
      <c r="BG23" s="20">
        <f t="shared" si="7"/>
        <v>28.825636237407394</v>
      </c>
      <c r="BH23" s="59">
        <f t="shared" si="8"/>
        <v>322.15896957074074</v>
      </c>
      <c r="BI23" s="59">
        <f ca="1">AVERAGE(OFFSET($BH$3,0,0,'Données projet'!$E$11+1,1))-AVERAGE(OFFSET($H$3,0,0,'Données projet'!$E$11+1,1))</f>
        <v>183.74583738362492</v>
      </c>
      <c r="BJ23" s="59">
        <f t="shared" si="38"/>
        <v>46.344307013926596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147</v>
      </c>
      <c r="BW23" s="12">
        <f>VLOOKUP(A23,'Données projet'!$A$113:$I$133,9,0)</f>
        <v>7.35</v>
      </c>
      <c r="BX23" s="12">
        <f t="array" ref="BX23">INDEX(BW:BW,MIN(IF(ISNUMBER(BW23:BW219),ROW(BW23:BW219),"")))</f>
        <v>7.35</v>
      </c>
      <c r="BY23" s="12">
        <f>IF('Données projet'!$A$114&gt;35,BY22+BX23-CG22,IF(A23&lt;'Données projet'!$A$114,$BV$205^A23,IF(A23='Données projet'!$A$114,'Données projet'!$B$114,BY22+BX23-CG22)))</f>
        <v>147</v>
      </c>
      <c r="BZ23" s="13">
        <f>BY23*VLOOKUP('Données projet'!$B$12,Paramètres!$A$1:$I$89,3,0)*VLOOKUP('Données projet'!$B$12,Paramètres!$A$1:$I$89,5,0)</f>
        <v>64.974000000000004</v>
      </c>
      <c r="CA23" s="13">
        <f t="shared" si="39"/>
        <v>18.419964083720068</v>
      </c>
      <c r="CB23" s="20">
        <f t="shared" si="10"/>
        <v>145.24448744581247</v>
      </c>
      <c r="CC23" s="59">
        <f t="shared" si="11"/>
        <v>438.57782077914578</v>
      </c>
      <c r="CD23" s="59">
        <f ca="1">AVERAGE(OFFSET($CC$3,0,0,'Données projet'!$E$12+1,1))-AVERAGE(OFFSET($H$3,0,0,'Données projet'!$E$12+1,1))</f>
        <v>333.00091572040611</v>
      </c>
      <c r="CE23" s="59">
        <f t="shared" si="40"/>
        <v>267.06874181561398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45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0.33</v>
      </c>
      <c r="CJ23" s="16">
        <f>IF(ISNA(VLOOKUP(A23,'Données projet'!$A$113:$I$133,7,0)),0%,VLOOKUP(A23,'Données projet'!$A$113:$I$133,7,0))</f>
        <v>0.4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8.6728876657918583</v>
      </c>
      <c r="CM23" s="21">
        <f>EXP(-LN(2)/2)*CM22+(1-EXP(-LN(2)/2))/(LN(2)/2)*CG23*CJ23*VLOOKUP('Données projet'!$B$12,Paramètres!$A$1:$I$89,3,0)*0.475*44/12</f>
        <v>9.0080401591205632</v>
      </c>
      <c r="CN23" s="22">
        <f t="shared" si="12"/>
        <v>17.680927824912423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1">
        <f t="shared" si="32"/>
        <v>5.1614960114392687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67">
        <f t="shared" si="1"/>
        <v>329.13972888659004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6.791666666666667</v>
      </c>
      <c r="N24" s="13">
        <f>IF('Données projet'!$A$36&gt;35,N23+M24-V23,IF(A24&lt;'Données projet'!$A$36,$K$205^A24,IF(A24='Données projet'!$A$36,'Données projet'!$B$36,N23+M24-V23)))</f>
        <v>86.231145205960132</v>
      </c>
      <c r="O24" s="13">
        <f>N24*VLOOKUP('Données projet'!$B$9,Paramètres!$A$1:$I$89,3,0)*VLOOKUP('Données projet'!$B$9,Paramètres!$A$1:$I$89,5,0)</f>
        <v>51.566224833164163</v>
      </c>
      <c r="P24" s="13">
        <f t="shared" si="33"/>
        <v>15.017515103013222</v>
      </c>
      <c r="Q24" s="20">
        <f t="shared" si="2"/>
        <v>115.96668038884228</v>
      </c>
      <c r="R24" s="59">
        <f t="shared" si="0"/>
        <v>409.30001372217561</v>
      </c>
      <c r="S24" s="59">
        <f ca="1">AVERAGE(OFFSET($R$3,0,0,'Données projet'!$E$9+1,1))-AVERAGE(OFFSET($H$3,0,0,'Données projet'!$E$9+1,1))</f>
        <v>125.14227069357082</v>
      </c>
      <c r="T24" s="59">
        <f t="shared" si="34"/>
        <v>193.39407925063165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5.9</v>
      </c>
      <c r="AI24" s="13">
        <f>IF('Données projet'!$A$62&gt;35,AI23+AH24-AQ23,IF(A24&lt;'Données projet'!$A$62,$AF$205^A24,IF(A24='Données projet'!$A$62,'Données projet'!$B$62,AI23+AH24-AQ23)))</f>
        <v>66.341501565587905</v>
      </c>
      <c r="AJ24" s="13">
        <f>AI24*VLOOKUP('Données projet'!$B$10,Paramètres!$A$1:$I$89,3,0)*VLOOKUP('Données projet'!$B$10,Paramètres!$A$1:$I$89,5,0)</f>
        <v>31.047822732695138</v>
      </c>
      <c r="AK24" s="13">
        <f t="shared" si="35"/>
        <v>9.5920357588416412</v>
      </c>
      <c r="AL24" s="20">
        <f t="shared" si="4"/>
        <v>70.781086872759886</v>
      </c>
      <c r="AM24" s="59">
        <f t="shared" si="5"/>
        <v>364.1144202060932</v>
      </c>
      <c r="AN24" s="59">
        <f ca="1">AVERAGE(OFFSET($AM$3,0,0,'Données projet'!$E$10+1,1))-AVERAGE(OFFSET($H$3,0,0,'Données projet'!$E$10+1,1))</f>
        <v>74.573470247551825</v>
      </c>
      <c r="AO24" s="59">
        <f t="shared" si="36"/>
        <v>122.43655207772224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2.2571428571428571</v>
      </c>
      <c r="BD24" s="12">
        <f>IF('Données projet'!$A$88&gt;35,BD23+BC24-BL23,IF(A24&lt;'Données projet'!$A$88,$BA$205^A24,IF(A24='Données projet'!$A$88,'Données projet'!$B$88,BD23+BC24-BL23)))</f>
        <v>13.758663679589679</v>
      </c>
      <c r="BE24" s="13">
        <f>BD24*VLOOKUP('Données projet'!$B$11,Paramètres!$A$1:$I$89,3,0)*VLOOKUP('Données projet'!$B$11,Paramètres!$A$1:$I$89,5,0)</f>
        <v>13.951284971103936</v>
      </c>
      <c r="BF24" s="13">
        <f t="shared" si="37"/>
        <v>4.730784667863543</v>
      </c>
      <c r="BG24" s="20">
        <f t="shared" si="7"/>
        <v>32.537937954535032</v>
      </c>
      <c r="BH24" s="59">
        <f t="shared" si="8"/>
        <v>325.87127128786835</v>
      </c>
      <c r="BI24" s="59">
        <f ca="1">AVERAGE(OFFSET($BH$3,0,0,'Données projet'!$E$11+1,1))-AVERAGE(OFFSET($H$3,0,0,'Données projet'!$E$11+1,1))</f>
        <v>183.74583738362492</v>
      </c>
      <c r="BJ24" s="59">
        <f t="shared" si="38"/>
        <v>46.344307013926596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28</v>
      </c>
      <c r="BY24" s="12">
        <f>IF('Données projet'!$A$114&gt;35,BY23+BX24-CG23,IF(A24&lt;'Données projet'!$A$114,$BV$205^A24,IF(A24='Données projet'!$A$114,'Données projet'!$B$114,BY23+BX24-CG23)))</f>
        <v>130</v>
      </c>
      <c r="BZ24" s="13">
        <f>BY24*VLOOKUP('Données projet'!$B$12,Paramètres!$A$1:$I$89,3,0)*VLOOKUP('Données projet'!$B$12,Paramètres!$A$1:$I$89,5,0)</f>
        <v>57.460000000000008</v>
      </c>
      <c r="CA24" s="13">
        <f t="shared" si="39"/>
        <v>16.524469588732789</v>
      </c>
      <c r="CB24" s="20">
        <f t="shared" si="10"/>
        <v>128.85628453370961</v>
      </c>
      <c r="CC24" s="59">
        <f t="shared" si="11"/>
        <v>422.1896178670429</v>
      </c>
      <c r="CD24" s="59">
        <f ca="1">AVERAGE(OFFSET($CC$3,0,0,'Données projet'!$E$12+1,1))-AVERAGE(OFFSET($H$3,0,0,'Données projet'!$E$12+1,1))</f>
        <v>333.00091572040611</v>
      </c>
      <c r="CE24" s="59">
        <f t="shared" si="40"/>
        <v>267.06874181561398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8.4357270964834399</v>
      </c>
      <c r="CM24" s="21">
        <f>EXP(-LN(2)/2)*CM23+(1-EXP(-LN(2)/2))/(LN(2)/2)*CG24*CJ24*VLOOKUP('Données projet'!$B$12,Paramètres!$A$1:$I$89,3,0)*0.475*44/12</f>
        <v>6.3696462817148971</v>
      </c>
      <c r="CN24" s="22">
        <f t="shared" si="12"/>
        <v>14.805373378198336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1">
        <f t="shared" si="32"/>
        <v>5.3780806175732732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67">
        <f t="shared" si="1"/>
        <v>330.79393707560678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6.791666666666667</v>
      </c>
      <c r="N25" s="13">
        <f>IF('Données projet'!$A$36&gt;35,N24+M25-V24,IF(A25&lt;'Données projet'!$A$36,$K$205^A25,IF(A25='Données projet'!$A$36,'Données projet'!$B$36,N24+M25-V24)))</f>
        <v>106.61998997895574</v>
      </c>
      <c r="O25" s="13">
        <f>N25*VLOOKUP('Données projet'!$B$9,Paramètres!$A$1:$I$89,3,0)*VLOOKUP('Données projet'!$B$9,Paramètres!$A$1:$I$89,5,0)</f>
        <v>63.758754007415533</v>
      </c>
      <c r="P25" s="13">
        <f t="shared" si="33"/>
        <v>18.115213256745843</v>
      </c>
      <c r="Q25" s="20">
        <f t="shared" si="2"/>
        <v>142.59715965174772</v>
      </c>
      <c r="R25" s="59">
        <f t="shared" si="0"/>
        <v>435.93049298508106</v>
      </c>
      <c r="S25" s="59">
        <f ca="1">AVERAGE(OFFSET($R$3,0,0,'Données projet'!$E$9+1,1))-AVERAGE(OFFSET($H$3,0,0,'Données projet'!$E$9+1,1))</f>
        <v>125.14227069357082</v>
      </c>
      <c r="T25" s="59">
        <f t="shared" si="34"/>
        <v>193.39407925063165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5.9</v>
      </c>
      <c r="AI25" s="13">
        <f>IF('Données projet'!$A$62&gt;35,AI24+AH25-AQ24,IF(A25&lt;'Données projet'!$A$62,$AF$205^A25,IF(A25='Données projet'!$A$62,'Données projet'!$B$62,AI24+AH25-AQ24)))</f>
        <v>81.009691420851098</v>
      </c>
      <c r="AJ25" s="13">
        <f>AI25*VLOOKUP('Données projet'!$B$10,Paramètres!$A$1:$I$89,3,0)*VLOOKUP('Données projet'!$B$10,Paramètres!$A$1:$I$89,5,0)</f>
        <v>37.912535584958313</v>
      </c>
      <c r="AK25" s="13">
        <f t="shared" si="35"/>
        <v>11.443650203019928</v>
      </c>
      <c r="AL25" s="20">
        <f t="shared" si="4"/>
        <v>85.962023580728768</v>
      </c>
      <c r="AM25" s="59">
        <f t="shared" si="5"/>
        <v>379.2953569140621</v>
      </c>
      <c r="AN25" s="59">
        <f ca="1">AVERAGE(OFFSET($AM$3,0,0,'Données projet'!$E$10+1,1))-AVERAGE(OFFSET($H$3,0,0,'Données projet'!$E$10+1,1))</f>
        <v>74.573470247551825</v>
      </c>
      <c r="AO25" s="59">
        <f t="shared" si="36"/>
        <v>122.43655207772224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2.2571428571428571</v>
      </c>
      <c r="BD25" s="12">
        <f>IF('Données projet'!$A$88&gt;35,BD24+BC25-BL24,IF(A25&lt;'Données projet'!$A$88,$BA$205^A25,IF(A25='Données projet'!$A$88,'Données projet'!$B$88,BD24+BC25-BL24)))</f>
        <v>15.588135479280812</v>
      </c>
      <c r="BE25" s="13">
        <f>BD25*VLOOKUP('Données projet'!$B$11,Paramètres!$A$1:$I$89,3,0)*VLOOKUP('Données projet'!$B$11,Paramètres!$A$1:$I$89,5,0)</f>
        <v>15.806369375990743</v>
      </c>
      <c r="BF25" s="13">
        <f t="shared" si="37"/>
        <v>5.2825076175441481</v>
      </c>
      <c r="BG25" s="20">
        <f t="shared" si="7"/>
        <v>36.729794097073267</v>
      </c>
      <c r="BH25" s="59">
        <f t="shared" si="8"/>
        <v>330.06312743040655</v>
      </c>
      <c r="BI25" s="59">
        <f ca="1">AVERAGE(OFFSET($BH$3,0,0,'Données projet'!$E$11+1,1))-AVERAGE(OFFSET($H$3,0,0,'Données projet'!$E$11+1,1))</f>
        <v>183.74583738362492</v>
      </c>
      <c r="BJ25" s="59">
        <f t="shared" si="38"/>
        <v>46.344307013926596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28</v>
      </c>
      <c r="BY25" s="12">
        <f>IF('Données projet'!$A$114&gt;35,BY24+BX25-CG24,IF(A25&lt;'Données projet'!$A$114,$BV$205^A25,IF(A25='Données projet'!$A$114,'Données projet'!$B$114,BY24+BX25-CG24)))</f>
        <v>158</v>
      </c>
      <c r="BZ25" s="13">
        <f>BY25*VLOOKUP('Données projet'!$B$12,Paramètres!$A$1:$I$89,3,0)*VLOOKUP('Données projet'!$B$12,Paramètres!$A$1:$I$89,5,0)</f>
        <v>69.836000000000013</v>
      </c>
      <c r="CA25" s="13">
        <f t="shared" si="39"/>
        <v>19.632725033146617</v>
      </c>
      <c r="CB25" s="20">
        <f t="shared" si="10"/>
        <v>155.82469609939704</v>
      </c>
      <c r="CC25" s="59">
        <f t="shared" si="11"/>
        <v>449.15802943273036</v>
      </c>
      <c r="CD25" s="59">
        <f ca="1">AVERAGE(OFFSET($CC$3,0,0,'Données projet'!$E$12+1,1))-AVERAGE(OFFSET($H$3,0,0,'Données projet'!$E$12+1,1))</f>
        <v>333.00091572040611</v>
      </c>
      <c r="CE25" s="59">
        <f t="shared" si="40"/>
        <v>267.06874181561398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8.2050516954144932</v>
      </c>
      <c r="CM25" s="21">
        <f>EXP(-LN(2)/2)*CM24+(1-EXP(-LN(2)/2))/(LN(2)/2)*CG25*CJ25*VLOOKUP('Données projet'!$B$12,Paramètres!$A$1:$I$89,3,0)*0.475*44/12</f>
        <v>4.5040200795602825</v>
      </c>
      <c r="CN25" s="22">
        <f t="shared" si="12"/>
        <v>12.709071774974776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1">
        <f t="shared" si="32"/>
        <v>5.5935219046849918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67">
        <f t="shared" si="1"/>
        <v>332.44615398399299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6.791666666666667</v>
      </c>
      <c r="N26" s="13">
        <f>IF('Données projet'!$A$36&gt;35,N25+M26-V25,IF(A26&lt;'Données projet'!$A$36,$K$205^A26,IF(A26='Données projet'!$A$36,'Données projet'!$B$36,N25+M26-V25)))</f>
        <v>131.82965662767171</v>
      </c>
      <c r="O26" s="13">
        <f>N26*VLOOKUP('Données projet'!$B$9,Paramètres!$A$1:$I$89,3,0)*VLOOKUP('Données projet'!$B$9,Paramètres!$A$1:$I$89,5,0)</f>
        <v>78.834134663347683</v>
      </c>
      <c r="P26" s="13">
        <f t="shared" si="33"/>
        <v>21.851880892833975</v>
      </c>
      <c r="Q26" s="20">
        <f t="shared" si="2"/>
        <v>175.36147709368302</v>
      </c>
      <c r="R26" s="59">
        <f t="shared" si="0"/>
        <v>468.69481042701636</v>
      </c>
      <c r="S26" s="59">
        <f ca="1">AVERAGE(OFFSET($R$3,0,0,'Données projet'!$E$9+1,1))-AVERAGE(OFFSET($H$3,0,0,'Données projet'!$E$9+1,1))</f>
        <v>125.14227069357082</v>
      </c>
      <c r="T26" s="59">
        <f t="shared" si="34"/>
        <v>193.39407925063165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5.9</v>
      </c>
      <c r="AI26" s="13">
        <f>IF('Données projet'!$A$62&gt;35,AI25+AH26-AQ25,IF(A26&lt;'Données projet'!$A$62,$AF$205^A26,IF(A26='Données projet'!$A$62,'Données projet'!$B$62,AI25+AH26-AQ25)))</f>
        <v>98.921036594468617</v>
      </c>
      <c r="AJ26" s="13">
        <f>AI26*VLOOKUP('Données projet'!$B$10,Paramètres!$A$1:$I$89,3,0)*VLOOKUP('Données projet'!$B$10,Paramètres!$A$1:$I$89,5,0)</f>
        <v>46.295045126211321</v>
      </c>
      <c r="AK26" s="13">
        <f t="shared" si="35"/>
        <v>13.652694095553789</v>
      </c>
      <c r="AL26" s="20">
        <f t="shared" si="4"/>
        <v>104.40897914457423</v>
      </c>
      <c r="AM26" s="59">
        <f t="shared" si="5"/>
        <v>397.74231247790755</v>
      </c>
      <c r="AN26" s="59">
        <f ca="1">AVERAGE(OFFSET($AM$3,0,0,'Données projet'!$E$10+1,1))-AVERAGE(OFFSET($H$3,0,0,'Données projet'!$E$10+1,1))</f>
        <v>74.573470247551825</v>
      </c>
      <c r="AO26" s="59">
        <f t="shared" si="36"/>
        <v>122.43655207772224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2.2571428571428571</v>
      </c>
      <c r="BD26" s="12">
        <f>IF('Données projet'!$A$88&gt;35,BD25+BC26-BL25,IF(A26&lt;'Données projet'!$A$88,$BA$205^A26,IF(A26='Données projet'!$A$88,'Données projet'!$B$88,BD25+BC26-BL25)))</f>
        <v>17.660869789329706</v>
      </c>
      <c r="BE26" s="13">
        <f>BD26*VLOOKUP('Données projet'!$B$11,Paramètres!$A$1:$I$89,3,0)*VLOOKUP('Données projet'!$B$11,Paramètres!$A$1:$I$89,5,0)</f>
        <v>17.908121966380321</v>
      </c>
      <c r="BF26" s="13">
        <f t="shared" si="37"/>
        <v>5.8985746950122788</v>
      </c>
      <c r="BG26" s="20">
        <f t="shared" si="7"/>
        <v>41.46333001859211</v>
      </c>
      <c r="BH26" s="59">
        <f t="shared" si="8"/>
        <v>334.79666335192542</v>
      </c>
      <c r="BI26" s="59">
        <f ca="1">AVERAGE(OFFSET($BH$3,0,0,'Données projet'!$E$11+1,1))-AVERAGE(OFFSET($H$3,0,0,'Données projet'!$E$11+1,1))</f>
        <v>183.74583738362492</v>
      </c>
      <c r="BJ26" s="59">
        <f t="shared" si="38"/>
        <v>46.344307013926596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28</v>
      </c>
      <c r="BY26" s="12">
        <f>IF('Données projet'!$A$114&gt;35,BY25+BX26-CG25,IF(A26&lt;'Données projet'!$A$114,$BV$205^A26,IF(A26='Données projet'!$A$114,'Données projet'!$B$114,BY25+BX26-CG25)))</f>
        <v>186</v>
      </c>
      <c r="BZ26" s="13">
        <f>BY26*VLOOKUP('Données projet'!$B$12,Paramètres!$A$1:$I$89,3,0)*VLOOKUP('Données projet'!$B$12,Paramètres!$A$1:$I$89,5,0)</f>
        <v>82.212000000000003</v>
      </c>
      <c r="CA26" s="13">
        <f t="shared" si="39"/>
        <v>22.677168109987953</v>
      </c>
      <c r="CB26" s="20">
        <f t="shared" si="10"/>
        <v>182.68196779156236</v>
      </c>
      <c r="CC26" s="59">
        <f t="shared" si="11"/>
        <v>476.0153011248957</v>
      </c>
      <c r="CD26" s="59">
        <f ca="1">AVERAGE(OFFSET($CC$3,0,0,'Données projet'!$E$12+1,1))-AVERAGE(OFFSET($H$3,0,0,'Données projet'!$E$12+1,1))</f>
        <v>333.00091572040611</v>
      </c>
      <c r="CE26" s="59">
        <f t="shared" si="40"/>
        <v>267.06874181561398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7.9806841253184677</v>
      </c>
      <c r="CM26" s="21">
        <f>EXP(-LN(2)/2)*CM25+(1-EXP(-LN(2)/2))/(LN(2)/2)*CG26*CJ26*VLOOKUP('Données projet'!$B$12,Paramètres!$A$1:$I$89,3,0)*0.475*44/12</f>
        <v>3.1848231408574494</v>
      </c>
      <c r="CN26" s="22">
        <f t="shared" si="12"/>
        <v>11.165507266175917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1">
        <f t="shared" si="32"/>
        <v>5.8078752639195086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67">
        <f t="shared" si="1"/>
        <v>334.0964760846598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163</v>
      </c>
      <c r="L27" s="12">
        <f>VLOOKUP(A27,'Données projet'!$A$35:$I$55,9,0)</f>
        <v>6.791666666666667</v>
      </c>
      <c r="M27" s="12">
        <f t="array" ref="M27">INDEX(L:L,MIN(IF(ISNUMBER(L27:L223),ROW(L27:L223),"")))</f>
        <v>6.791666666666667</v>
      </c>
      <c r="N27" s="13">
        <f>IF('Données projet'!$A$36&gt;35,N26+M27-V26,IF(A27&lt;'Données projet'!$A$36,$K$205^A27,IF(A27='Données projet'!$A$36,'Données projet'!$B$36,N26+M27-V26)))</f>
        <v>163</v>
      </c>
      <c r="O27" s="13">
        <f>N27*VLOOKUP('Données projet'!$B$9,Paramètres!$A$1:$I$89,3,0)*VLOOKUP('Données projet'!$B$9,Paramètres!$A$1:$I$89,5,0)</f>
        <v>97.474000000000004</v>
      </c>
      <c r="P27" s="13">
        <f t="shared" si="33"/>
        <v>26.359319748929014</v>
      </c>
      <c r="Q27" s="20">
        <f t="shared" si="2"/>
        <v>215.67636522938469</v>
      </c>
      <c r="R27" s="59">
        <f t="shared" si="0"/>
        <v>509.00969856271797</v>
      </c>
      <c r="S27" s="59">
        <f ca="1">AVERAGE(OFFSET($R$3,0,0,'Données projet'!$E$9+1,1))-AVERAGE(OFFSET($H$3,0,0,'Données projet'!$E$9+1,1))</f>
        <v>125.14227069357082</v>
      </c>
      <c r="T27" s="59">
        <f t="shared" si="34"/>
        <v>193.39407925063165</v>
      </c>
      <c r="U27" s="15">
        <f>IF(ISNA(VLOOKUP(A27,'Données projet'!$A$35:$I$55,3,0)),0,VLOOKUP(A27,'Données projet'!$A$35:$I$55,3,0))</f>
        <v>1</v>
      </c>
      <c r="V27" s="15">
        <f>IF(ISNA(VLOOKUP(A27,'Données projet'!$A$35:$I$55,4,0)),0,VLOOKUP(A27,'Données projet'!$A$35:$I$55,4,0))</f>
        <v>59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0.18000000000000002</v>
      </c>
      <c r="Y27" s="16">
        <f>IF(ISNA(VLOOKUP(A27,'Données projet'!$A$35:$I$55,7,0)),0%,VLOOKUP(A27,'Données projet'!$A$35:$I$55,7,0))</f>
        <v>0.6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8.3915212566699111</v>
      </c>
      <c r="AB27" s="21">
        <f>EXP(-LN(2)/2)*AB26+(1-EXP(-LN(2)/2))/(LN(2)/2)*V27*Y27*VLOOKUP('Données projet'!$B$9,Paramètres!$A$1:$I$89,3,0)*0.475*44/12</f>
        <v>23.968451952797263</v>
      </c>
      <c r="AC27" s="22">
        <f t="shared" si="3"/>
        <v>32.359973209467171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5.9</v>
      </c>
      <c r="AI27" s="13">
        <f>IF('Données projet'!$A$62&gt;35,AI26+AH27-AQ26,IF(A27&lt;'Données projet'!$A$62,$AF$205^A27,IF(A27='Données projet'!$A$62,'Données projet'!$B$62,AI26+AH27-AQ26)))</f>
        <v>120.79260282684572</v>
      </c>
      <c r="AJ27" s="13">
        <f>AI27*VLOOKUP('Données projet'!$B$10,Paramètres!$A$1:$I$89,3,0)*VLOOKUP('Données projet'!$B$10,Paramètres!$A$1:$I$89,5,0)</f>
        <v>56.530938122963796</v>
      </c>
      <c r="AK27" s="13">
        <f t="shared" si="35"/>
        <v>16.288164419564325</v>
      </c>
      <c r="AL27" s="20">
        <f t="shared" si="4"/>
        <v>126.82660359490315</v>
      </c>
      <c r="AM27" s="59">
        <f t="shared" si="5"/>
        <v>420.15993692823645</v>
      </c>
      <c r="AN27" s="59">
        <f ca="1">AVERAGE(OFFSET($AM$3,0,0,'Données projet'!$E$10+1,1))-AVERAGE(OFFSET($H$3,0,0,'Données projet'!$E$10+1,1))</f>
        <v>74.573470247551825</v>
      </c>
      <c r="AO27" s="59">
        <f t="shared" si="36"/>
        <v>122.43655207772224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2.2571428571428571</v>
      </c>
      <c r="BD27" s="12">
        <f>IF('Données projet'!$A$88&gt;35,BD26+BC27-BL26,IF(A27&lt;'Données projet'!$A$88,$BA$205^A27,IF(A27='Données projet'!$A$88,'Données projet'!$B$88,BD26+BC27-BL26)))</f>
        <v>20.009212912617624</v>
      </c>
      <c r="BE27" s="13">
        <f>BD27*VLOOKUP('Données projet'!$B$11,Paramètres!$A$1:$I$89,3,0)*VLOOKUP('Données projet'!$B$11,Paramètres!$A$1:$I$89,5,0)</f>
        <v>20.289341893394273</v>
      </c>
      <c r="BF27" s="13">
        <f t="shared" si="37"/>
        <v>6.5864899687195582</v>
      </c>
      <c r="BG27" s="20">
        <f t="shared" si="7"/>
        <v>46.808740493181581</v>
      </c>
      <c r="BH27" s="59">
        <f t="shared" si="8"/>
        <v>340.14207382651489</v>
      </c>
      <c r="BI27" s="59">
        <f ca="1">AVERAGE(OFFSET($BH$3,0,0,'Données projet'!$E$11+1,1))-AVERAGE(OFFSET($H$3,0,0,'Données projet'!$E$11+1,1))</f>
        <v>183.74583738362492</v>
      </c>
      <c r="BJ27" s="59">
        <f t="shared" si="38"/>
        <v>46.344307013926596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28</v>
      </c>
      <c r="BY27" s="12">
        <f>IF('Données projet'!$A$114&gt;35,BY26+BX27-CG26,IF(A27&lt;'Données projet'!$A$114,$BV$205^A27,IF(A27='Données projet'!$A$114,'Données projet'!$B$114,BY26+BX27-CG26)))</f>
        <v>214</v>
      </c>
      <c r="BZ27" s="13">
        <f>BY27*VLOOKUP('Données projet'!$B$12,Paramètres!$A$1:$I$89,3,0)*VLOOKUP('Données projet'!$B$12,Paramètres!$A$1:$I$89,5,0)</f>
        <v>94.588000000000008</v>
      </c>
      <c r="CA27" s="13">
        <f t="shared" si="39"/>
        <v>25.668517838649635</v>
      </c>
      <c r="CB27" s="20">
        <f t="shared" si="10"/>
        <v>209.44676856898141</v>
      </c>
      <c r="CC27" s="59">
        <f t="shared" si="11"/>
        <v>502.78010190231475</v>
      </c>
      <c r="CD27" s="59">
        <f ca="1">AVERAGE(OFFSET($CC$3,0,0,'Données projet'!$E$12+1,1))-AVERAGE(OFFSET($H$3,0,0,'Données projet'!$E$12+1,1))</f>
        <v>333.00091572040611</v>
      </c>
      <c r="CE27" s="59">
        <f t="shared" si="40"/>
        <v>267.06874181561398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7.762451898225696</v>
      </c>
      <c r="CM27" s="21">
        <f>EXP(-LN(2)/2)*CM26+(1-EXP(-LN(2)/2))/(LN(2)/2)*CG27*CJ27*VLOOKUP('Données projet'!$B$12,Paramètres!$A$1:$I$89,3,0)*0.475*44/12</f>
        <v>2.2520100397801417</v>
      </c>
      <c r="CN27" s="22">
        <f t="shared" si="12"/>
        <v>10.014461938005837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1">
        <f t="shared" si="32"/>
        <v>6.0211912093426747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67">
        <f t="shared" si="1"/>
        <v>335.74499135627178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13.5</v>
      </c>
      <c r="N28" s="13">
        <f>IF('Données projet'!$A$36&gt;35,N27+M28-V27,IF(A28&lt;'Données projet'!$A$36,$K$205^A28,IF(A28='Données projet'!$A$36,'Données projet'!$B$36,N27+M28-V27)))</f>
        <v>117.5</v>
      </c>
      <c r="O28" s="13">
        <f>N28*VLOOKUP('Données projet'!$B$9,Paramètres!$A$1:$I$89,3,0)*VLOOKUP('Données projet'!$B$9,Paramètres!$A$1:$I$89,5,0)</f>
        <v>70.265000000000015</v>
      </c>
      <c r="P28" s="13">
        <f t="shared" si="33"/>
        <v>19.739251931971257</v>
      </c>
      <c r="Q28" s="20">
        <f t="shared" si="2"/>
        <v>156.75740544818328</v>
      </c>
      <c r="R28" s="59">
        <f t="shared" si="0"/>
        <v>450.09073878151662</v>
      </c>
      <c r="S28" s="59">
        <f ca="1">AVERAGE(OFFSET($R$3,0,0,'Données projet'!$E$9+1,1))-AVERAGE(OFFSET($H$3,0,0,'Données projet'!$E$9+1,1))</f>
        <v>125.14227069357082</v>
      </c>
      <c r="T28" s="59">
        <f t="shared" si="34"/>
        <v>193.39407925063165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8.1620546666153491</v>
      </c>
      <c r="AB28" s="21">
        <f>EXP(-LN(2)/2)*AB27+(1-EXP(-LN(2)/2))/(LN(2)/2)*V28*Y28*VLOOKUP('Données projet'!$B$9,Paramètres!$A$1:$I$89,3,0)*0.475*44/12</f>
        <v>16.948254910366892</v>
      </c>
      <c r="AC28" s="22">
        <f t="shared" si="3"/>
        <v>25.110309576982239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147.5</v>
      </c>
      <c r="AG28" s="12">
        <f>VLOOKUP(A28,'Données projet'!$A$61:$I$81,9,0)</f>
        <v>5.9</v>
      </c>
      <c r="AH28" s="12">
        <f t="array" ref="AH28">INDEX(AG:AG,MIN(IF(ISNUMBER(AG28:AG224),ROW(AG28:AG224),"")))</f>
        <v>5.9</v>
      </c>
      <c r="AI28" s="13">
        <f>IF('Données projet'!$A$62&gt;35,AI27+AH28-AQ27,IF(A28&lt;'Données projet'!$A$62,$AF$205^A28,IF(A28='Données projet'!$A$62,'Données projet'!$B$62,AI27+AH28-AQ27)))</f>
        <v>147.5</v>
      </c>
      <c r="AJ28" s="13">
        <f>AI28*VLOOKUP('Données projet'!$B$10,Paramètres!$A$1:$I$89,3,0)*VLOOKUP('Données projet'!$B$10,Paramètres!$A$1:$I$89,5,0)</f>
        <v>69.03</v>
      </c>
      <c r="AK28" s="13">
        <f t="shared" si="35"/>
        <v>19.432377104615718</v>
      </c>
      <c r="AL28" s="20">
        <f t="shared" si="4"/>
        <v>154.0719734572057</v>
      </c>
      <c r="AM28" s="59">
        <f t="shared" si="5"/>
        <v>447.40530679053904</v>
      </c>
      <c r="AN28" s="59">
        <f ca="1">AVERAGE(OFFSET($AM$3,0,0,'Données projet'!$E$10+1,1))-AVERAGE(OFFSET($H$3,0,0,'Données projet'!$E$10+1,1))</f>
        <v>74.573470247551825</v>
      </c>
      <c r="AO28" s="59">
        <f t="shared" si="36"/>
        <v>122.43655207772224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14.75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0.22000000000000003</v>
      </c>
      <c r="AT28" s="16">
        <f>IF(ISNA(VLOOKUP(A28,'Données projet'!$A$61:$I$81,7,0)),0%,VLOOKUP(A28,'Données projet'!$A$61:$I$81,7,0))</f>
        <v>0.6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2.0066681265949788</v>
      </c>
      <c r="AW28" s="21">
        <f>EXP(-LN(2)/2)*AW27+(1-EXP(-LN(2)/2))/(LN(2)/2)*AQ28*AT28*VLOOKUP('Données projet'!$B$10,Paramètres!$A$1:$I$89,3,0)*0.475*44/12</f>
        <v>4.6894797298951163</v>
      </c>
      <c r="AX28" s="21">
        <f t="shared" si="6"/>
        <v>6.6961478564900947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2.2571428571428571</v>
      </c>
      <c r="BD28" s="12">
        <f>IF('Données projet'!$A$88&gt;35,BD27+BC28-BL27,IF(A28&lt;'Données projet'!$A$88,$BA$205^A28,IF(A28='Données projet'!$A$88,'Données projet'!$B$88,BD27+BC28-BL27)))</f>
        <v>22.669812198284681</v>
      </c>
      <c r="BE28" s="13">
        <f>BD28*VLOOKUP('Données projet'!$B$11,Paramètres!$A$1:$I$89,3,0)*VLOOKUP('Données projet'!$B$11,Paramètres!$A$1:$I$89,5,0)</f>
        <v>22.987189569060668</v>
      </c>
      <c r="BF28" s="13">
        <f t="shared" si="37"/>
        <v>7.3546326614675639</v>
      </c>
      <c r="BG28" s="20">
        <f t="shared" si="7"/>
        <v>52.845340384836668</v>
      </c>
      <c r="BH28" s="59">
        <f t="shared" si="8"/>
        <v>346.17867371816999</v>
      </c>
      <c r="BI28" s="59">
        <f ca="1">AVERAGE(OFFSET($BH$3,0,0,'Données projet'!$E$11+1,1))-AVERAGE(OFFSET($H$3,0,0,'Données projet'!$E$11+1,1))</f>
        <v>183.74583738362492</v>
      </c>
      <c r="BJ28" s="59">
        <f t="shared" si="38"/>
        <v>46.344307013926596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242</v>
      </c>
      <c r="BW28" s="12">
        <f>VLOOKUP(A28,'Données projet'!$A$113:$I$133,9,0)</f>
        <v>28</v>
      </c>
      <c r="BX28" s="12">
        <f t="array" ref="BX28">INDEX(BW:BW,MIN(IF(ISNUMBER(BW28:BW224),ROW(BW28:BW224),"")))</f>
        <v>28</v>
      </c>
      <c r="BY28" s="12">
        <f>IF('Données projet'!$A$114&gt;35,BY27+BX28-CG27,IF(A28&lt;'Données projet'!$A$114,$BV$205^A28,IF(A28='Données projet'!$A$114,'Données projet'!$B$114,BY27+BX28-CG27)))</f>
        <v>242</v>
      </c>
      <c r="BZ28" s="13">
        <f>BY28*VLOOKUP('Données projet'!$B$12,Paramètres!$A$1:$I$89,3,0)*VLOOKUP('Données projet'!$B$12,Paramètres!$A$1:$I$89,5,0)</f>
        <v>106.964</v>
      </c>
      <c r="CA28" s="13">
        <f t="shared" si="39"/>
        <v>28.614518306762253</v>
      </c>
      <c r="CB28" s="20">
        <f t="shared" si="10"/>
        <v>236.13258605094427</v>
      </c>
      <c r="CC28" s="59">
        <f t="shared" si="11"/>
        <v>529.46591938427764</v>
      </c>
      <c r="CD28" s="59">
        <f ca="1">AVERAGE(OFFSET($CC$3,0,0,'Données projet'!$E$12+1,1))-AVERAGE(OFFSET($H$3,0,0,'Données projet'!$E$12+1,1))</f>
        <v>333.00091572040611</v>
      </c>
      <c r="CE28" s="59">
        <f t="shared" si="40"/>
        <v>267.06874181561398</v>
      </c>
      <c r="CF28" s="15">
        <f>IF(ISNA(VLOOKUP(A28,'Données projet'!$A$113:$I$133,3,0)),0,VLOOKUP(A28,'Données projet'!$A$113:$I$133,3,0))</f>
        <v>2</v>
      </c>
      <c r="CG28" s="15">
        <f>IF(ISNA(VLOOKUP(A28,'Données projet'!$A$113:$I$133,4,0)),0,VLOOKUP(A28,'Données projet'!$A$113:$I$133,4,0))</f>
        <v>70</v>
      </c>
      <c r="CH28" s="16">
        <f>IF(ISNA(VLOOKUP(A28,'Données projet'!$A$113:$I$133,5,0)),0%,VLOOKUP(A28,'Données projet'!$A$113:$I$133,5,0)*VLOOKUP('Données projet'!$B$12,Paramètres!$A$1:$I$89,7,0))</f>
        <v>0.16500000000000001</v>
      </c>
      <c r="CI28" s="16">
        <f>IF(ISNA(VLOOKUP(A28,'Données projet'!$A$113:$I$133,6,0)),0%,VLOOKUP(A28,'Données projet'!$A$113:$I$133,6,0)*VLOOKUP('Données projet'!$B$12,Paramètres!$A$1:$I$89,7,0))</f>
        <v>0.23100000000000001</v>
      </c>
      <c r="CJ28" s="16">
        <f>IF(ISNA(VLOOKUP(A28,'Données projet'!$A$113:$I$133,7,0)),0%,VLOOKUP(A28,'Données projet'!$A$113:$I$133,7,0))</f>
        <v>0.28000000000000003</v>
      </c>
      <c r="CK28" s="21">
        <f>EXP(-LN(2)/35)*CK27+(1-EXP(-LN(2)/35))/(LN(2)/35)*CG28*CH28*VLOOKUP('Données projet'!$B$12,Paramètres!$A$1:$I$89,3,0)*0.475*44/12</f>
        <v>6.7722442014643969</v>
      </c>
      <c r="CL28" s="21">
        <f>EXP(-LN(2)/25)*CL27+(1-EXP(-LN(2)/25))/(LN(2)/25)*Calculateur!CG28*Calculateur!CI28*VLOOKUP('Données projet'!$B$12,Paramètres!$A$1:$I$89,3,0)*0.475*44/12</f>
        <v>16.993998256721358</v>
      </c>
      <c r="CM28" s="21">
        <f>EXP(-LN(2)/2)*CM27+(1-EXP(-LN(2)/2))/(LN(2)/2)*CG28*CJ28*VLOOKUP('Données projet'!$B$12,Paramètres!$A$1:$I$89,3,0)*0.475*44/12</f>
        <v>11.401166410360005</v>
      </c>
      <c r="CN28" s="22">
        <f t="shared" si="12"/>
        <v>35.167408868545763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1">
        <f t="shared" si="32"/>
        <v>6.2335159851544919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67">
        <f t="shared" si="1"/>
        <v>337.39178034081073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13.5</v>
      </c>
      <c r="N29" s="13">
        <f>IF('Données projet'!$A$36&gt;35,N28+M29-V28,IF(A29&lt;'Données projet'!$A$36,$K$205^A29,IF(A29='Données projet'!$A$36,'Données projet'!$B$36,N28+M29-V28)))</f>
        <v>131</v>
      </c>
      <c r="O29" s="13">
        <f>N29*VLOOKUP('Données projet'!$B$9,Paramètres!$A$1:$I$89,3,0)*VLOOKUP('Données projet'!$B$9,Paramètres!$A$1:$I$89,5,0)</f>
        <v>78.338000000000008</v>
      </c>
      <c r="P29" s="13">
        <f t="shared" si="33"/>
        <v>21.730321306378922</v>
      </c>
      <c r="Q29" s="20">
        <f t="shared" si="2"/>
        <v>174.28565960860999</v>
      </c>
      <c r="R29" s="59">
        <f t="shared" si="0"/>
        <v>467.6189929419433</v>
      </c>
      <c r="S29" s="59">
        <f ca="1">AVERAGE(OFFSET($R$3,0,0,'Données projet'!$E$9+1,1))-AVERAGE(OFFSET($H$3,0,0,'Données projet'!$E$9+1,1))</f>
        <v>125.14227069357082</v>
      </c>
      <c r="T29" s="59">
        <f t="shared" si="34"/>
        <v>193.39407925063165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7.9388628525329521</v>
      </c>
      <c r="AB29" s="21">
        <f>EXP(-LN(2)/2)*AB28+(1-EXP(-LN(2)/2))/(LN(2)/2)*V29*Y29*VLOOKUP('Données projet'!$B$9,Paramètres!$A$1:$I$89,3,0)*0.475*44/12</f>
        <v>11.984225976398632</v>
      </c>
      <c r="AC29" s="22">
        <f t="shared" si="3"/>
        <v>19.923088828931583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6.6875</v>
      </c>
      <c r="AI29" s="13">
        <f>IF('Données projet'!$A$62&gt;35,AI28+AH29-AQ28,IF(A29&lt;'Données projet'!$A$62,$AF$205^A29,IF(A29='Données projet'!$A$62,'Données projet'!$B$62,AI28+AH29-AQ28)))</f>
        <v>139.4375</v>
      </c>
      <c r="AJ29" s="13">
        <f>AI29*VLOOKUP('Données projet'!$B$10,Paramètres!$A$1:$I$89,3,0)*VLOOKUP('Données projet'!$B$10,Paramètres!$A$1:$I$89,5,0)</f>
        <v>65.256749999999997</v>
      </c>
      <c r="AK29" s="13">
        <f t="shared" si="35"/>
        <v>18.490774584413995</v>
      </c>
      <c r="AL29" s="20">
        <f t="shared" si="4"/>
        <v>145.86027198452103</v>
      </c>
      <c r="AM29" s="59">
        <f t="shared" si="5"/>
        <v>439.19360531785435</v>
      </c>
      <c r="AN29" s="59">
        <f ca="1">AVERAGE(OFFSET($AM$3,0,0,'Données projet'!$E$10+1,1))-AVERAGE(OFFSET($H$3,0,0,'Données projet'!$E$10+1,1))</f>
        <v>74.573470247551825</v>
      </c>
      <c r="AO29" s="59">
        <f t="shared" si="36"/>
        <v>122.43655207772224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1.9517956811471486</v>
      </c>
      <c r="AW29" s="21">
        <f>EXP(-LN(2)/2)*AW28+(1-EXP(-LN(2)/2))/(LN(2)/2)*AQ29*AT29*VLOOKUP('Données projet'!$B$10,Paramètres!$A$1:$I$89,3,0)*0.475*44/12</f>
        <v>3.3159629172456961</v>
      </c>
      <c r="AX29" s="21">
        <f t="shared" si="6"/>
        <v>5.2677585983928452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2.2571428571428571</v>
      </c>
      <c r="BD29" s="12">
        <f>IF('Données projet'!$A$88&gt;35,BD28+BC29-BL28,IF(A29&lt;'Données projet'!$A$88,$BA$205^A29,IF(A29='Données projet'!$A$88,'Données projet'!$B$88,BD28+BC29-BL28)))</f>
        <v>25.684187946314651</v>
      </c>
      <c r="BE29" s="13">
        <f>BD29*VLOOKUP('Données projet'!$B$11,Paramètres!$A$1:$I$89,3,0)*VLOOKUP('Données projet'!$B$11,Paramètres!$A$1:$I$89,5,0)</f>
        <v>26.043766577563055</v>
      </c>
      <c r="BF29" s="13">
        <f t="shared" si="37"/>
        <v>8.2123592143936577</v>
      </c>
      <c r="BG29" s="20">
        <f t="shared" si="7"/>
        <v>59.662752420991275</v>
      </c>
      <c r="BH29" s="59">
        <f t="shared" si="8"/>
        <v>352.99608575432461</v>
      </c>
      <c r="BI29" s="59">
        <f ca="1">AVERAGE(OFFSET($BH$3,0,0,'Données projet'!$E$11+1,1))-AVERAGE(OFFSET($H$3,0,0,'Données projet'!$E$11+1,1))</f>
        <v>183.74583738362492</v>
      </c>
      <c r="BJ29" s="59">
        <f t="shared" si="38"/>
        <v>46.344307013926596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31.2</v>
      </c>
      <c r="BY29" s="12">
        <f>IF('Données projet'!$A$114&gt;35,BY28+BX29-CG28,IF(A29&lt;'Données projet'!$A$114,$BV$205^A29,IF(A29='Données projet'!$A$114,'Données projet'!$B$114,BY28+BX29-CG28)))</f>
        <v>203.2</v>
      </c>
      <c r="BZ29" s="13">
        <f>BY29*VLOOKUP('Données projet'!$B$12,Paramètres!$A$1:$I$89,3,0)*VLOOKUP('Données projet'!$B$12,Paramètres!$A$1:$I$89,5,0)</f>
        <v>89.81440000000002</v>
      </c>
      <c r="CA29" s="13">
        <f t="shared" si="39"/>
        <v>24.52045736659548</v>
      </c>
      <c r="CB29" s="20">
        <f t="shared" si="10"/>
        <v>199.13320991348715</v>
      </c>
      <c r="CC29" s="59">
        <f t="shared" si="11"/>
        <v>492.46654324682049</v>
      </c>
      <c r="CD29" s="59">
        <f ca="1">AVERAGE(OFFSET($CC$3,0,0,'Données projet'!$E$12+1,1))-AVERAGE(OFFSET($H$3,0,0,'Données projet'!$E$12+1,1))</f>
        <v>333.00091572040611</v>
      </c>
      <c r="CE29" s="59">
        <f t="shared" si="40"/>
        <v>267.06874181561398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6.6394446233347741</v>
      </c>
      <c r="CL29" s="21">
        <f>EXP(-LN(2)/25)*CL28+(1-EXP(-LN(2)/25))/(LN(2)/25)*Calculateur!CG29*Calculateur!CI29*VLOOKUP('Données projet'!$B$12,Paramètres!$A$1:$I$89,3,0)*0.475*44/12</f>
        <v>16.529296480715786</v>
      </c>
      <c r="CM29" s="21">
        <f>EXP(-LN(2)/2)*CM28+(1-EXP(-LN(2)/2))/(LN(2)/2)*CG29*CJ29*VLOOKUP('Données projet'!$B$12,Paramètres!$A$1:$I$89,3,0)*0.475*44/12</f>
        <v>8.0618420822018493</v>
      </c>
      <c r="CN29" s="22">
        <f t="shared" si="12"/>
        <v>31.23058318625241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1">
        <f t="shared" si="32"/>
        <v>6.4448920768574434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67">
        <f t="shared" si="1"/>
        <v>339.03691703386005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13.5</v>
      </c>
      <c r="N30" s="13">
        <f>IF('Données projet'!$A$36&gt;35,N29+M30-V29,IF(A30&lt;'Données projet'!$A$36,$K$205^A30,IF(A30='Données projet'!$A$36,'Données projet'!$B$36,N29+M30-V29)))</f>
        <v>144.5</v>
      </c>
      <c r="O30" s="13">
        <f>N30*VLOOKUP('Données projet'!$B$9,Paramètres!$A$1:$I$89,3,0)*VLOOKUP('Données projet'!$B$9,Paramètres!$A$1:$I$89,5,0)</f>
        <v>86.411000000000001</v>
      </c>
      <c r="P30" s="13">
        <f t="shared" si="33"/>
        <v>23.697605245819052</v>
      </c>
      <c r="Q30" s="20">
        <f t="shared" si="2"/>
        <v>191.77248746980149</v>
      </c>
      <c r="R30" s="59">
        <f t="shared" si="0"/>
        <v>485.1058208031348</v>
      </c>
      <c r="S30" s="59">
        <f ca="1">AVERAGE(OFFSET($R$3,0,0,'Données projet'!$E$9+1,1))-AVERAGE(OFFSET($H$3,0,0,'Données projet'!$E$9+1,1))</f>
        <v>125.14227069357082</v>
      </c>
      <c r="T30" s="59">
        <f t="shared" si="34"/>
        <v>193.39407925063165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7.7217742303437857</v>
      </c>
      <c r="AB30" s="21">
        <f>EXP(-LN(2)/2)*AB29+(1-EXP(-LN(2)/2))/(LN(2)/2)*V30*Y30*VLOOKUP('Données projet'!$B$9,Paramètres!$A$1:$I$89,3,0)*0.475*44/12</f>
        <v>8.4741274551834458</v>
      </c>
      <c r="AC30" s="22">
        <f t="shared" si="3"/>
        <v>16.195901685527232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6.6875</v>
      </c>
      <c r="AI30" s="13">
        <f>IF('Données projet'!$A$62&gt;35,AI29+AH30-AQ29,IF(A30&lt;'Données projet'!$A$62,$AF$205^A30,IF(A30='Données projet'!$A$62,'Données projet'!$B$62,AI29+AH30-AQ29)))</f>
        <v>146.125</v>
      </c>
      <c r="AJ30" s="13">
        <f>AI30*VLOOKUP('Données projet'!$B$10,Paramètres!$A$1:$I$89,3,0)*VLOOKUP('Données projet'!$B$10,Paramètres!$A$1:$I$89,5,0)</f>
        <v>68.386499999999998</v>
      </c>
      <c r="AK30" s="13">
        <f t="shared" si="35"/>
        <v>19.272226458509472</v>
      </c>
      <c r="AL30" s="20">
        <f t="shared" si="4"/>
        <v>152.67228191523733</v>
      </c>
      <c r="AM30" s="59">
        <f t="shared" si="5"/>
        <v>446.00561524857062</v>
      </c>
      <c r="AN30" s="59">
        <f ca="1">AVERAGE(OFFSET($AM$3,0,0,'Données projet'!$E$10+1,1))-AVERAGE(OFFSET($H$3,0,0,'Données projet'!$E$10+1,1))</f>
        <v>74.573470247551825</v>
      </c>
      <c r="AO30" s="59">
        <f t="shared" si="36"/>
        <v>122.43655207772224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1.8984237256057059</v>
      </c>
      <c r="AW30" s="21">
        <f>EXP(-LN(2)/2)*AW29+(1-EXP(-LN(2)/2))/(LN(2)/2)*AQ30*AT30*VLOOKUP('Données projet'!$B$10,Paramètres!$A$1:$I$89,3,0)*0.475*44/12</f>
        <v>2.3447398649475586</v>
      </c>
      <c r="AX30" s="21">
        <f t="shared" si="6"/>
        <v>4.2431635905532641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2.2571428571428571</v>
      </c>
      <c r="BD30" s="12">
        <f>IF('Données projet'!$A$88&gt;35,BD29+BC30-BL29,IF(A30&lt;'Données projet'!$A$88,$BA$205^A30,IF(A30='Données projet'!$A$88,'Données projet'!$B$88,BD29+BC30-BL29)))</f>
        <v>29.099381357536316</v>
      </c>
      <c r="BE30" s="13">
        <f>BD30*VLOOKUP('Données projet'!$B$11,Paramètres!$A$1:$I$89,3,0)*VLOOKUP('Données projet'!$B$11,Paramètres!$A$1:$I$89,5,0)</f>
        <v>29.506772696541827</v>
      </c>
      <c r="BF30" s="13">
        <f t="shared" si="37"/>
        <v>9.1701172540653708</v>
      </c>
      <c r="BG30" s="20">
        <f t="shared" si="7"/>
        <v>67.362249997307529</v>
      </c>
      <c r="BH30" s="59">
        <f t="shared" si="8"/>
        <v>360.69558333064083</v>
      </c>
      <c r="BI30" s="59">
        <f ca="1">AVERAGE(OFFSET($BH$3,0,0,'Données projet'!$E$11+1,1))-AVERAGE(OFFSET($H$3,0,0,'Données projet'!$E$11+1,1))</f>
        <v>183.74583738362492</v>
      </c>
      <c r="BJ30" s="59">
        <f t="shared" si="38"/>
        <v>46.344307013926596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31.2</v>
      </c>
      <c r="BY30" s="12">
        <f>IF('Données projet'!$A$114&gt;35,BY29+BX30-CG29,IF(A30&lt;'Données projet'!$A$114,$BV$205^A30,IF(A30='Données projet'!$A$114,'Données projet'!$B$114,BY29+BX30-CG29)))</f>
        <v>234.39999999999998</v>
      </c>
      <c r="BZ30" s="13">
        <f>BY30*VLOOKUP('Données projet'!$B$12,Paramètres!$A$1:$I$89,3,0)*VLOOKUP('Données projet'!$B$12,Paramètres!$A$1:$I$89,5,0)</f>
        <v>103.6048</v>
      </c>
      <c r="CA30" s="13">
        <f t="shared" si="39"/>
        <v>27.819013414193847</v>
      </c>
      <c r="CB30" s="20">
        <f t="shared" si="10"/>
        <v>228.8964750297209</v>
      </c>
      <c r="CC30" s="59">
        <f t="shared" si="11"/>
        <v>522.22980836305419</v>
      </c>
      <c r="CD30" s="59">
        <f ca="1">AVERAGE(OFFSET($CC$3,0,0,'Données projet'!$E$12+1,1))-AVERAGE(OFFSET($H$3,0,0,'Données projet'!$E$12+1,1))</f>
        <v>333.00091572040611</v>
      </c>
      <c r="CE30" s="59">
        <f t="shared" si="40"/>
        <v>267.06874181561398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6.5092491639325285</v>
      </c>
      <c r="CL30" s="21">
        <f>EXP(-LN(2)/25)*CL29+(1-EXP(-LN(2)/25))/(LN(2)/25)*Calculateur!CG30*Calculateur!CI30*VLOOKUP('Données projet'!$B$12,Paramètres!$A$1:$I$89,3,0)*0.475*44/12</f>
        <v>16.07730199921269</v>
      </c>
      <c r="CM30" s="21">
        <f>EXP(-LN(2)/2)*CM29+(1-EXP(-LN(2)/2))/(LN(2)/2)*CG30*CJ30*VLOOKUP('Données projet'!$B$12,Paramètres!$A$1:$I$89,3,0)*0.475*44/12</f>
        <v>5.7005832051800045</v>
      </c>
      <c r="CN30" s="22">
        <f t="shared" si="12"/>
        <v>28.287134368325219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1">
        <f t="shared" si="32"/>
        <v>6.6553586445673751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67">
        <f t="shared" si="1"/>
        <v>340.68046963928816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13.5</v>
      </c>
      <c r="N31" s="13">
        <f>IF('Données projet'!$A$36&gt;35,N30+M31-V30,IF(A31&lt;'Données projet'!$A$36,$K$205^A31,IF(A31='Données projet'!$A$36,'Données projet'!$B$36,N30+M31-V30)))</f>
        <v>158</v>
      </c>
      <c r="O31" s="13">
        <f>N31*VLOOKUP('Données projet'!$B$9,Paramètres!$A$1:$I$89,3,0)*VLOOKUP('Données projet'!$B$9,Paramètres!$A$1:$I$89,5,0)</f>
        <v>94.484000000000009</v>
      </c>
      <c r="P31" s="13">
        <f t="shared" si="33"/>
        <v>25.643578691511802</v>
      </c>
      <c r="Q31" s="20">
        <f t="shared" si="2"/>
        <v>209.22219955438308</v>
      </c>
      <c r="R31" s="59">
        <f t="shared" si="0"/>
        <v>502.55553288771637</v>
      </c>
      <c r="S31" s="59">
        <f ca="1">AVERAGE(OFFSET($R$3,0,0,'Données projet'!$E$9+1,1))-AVERAGE(OFFSET($H$3,0,0,'Données projet'!$E$9+1,1))</f>
        <v>125.14227069357082</v>
      </c>
      <c r="T31" s="59">
        <f t="shared" si="34"/>
        <v>193.39407925063165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7.5106219079445768</v>
      </c>
      <c r="AB31" s="21">
        <f>EXP(-LN(2)/2)*AB30+(1-EXP(-LN(2)/2))/(LN(2)/2)*V31*Y31*VLOOKUP('Données projet'!$B$9,Paramètres!$A$1:$I$89,3,0)*0.475*44/12</f>
        <v>5.9921129881993158</v>
      </c>
      <c r="AC31" s="22">
        <f t="shared" si="3"/>
        <v>13.502734896143892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6.6875</v>
      </c>
      <c r="AI31" s="13">
        <f>IF('Données projet'!$A$62&gt;35,AI30+AH31-AQ30,IF(A31&lt;'Données projet'!$A$62,$AF$205^A31,IF(A31='Données projet'!$A$62,'Données projet'!$B$62,AI30+AH31-AQ30)))</f>
        <v>152.8125</v>
      </c>
      <c r="AJ31" s="13">
        <f>AI31*VLOOKUP('Données projet'!$B$10,Paramètres!$A$1:$I$89,3,0)*VLOOKUP('Données projet'!$B$10,Paramètres!$A$1:$I$89,5,0)</f>
        <v>71.516249999999999</v>
      </c>
      <c r="AK31" s="13">
        <f t="shared" si="35"/>
        <v>20.049524984382089</v>
      </c>
      <c r="AL31" s="20">
        <f t="shared" si="4"/>
        <v>159.47705809779879</v>
      </c>
      <c r="AM31" s="59">
        <f t="shared" si="5"/>
        <v>452.81039143113208</v>
      </c>
      <c r="AN31" s="59">
        <f ca="1">AVERAGE(OFFSET($AM$3,0,0,'Données projet'!$E$10+1,1))-AVERAGE(OFFSET($H$3,0,0,'Données projet'!$E$10+1,1))</f>
        <v>74.573470247551825</v>
      </c>
      <c r="AO31" s="59">
        <f t="shared" si="36"/>
        <v>122.43655207772224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1.846511228995253</v>
      </c>
      <c r="AW31" s="21">
        <f>EXP(-LN(2)/2)*AW30+(1-EXP(-LN(2)/2))/(LN(2)/2)*AQ31*AT31*VLOOKUP('Données projet'!$B$10,Paramètres!$A$1:$I$89,3,0)*0.475*44/12</f>
        <v>1.6579814586228485</v>
      </c>
      <c r="AX31" s="21">
        <f t="shared" si="6"/>
        <v>3.5044926876181015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2.2571428571428571</v>
      </c>
      <c r="BD31" s="12">
        <f>IF('Données projet'!$A$88&gt;35,BD30+BC31-BL30,IF(A31&lt;'Données projet'!$A$88,$BA$205^A31,IF(A31='Données projet'!$A$88,'Données projet'!$B$88,BD30+BC31-BL30)))</f>
        <v>32.96868864070251</v>
      </c>
      <c r="BE31" s="13">
        <f>BD31*VLOOKUP('Données projet'!$B$11,Paramètres!$A$1:$I$89,3,0)*VLOOKUP('Données projet'!$B$11,Paramètres!$A$1:$I$89,5,0)</f>
        <v>33.430250281672343</v>
      </c>
      <c r="BF31" s="13">
        <f t="shared" si="37"/>
        <v>10.239572850871223</v>
      </c>
      <c r="BG31" s="20">
        <f t="shared" si="7"/>
        <v>76.05827528918006</v>
      </c>
      <c r="BH31" s="59">
        <f t="shared" si="8"/>
        <v>369.39160862251339</v>
      </c>
      <c r="BI31" s="59">
        <f ca="1">AVERAGE(OFFSET($BH$3,0,0,'Données projet'!$E$11+1,1))-AVERAGE(OFFSET($H$3,0,0,'Données projet'!$E$11+1,1))</f>
        <v>183.74583738362492</v>
      </c>
      <c r="BJ31" s="59">
        <f t="shared" si="38"/>
        <v>46.344307013926596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31.2</v>
      </c>
      <c r="BY31" s="12">
        <f>IF('Données projet'!$A$114&gt;35,BY30+BX31-CG30,IF(A31&lt;'Données projet'!$A$114,$BV$205^A31,IF(A31='Données projet'!$A$114,'Données projet'!$B$114,BY30+BX31-CG30)))</f>
        <v>265.59999999999997</v>
      </c>
      <c r="BZ31" s="13">
        <f>BY31*VLOOKUP('Données projet'!$B$12,Paramètres!$A$1:$I$89,3,0)*VLOOKUP('Données projet'!$B$12,Paramètres!$A$1:$I$89,5,0)</f>
        <v>117.39519999999999</v>
      </c>
      <c r="CA31" s="13">
        <f t="shared" si="39"/>
        <v>31.066698692227963</v>
      </c>
      <c r="CB31" s="20">
        <f t="shared" si="10"/>
        <v>258.57114022229695</v>
      </c>
      <c r="CC31" s="59">
        <f t="shared" si="11"/>
        <v>551.90447355563026</v>
      </c>
      <c r="CD31" s="59">
        <f ca="1">AVERAGE(OFFSET($CC$3,0,0,'Données projet'!$E$12+1,1))-AVERAGE(OFFSET($H$3,0,0,'Données projet'!$E$12+1,1))</f>
        <v>333.00091572040611</v>
      </c>
      <c r="CE31" s="59">
        <f t="shared" si="40"/>
        <v>267.06874181561398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6.3816067580777718</v>
      </c>
      <c r="CL31" s="21">
        <f>EXP(-LN(2)/25)*CL30+(1-EXP(-LN(2)/25))/(LN(2)/25)*Calculateur!CG31*Calculateur!CI31*VLOOKUP('Données projet'!$B$12,Paramètres!$A$1:$I$89,3,0)*0.475*44/12</f>
        <v>15.637667330575653</v>
      </c>
      <c r="CM31" s="21">
        <f>EXP(-LN(2)/2)*CM30+(1-EXP(-LN(2)/2))/(LN(2)/2)*CG31*CJ31*VLOOKUP('Données projet'!$B$12,Paramètres!$A$1:$I$89,3,0)*0.475*44/12</f>
        <v>4.0309210411009255</v>
      </c>
      <c r="CN31" s="22">
        <f t="shared" si="12"/>
        <v>26.05019512975435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1">
        <f t="shared" si="32"/>
        <v>6.864951892683286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67">
        <f t="shared" si="1"/>
        <v>342.32250121309005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13.5</v>
      </c>
      <c r="N32" s="13">
        <f>IF('Données projet'!$A$36&gt;35,N31+M32-V31,IF(A32&lt;'Données projet'!$A$36,$K$205^A32,IF(A32='Données projet'!$A$36,'Données projet'!$B$36,N31+M32-V31)))</f>
        <v>171.5</v>
      </c>
      <c r="O32" s="13">
        <f>N32*VLOOKUP('Données projet'!$B$9,Paramètres!$A$1:$I$89,3,0)*VLOOKUP('Données projet'!$B$9,Paramètres!$A$1:$I$89,5,0)</f>
        <v>102.557</v>
      </c>
      <c r="P32" s="13">
        <f t="shared" si="33"/>
        <v>27.570269498605164</v>
      </c>
      <c r="Q32" s="20">
        <f t="shared" si="2"/>
        <v>226.63832771007063</v>
      </c>
      <c r="R32" s="59">
        <f t="shared" si="0"/>
        <v>519.97166104340397</v>
      </c>
      <c r="S32" s="59">
        <f ca="1">AVERAGE(OFFSET($R$3,0,0,'Données projet'!$E$9+1,1))-AVERAGE(OFFSET($H$3,0,0,'Données projet'!$E$9+1,1))</f>
        <v>125.14227069357082</v>
      </c>
      <c r="T32" s="59">
        <f t="shared" si="34"/>
        <v>193.39407925063165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7.305243556905392</v>
      </c>
      <c r="AB32" s="21">
        <f>EXP(-LN(2)/2)*AB31+(1-EXP(-LN(2)/2))/(LN(2)/2)*V32*Y32*VLOOKUP('Données projet'!$B$9,Paramètres!$A$1:$I$89,3,0)*0.475*44/12</f>
        <v>4.2370637275917229</v>
      </c>
      <c r="AC32" s="22">
        <f t="shared" si="3"/>
        <v>11.542307284497115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6.6875</v>
      </c>
      <c r="AI32" s="13">
        <f>IF('Données projet'!$A$62&gt;35,AI31+AH32-AQ31,IF(A32&lt;'Données projet'!$A$62,$AF$205^A32,IF(A32='Données projet'!$A$62,'Données projet'!$B$62,AI31+AH32-AQ31)))</f>
        <v>159.5</v>
      </c>
      <c r="AJ32" s="13">
        <f>AI32*VLOOKUP('Données projet'!$B$10,Paramètres!$A$1:$I$89,3,0)*VLOOKUP('Données projet'!$B$10,Paramètres!$A$1:$I$89,5,0)</f>
        <v>74.646000000000001</v>
      </c>
      <c r="AK32" s="13">
        <f t="shared" si="35"/>
        <v>20.822872697241607</v>
      </c>
      <c r="AL32" s="20">
        <f t="shared" si="4"/>
        <v>166.2749532810291</v>
      </c>
      <c r="AM32" s="59">
        <f t="shared" si="5"/>
        <v>459.60828661436244</v>
      </c>
      <c r="AN32" s="59">
        <f ca="1">AVERAGE(OFFSET($AM$3,0,0,'Données projet'!$E$10+1,1))-AVERAGE(OFFSET($H$3,0,0,'Données projet'!$E$10+1,1))</f>
        <v>74.573470247551825</v>
      </c>
      <c r="AO32" s="59">
        <f t="shared" si="36"/>
        <v>122.43655207772224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1.7960182823345725</v>
      </c>
      <c r="AW32" s="21">
        <f>EXP(-LN(2)/2)*AW31+(1-EXP(-LN(2)/2))/(LN(2)/2)*AQ32*AT32*VLOOKUP('Données projet'!$B$10,Paramètres!$A$1:$I$89,3,0)*0.475*44/12</f>
        <v>1.1723699324737795</v>
      </c>
      <c r="AX32" s="21">
        <f t="shared" si="6"/>
        <v>2.968388214808352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2.2571428571428571</v>
      </c>
      <c r="BD32" s="12">
        <f>IF('Données projet'!$A$88&gt;35,BD31+BC32-BL31,IF(A32&lt;'Données projet'!$A$88,$BA$205^A32,IF(A32='Données projet'!$A$88,'Données projet'!$B$88,BD31+BC32-BL31)))</f>
        <v>37.352492732842464</v>
      </c>
      <c r="BE32" s="13">
        <f>BD32*VLOOKUP('Données projet'!$B$11,Paramètres!$A$1:$I$89,3,0)*VLOOKUP('Données projet'!$B$11,Paramètres!$A$1:$I$89,5,0)</f>
        <v>37.875427631102262</v>
      </c>
      <c r="BF32" s="13">
        <f t="shared" si="37"/>
        <v>11.433752618791926</v>
      </c>
      <c r="BG32" s="20">
        <f t="shared" si="7"/>
        <v>85.880155601899048</v>
      </c>
      <c r="BH32" s="59">
        <f t="shared" si="8"/>
        <v>379.21348893523236</v>
      </c>
      <c r="BI32" s="59">
        <f ca="1">AVERAGE(OFFSET($BH$3,0,0,'Données projet'!$E$11+1,1))-AVERAGE(OFFSET($H$3,0,0,'Données projet'!$E$11+1,1))</f>
        <v>183.74583738362492</v>
      </c>
      <c r="BJ32" s="59">
        <f t="shared" si="38"/>
        <v>46.344307013926596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31.2</v>
      </c>
      <c r="BY32" s="12">
        <f>IF('Données projet'!$A$114&gt;35,BY31+BX32-CG31,IF(A32&lt;'Données projet'!$A$114,$BV$205^A32,IF(A32='Données projet'!$A$114,'Données projet'!$B$114,BY31+BX32-CG31)))</f>
        <v>296.79999999999995</v>
      </c>
      <c r="BZ32" s="13">
        <f>BY32*VLOOKUP('Données projet'!$B$12,Paramètres!$A$1:$I$89,3,0)*VLOOKUP('Données projet'!$B$12,Paramètres!$A$1:$I$89,5,0)</f>
        <v>131.18559999999999</v>
      </c>
      <c r="CA32" s="13">
        <f t="shared" si="39"/>
        <v>34.270171761239112</v>
      </c>
      <c r="CB32" s="20">
        <f t="shared" si="10"/>
        <v>288.16880248415811</v>
      </c>
      <c r="CC32" s="59">
        <f t="shared" si="11"/>
        <v>581.50213581749142</v>
      </c>
      <c r="CD32" s="59">
        <f ca="1">AVERAGE(OFFSET($CC$3,0,0,'Données projet'!$E$12+1,1))-AVERAGE(OFFSET($H$3,0,0,'Données projet'!$E$12+1,1))</f>
        <v>333.00091572040611</v>
      </c>
      <c r="CE32" s="59">
        <f t="shared" si="40"/>
        <v>267.06874181561398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6.2564673419476469</v>
      </c>
      <c r="CL32" s="21">
        <f>EXP(-LN(2)/25)*CL31+(1-EXP(-LN(2)/25))/(LN(2)/25)*Calculateur!CG32*Calculateur!CI32*VLOOKUP('Données projet'!$B$12,Paramètres!$A$1:$I$89,3,0)*0.475*44/12</f>
        <v>15.210054495071876</v>
      </c>
      <c r="CM32" s="21">
        <f>EXP(-LN(2)/2)*CM31+(1-EXP(-LN(2)/2))/(LN(2)/2)*CG32*CJ32*VLOOKUP('Données projet'!$B$12,Paramètres!$A$1:$I$89,3,0)*0.475*44/12</f>
        <v>2.8502916025900027</v>
      </c>
      <c r="CN32" s="22">
        <f t="shared" si="12"/>
        <v>24.316813439609525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1">
        <f t="shared" si="32"/>
        <v>7.0737053871356732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67">
        <f t="shared" si="1"/>
        <v>343.96307021592793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185</v>
      </c>
      <c r="L33" s="12">
        <f>VLOOKUP(A33,'Données projet'!$A$35:$I$55,9,0)</f>
        <v>13.5</v>
      </c>
      <c r="M33" s="12">
        <f t="array" ref="M33">INDEX(L:L,MIN(IF(ISNUMBER(L33:L229),ROW(L33:L229),"")))</f>
        <v>13.5</v>
      </c>
      <c r="N33" s="13">
        <f>IF('Données projet'!$A$36&gt;35,N32+M33-V32,IF(A33&lt;'Données projet'!$A$36,$K$205^A33,IF(A33='Données projet'!$A$36,'Données projet'!$B$36,N32+M33-V32)))</f>
        <v>185</v>
      </c>
      <c r="O33" s="13">
        <f>N33*VLOOKUP('Données projet'!$B$9,Paramètres!$A$1:$I$89,3,0)*VLOOKUP('Données projet'!$B$9,Paramètres!$A$1:$I$89,5,0)</f>
        <v>110.63000000000001</v>
      </c>
      <c r="P33" s="13">
        <f t="shared" si="33"/>
        <v>29.479368114771031</v>
      </c>
      <c r="Q33" s="20">
        <f t="shared" si="2"/>
        <v>244.02381613322621</v>
      </c>
      <c r="R33" s="59">
        <f t="shared" si="0"/>
        <v>537.35714946655958</v>
      </c>
      <c r="S33" s="59">
        <f ca="1">AVERAGE(OFFSET($R$3,0,0,'Données projet'!$E$9+1,1))-AVERAGE(OFFSET($H$3,0,0,'Données projet'!$E$9+1,1))</f>
        <v>125.14227069357082</v>
      </c>
      <c r="T33" s="59">
        <f t="shared" si="34"/>
        <v>193.39407925063165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60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0.18000000000000002</v>
      </c>
      <c r="Y33" s="16">
        <f>IF(ISNA(VLOOKUP(A33,'Données projet'!$A$35:$I$55,7,0)),0%,VLOOKUP(A33,'Données projet'!$A$35:$I$55,7,0))</f>
        <v>0.6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15.639231718187524</v>
      </c>
      <c r="AB33" s="21">
        <f>EXP(-LN(2)/2)*AB32+(1-EXP(-LN(2)/2))/(LN(2)/2)*V33*Y33*VLOOKUP('Données projet'!$B$9,Paramètres!$A$1:$I$89,3,0)*0.475*44/12</f>
        <v>27.370753395249416</v>
      </c>
      <c r="AC33" s="22">
        <f t="shared" si="3"/>
        <v>43.00998511343694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6.6875</v>
      </c>
      <c r="AI33" s="13">
        <f>IF('Données projet'!$A$62&gt;35,AI32+AH33-AQ32,IF(A33&lt;'Données projet'!$A$62,$AF$205^A33,IF(A33='Données projet'!$A$62,'Données projet'!$B$62,AI32+AH33-AQ32)))</f>
        <v>166.1875</v>
      </c>
      <c r="AJ33" s="13">
        <f>AI33*VLOOKUP('Données projet'!$B$10,Paramètres!$A$1:$I$89,3,0)*VLOOKUP('Données projet'!$B$10,Paramètres!$A$1:$I$89,5,0)</f>
        <v>77.775750000000002</v>
      </c>
      <c r="AK33" s="13">
        <f t="shared" si="35"/>
        <v>21.592454187741748</v>
      </c>
      <c r="AL33" s="20">
        <f t="shared" si="4"/>
        <v>173.06628896031688</v>
      </c>
      <c r="AM33" s="59">
        <f t="shared" si="5"/>
        <v>466.39962229365017</v>
      </c>
      <c r="AN33" s="59">
        <f ca="1">AVERAGE(OFFSET($AM$3,0,0,'Données projet'!$E$10+1,1))-AVERAGE(OFFSET($H$3,0,0,'Données projet'!$E$10+1,1))</f>
        <v>74.573470247551825</v>
      </c>
      <c r="AO33" s="59">
        <f t="shared" si="36"/>
        <v>122.43655207772224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1.746906067955637</v>
      </c>
      <c r="AW33" s="21">
        <f>EXP(-LN(2)/2)*AW32+(1-EXP(-LN(2)/2))/(LN(2)/2)*AQ33*AT33*VLOOKUP('Données projet'!$B$10,Paramètres!$A$1:$I$89,3,0)*0.475*44/12</f>
        <v>0.82899072931142437</v>
      </c>
      <c r="AX33" s="21">
        <f t="shared" si="6"/>
        <v>2.5758967972670614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2.2571428571428571</v>
      </c>
      <c r="BD33" s="12">
        <f>IF('Données projet'!$A$88&gt;35,BD32+BC33-BL32,IF(A33&lt;'Données projet'!$A$88,$BA$205^A33,IF(A33='Données projet'!$A$88,'Données projet'!$B$88,BD32+BC33-BL32)))</f>
        <v>42.319205612398889</v>
      </c>
      <c r="BE33" s="13">
        <f>BD33*VLOOKUP('Données projet'!$B$11,Paramètres!$A$1:$I$89,3,0)*VLOOKUP('Données projet'!$B$11,Paramètres!$A$1:$I$89,5,0)</f>
        <v>42.911674490972473</v>
      </c>
      <c r="BF33" s="13">
        <f t="shared" si="37"/>
        <v>12.767202387412892</v>
      </c>
      <c r="BG33" s="20">
        <f t="shared" si="7"/>
        <v>96.974043896521195</v>
      </c>
      <c r="BH33" s="59">
        <f t="shared" si="8"/>
        <v>390.30737722985452</v>
      </c>
      <c r="BI33" s="59">
        <f ca="1">AVERAGE(OFFSET($BH$3,0,0,'Données projet'!$E$11+1,1))-AVERAGE(OFFSET($H$3,0,0,'Données projet'!$E$11+1,1))</f>
        <v>183.74583738362492</v>
      </c>
      <c r="BJ33" s="59">
        <f t="shared" si="38"/>
        <v>46.344307013926596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328</v>
      </c>
      <c r="BW33" s="12">
        <f>VLOOKUP(A33,'Données projet'!$A$113:$I$133,9,0)</f>
        <v>31.2</v>
      </c>
      <c r="BX33" s="12">
        <f t="array" ref="BX33">INDEX(BW:BW,MIN(IF(ISNUMBER(BW33:BW229),ROW(BW33:BW229),"")))</f>
        <v>31.2</v>
      </c>
      <c r="BY33" s="12">
        <f>IF('Données projet'!$A$114&gt;35,BY32+BX33-CG32,IF(A33&lt;'Données projet'!$A$114,$BV$205^A33,IF(A33='Données projet'!$A$114,'Données projet'!$B$114,BY32+BX33-CG32)))</f>
        <v>327.99999999999994</v>
      </c>
      <c r="BZ33" s="13">
        <f>BY33*VLOOKUP('Données projet'!$B$12,Paramètres!$A$1:$I$89,3,0)*VLOOKUP('Données projet'!$B$12,Paramètres!$A$1:$I$89,5,0)</f>
        <v>144.97599999999997</v>
      </c>
      <c r="CA33" s="13">
        <f t="shared" si="39"/>
        <v>37.434609778875767</v>
      </c>
      <c r="CB33" s="20">
        <f t="shared" si="10"/>
        <v>317.69847869820859</v>
      </c>
      <c r="CC33" s="59">
        <f t="shared" si="11"/>
        <v>611.0318120315419</v>
      </c>
      <c r="CD33" s="59">
        <f ca="1">AVERAGE(OFFSET($CC$3,0,0,'Données projet'!$E$12+1,1))-AVERAGE(OFFSET($H$3,0,0,'Données projet'!$E$12+1,1))</f>
        <v>333.00091572040611</v>
      </c>
      <c r="CE33" s="59">
        <f t="shared" si="40"/>
        <v>267.06874181561398</v>
      </c>
      <c r="CF33" s="15">
        <f>IF(ISNA(VLOOKUP(A33,'Données projet'!$A$113:$I$133,3,0)),0,VLOOKUP(A33,'Données projet'!$A$113:$I$133,3,0))</f>
        <v>3</v>
      </c>
      <c r="CG33" s="15">
        <f>IF(ISNA(VLOOKUP(A33,'Données projet'!$A$113:$I$133,4,0)),0,VLOOKUP(A33,'Données projet'!$A$113:$I$133,4,0))</f>
        <v>70</v>
      </c>
      <c r="CH33" s="16">
        <f>IF(ISNA(VLOOKUP(A33,'Données projet'!$A$113:$I$133,5,0)),0%,VLOOKUP(A33,'Données projet'!$A$113:$I$133,5,0)*VLOOKUP('Données projet'!$B$12,Paramètres!$A$1:$I$89,7,0))</f>
        <v>0.27500000000000002</v>
      </c>
      <c r="CI33" s="16">
        <f>IF(ISNA(VLOOKUP(A33,'Données projet'!$A$113:$I$133,6,0)),0%,VLOOKUP(A33,'Données projet'!$A$113:$I$133,6,0)*VLOOKUP('Données projet'!$B$12,Paramètres!$A$1:$I$89,7,0))</f>
        <v>0.16500000000000001</v>
      </c>
      <c r="CJ33" s="16">
        <f>IF(ISNA(VLOOKUP(A33,'Données projet'!$A$113:$I$133,7,0)),0%,VLOOKUP(A33,'Données projet'!$A$113:$I$133,7,0))</f>
        <v>0.2</v>
      </c>
      <c r="CK33" s="21">
        <f>EXP(-LN(2)/35)*CK32+(1-EXP(-LN(2)/35))/(LN(2)/35)*CG33*CH33*VLOOKUP('Données projet'!$B$12,Paramètres!$A$1:$I$89,3,0)*0.475*44/12</f>
        <v>17.420855502547656</v>
      </c>
      <c r="CL33" s="21">
        <f>EXP(-LN(2)/25)*CL32+(1-EXP(-LN(2)/25))/(LN(2)/25)*Calculateur!CG33*Calculateur!CI33*VLOOKUP('Données projet'!$B$12,Paramètres!$A$1:$I$89,3,0)*0.475*44/12</f>
        <v>21.539714050658024</v>
      </c>
      <c r="CM33" s="21">
        <f>EXP(-LN(2)/2)*CM32+(1-EXP(-LN(2)/2))/(LN(2)/2)*CG33*CJ33*VLOOKUP('Données projet'!$B$12,Paramètres!$A$1:$I$89,3,0)*0.475*44/12</f>
        <v>9.0217139776442341</v>
      </c>
      <c r="CN33" s="22">
        <f t="shared" si="12"/>
        <v>47.982283530849912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1">
        <f t="shared" si="32"/>
        <v>7.2816503291468493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67">
        <f t="shared" si="1"/>
        <v>345.60223098993072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9.5625</v>
      </c>
      <c r="N34" s="13">
        <f>IF('Données projet'!$A$36&gt;35,N33+M34-V33,IF(A34&lt;'Données projet'!$A$36,$K$205^A34,IF(A34='Données projet'!$A$36,'Données projet'!$B$36,N33+M34-V33)))</f>
        <v>134.5625</v>
      </c>
      <c r="O34" s="13">
        <f>N34*VLOOKUP('Données projet'!$B$9,Paramètres!$A$1:$I$89,3,0)*VLOOKUP('Données projet'!$B$9,Paramètres!$A$1:$I$89,5,0)</f>
        <v>80.468375000000009</v>
      </c>
      <c r="P34" s="13">
        <f t="shared" si="33"/>
        <v>22.251665313949925</v>
      </c>
      <c r="Q34" s="20">
        <f t="shared" si="2"/>
        <v>178.9040702134628</v>
      </c>
      <c r="R34" s="59">
        <f t="shared" si="0"/>
        <v>472.23740354679614</v>
      </c>
      <c r="S34" s="59">
        <f ca="1">AVERAGE(OFFSET($R$3,0,0,'Données projet'!$E$9+1,1))-AVERAGE(OFFSET($H$3,0,0,'Données projet'!$E$9+1,1))</f>
        <v>125.14227069357082</v>
      </c>
      <c r="T34" s="59">
        <f t="shared" si="34"/>
        <v>193.39407925063165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15.211576104422234</v>
      </c>
      <c r="AB34" s="21">
        <f>EXP(-LN(2)/2)*AB33+(1-EXP(-LN(2)/2))/(LN(2)/2)*V34*Y34*VLOOKUP('Données projet'!$B$9,Paramètres!$A$1:$I$89,3,0)*0.475*44/12</f>
        <v>19.354045331965583</v>
      </c>
      <c r="AC34" s="22">
        <f t="shared" si="3"/>
        <v>34.565621436387815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6.6875</v>
      </c>
      <c r="AI34" s="13">
        <f>IF('Données projet'!$A$62&gt;35,AI33+AH34-AQ33,IF(A34&lt;'Données projet'!$A$62,$AF$205^A34,IF(A34='Données projet'!$A$62,'Données projet'!$B$62,AI33+AH34-AQ33)))</f>
        <v>172.875</v>
      </c>
      <c r="AJ34" s="13">
        <f>AI34*VLOOKUP('Données projet'!$B$10,Paramètres!$A$1:$I$89,3,0)*VLOOKUP('Données projet'!$B$10,Paramètres!$A$1:$I$89,5,0)</f>
        <v>80.905500000000004</v>
      </c>
      <c r="AK34" s="13">
        <f t="shared" si="35"/>
        <v>22.358438349583121</v>
      </c>
      <c r="AL34" s="20">
        <f t="shared" si="4"/>
        <v>179.85135929219064</v>
      </c>
      <c r="AM34" s="59">
        <f t="shared" si="5"/>
        <v>473.18469262552395</v>
      </c>
      <c r="AN34" s="59">
        <f ca="1">AVERAGE(OFFSET($AM$3,0,0,'Données projet'!$E$10+1,1))-AVERAGE(OFFSET($H$3,0,0,'Données projet'!$E$10+1,1))</f>
        <v>74.573470247551825</v>
      </c>
      <c r="AO34" s="59">
        <f t="shared" si="36"/>
        <v>122.43655207772224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1.6991368296615925</v>
      </c>
      <c r="AW34" s="21">
        <f>EXP(-LN(2)/2)*AW33+(1-EXP(-LN(2)/2))/(LN(2)/2)*AQ34*AT34*VLOOKUP('Données projet'!$B$10,Paramètres!$A$1:$I$89,3,0)*0.475*44/12</f>
        <v>0.58618496623688987</v>
      </c>
      <c r="AX34" s="21">
        <f t="shared" si="6"/>
        <v>2.2853217958984824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2.2571428571428571</v>
      </c>
      <c r="BD34" s="12">
        <f>IF('Données projet'!$A$88&gt;35,BD33+BC34-BL33,IF(A34&lt;'Données projet'!$A$88,$BA$205^A34,IF(A34='Données projet'!$A$88,'Données projet'!$B$88,BD33+BC34-BL33)))</f>
        <v>47.946335910529946</v>
      </c>
      <c r="BE34" s="13">
        <f>BD34*VLOOKUP('Données projet'!$B$11,Paramètres!$A$1:$I$89,3,0)*VLOOKUP('Données projet'!$B$11,Paramètres!$A$1:$I$89,5,0)</f>
        <v>48.617584613277366</v>
      </c>
      <c r="BF34" s="13">
        <f t="shared" si="37"/>
        <v>14.256164378898722</v>
      </c>
      <c r="BG34" s="20">
        <f t="shared" si="7"/>
        <v>109.50511282804003</v>
      </c>
      <c r="BH34" s="59">
        <f t="shared" si="8"/>
        <v>402.83844616137333</v>
      </c>
      <c r="BI34" s="59">
        <f ca="1">AVERAGE(OFFSET($BH$3,0,0,'Données projet'!$E$11+1,1))-AVERAGE(OFFSET($H$3,0,0,'Données projet'!$E$11+1,1))</f>
        <v>183.74583738362492</v>
      </c>
      <c r="BJ34" s="59">
        <f t="shared" si="38"/>
        <v>46.344307013926596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31.4</v>
      </c>
      <c r="BY34" s="12">
        <f>IF('Données projet'!$A$114&gt;35,BY33+BX34-CG33,IF(A34&lt;'Données projet'!$A$114,$BV$205^A34,IF(A34='Données projet'!$A$114,'Données projet'!$B$114,BY33+BX34-CG33)))</f>
        <v>289.39999999999992</v>
      </c>
      <c r="BZ34" s="13">
        <f>BY34*VLOOKUP('Données projet'!$B$12,Paramètres!$A$1:$I$89,3,0)*VLOOKUP('Données projet'!$B$12,Paramètres!$A$1:$I$89,5,0)</f>
        <v>127.91479999999999</v>
      </c>
      <c r="CA34" s="13">
        <f t="shared" si="39"/>
        <v>33.514078327052218</v>
      </c>
      <c r="CB34" s="20">
        <f t="shared" si="10"/>
        <v>281.15529641961587</v>
      </c>
      <c r="CC34" s="59">
        <f t="shared" si="11"/>
        <v>574.48862975294924</v>
      </c>
      <c r="CD34" s="59">
        <f ca="1">AVERAGE(OFFSET($CC$3,0,0,'Données projet'!$E$12+1,1))-AVERAGE(OFFSET($H$3,0,0,'Données projet'!$E$12+1,1))</f>
        <v>333.00091572040611</v>
      </c>
      <c r="CE34" s="59">
        <f t="shared" si="40"/>
        <v>267.06874181561398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17.079243151815355</v>
      </c>
      <c r="CL34" s="21">
        <f>EXP(-LN(2)/25)*CL33+(1-EXP(-LN(2)/25))/(LN(2)/25)*Calculateur!CG34*Calculateur!CI34*VLOOKUP('Données projet'!$B$12,Paramètres!$A$1:$I$89,3,0)*0.475*44/12</f>
        <v>20.950709437218446</v>
      </c>
      <c r="CM34" s="21">
        <f>EXP(-LN(2)/2)*CM33+(1-EXP(-LN(2)/2))/(LN(2)/2)*CG34*CJ34*VLOOKUP('Données projet'!$B$12,Paramètres!$A$1:$I$89,3,0)*0.475*44/12</f>
        <v>6.379315131517699</v>
      </c>
      <c r="CN34" s="22">
        <f t="shared" si="12"/>
        <v>44.409267720551497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1">
        <f t="shared" si="32"/>
        <v>7.4888157926750578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67">
        <f t="shared" si="1"/>
        <v>347.24003417224236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9.5625</v>
      </c>
      <c r="N35" s="13">
        <f>IF('Données projet'!$A$36&gt;35,N34+M35-V34,IF(A35&lt;'Données projet'!$A$36,$K$205^A35,IF(A35='Données projet'!$A$36,'Données projet'!$B$36,N34+M35-V34)))</f>
        <v>144.125</v>
      </c>
      <c r="O35" s="13">
        <f>N35*VLOOKUP('Données projet'!$B$9,Paramètres!$A$1:$I$89,3,0)*VLOOKUP('Données projet'!$B$9,Paramètres!$A$1:$I$89,5,0)</f>
        <v>86.186750000000004</v>
      </c>
      <c r="P35" s="13">
        <f t="shared" si="33"/>
        <v>23.643256535601555</v>
      </c>
      <c r="Q35" s="20">
        <f t="shared" ref="Q35:Q66" si="53">(O35+P35)*0.475*44/12</f>
        <v>191.28726138283935</v>
      </c>
      <c r="R35" s="59">
        <f t="shared" si="0"/>
        <v>484.62059471617266</v>
      </c>
      <c r="S35" s="59">
        <f ca="1">AVERAGE(OFFSET($R$3,0,0,'Données projet'!$E$9+1,1))-AVERAGE(OFFSET($H$3,0,0,'Données projet'!$E$9+1,1))</f>
        <v>125.14227069357082</v>
      </c>
      <c r="T35" s="59">
        <f t="shared" si="34"/>
        <v>193.39407925063165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14.795614755904786</v>
      </c>
      <c r="AB35" s="21">
        <f>EXP(-LN(2)/2)*AB34+(1-EXP(-LN(2)/2))/(LN(2)/2)*V35*Y35*VLOOKUP('Données projet'!$B$9,Paramètres!$A$1:$I$89,3,0)*0.475*44/12</f>
        <v>13.68537669762471</v>
      </c>
      <c r="AC35" s="22">
        <f t="shared" si="3"/>
        <v>28.480991453529498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6.6875</v>
      </c>
      <c r="AI35" s="13">
        <f>IF('Données projet'!$A$62&gt;35,AI34+AH35-AQ34,IF(A35&lt;'Données projet'!$A$62,$AF$205^A35,IF(A35='Données projet'!$A$62,'Données projet'!$B$62,AI34+AH35-AQ34)))</f>
        <v>179.5625</v>
      </c>
      <c r="AJ35" s="13">
        <f>AI35*VLOOKUP('Données projet'!$B$10,Paramètres!$A$1:$I$89,3,0)*VLOOKUP('Données projet'!$B$10,Paramètres!$A$1:$I$89,5,0)</f>
        <v>84.035250000000005</v>
      </c>
      <c r="AK35" s="13">
        <f t="shared" si="35"/>
        <v>23.120980269547708</v>
      </c>
      <c r="AL35" s="20">
        <f t="shared" si="4"/>
        <v>186.63043438612894</v>
      </c>
      <c r="AM35" s="59">
        <f t="shared" si="5"/>
        <v>479.96376771946223</v>
      </c>
      <c r="AN35" s="59">
        <f ca="1">AVERAGE(OFFSET($AM$3,0,0,'Données projet'!$E$10+1,1))-AVERAGE(OFFSET($H$3,0,0,'Données projet'!$E$10+1,1))</f>
        <v>74.573470247551825</v>
      </c>
      <c r="AO35" s="59">
        <f t="shared" si="36"/>
        <v>122.43655207772224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1.6526738437007737</v>
      </c>
      <c r="AW35" s="21">
        <f>EXP(-LN(2)/2)*AW34+(1-EXP(-LN(2)/2))/(LN(2)/2)*AQ35*AT35*VLOOKUP('Données projet'!$B$10,Paramètres!$A$1:$I$89,3,0)*0.475*44/12</f>
        <v>0.41449536465571224</v>
      </c>
      <c r="AX35" s="21">
        <f t="shared" si="6"/>
        <v>2.0671692083564861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2.2571428571428571</v>
      </c>
      <c r="BD35" s="12">
        <f>IF('Données projet'!$A$88&gt;35,BD34+BC35-BL34,IF(A35&lt;'Données projet'!$A$88,$BA$205^A35,IF(A35='Données projet'!$A$88,'Données projet'!$B$88,BD34+BC35-BL34)))</f>
        <v>54.321698481311863</v>
      </c>
      <c r="BE35" s="13">
        <f>BD35*VLOOKUP('Données projet'!$B$11,Paramètres!$A$1:$I$89,3,0)*VLOOKUP('Données projet'!$B$11,Paramètres!$A$1:$I$89,5,0)</f>
        <v>55.082202260050238</v>
      </c>
      <c r="BF35" s="13">
        <f t="shared" si="37"/>
        <v>15.918775048052197</v>
      </c>
      <c r="BG35" s="20">
        <f t="shared" si="7"/>
        <v>123.6600354782784</v>
      </c>
      <c r="BH35" s="59">
        <f t="shared" si="8"/>
        <v>416.99336881161173</v>
      </c>
      <c r="BI35" s="59">
        <f ca="1">AVERAGE(OFFSET($BH$3,0,0,'Données projet'!$E$11+1,1))-AVERAGE(OFFSET($H$3,0,0,'Données projet'!$E$11+1,1))</f>
        <v>183.74583738362492</v>
      </c>
      <c r="BJ35" s="59">
        <f t="shared" si="38"/>
        <v>46.344307013926596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31.4</v>
      </c>
      <c r="BY35" s="12">
        <f>IF('Données projet'!$A$114&gt;35,BY34+BX35-CG34,IF(A35&lt;'Données projet'!$A$114,$BV$205^A35,IF(A35='Données projet'!$A$114,'Données projet'!$B$114,BY34+BX35-CG34)))</f>
        <v>320.7999999999999</v>
      </c>
      <c r="BZ35" s="13">
        <f>BY35*VLOOKUP('Données projet'!$B$12,Paramètres!$A$1:$I$89,3,0)*VLOOKUP('Données projet'!$B$12,Paramètres!$A$1:$I$89,5,0)</f>
        <v>141.79359999999997</v>
      </c>
      <c r="CA35" s="13">
        <f t="shared" si="39"/>
        <v>36.707589150406982</v>
      </c>
      <c r="CB35" s="20">
        <f t="shared" si="10"/>
        <v>310.88957110362543</v>
      </c>
      <c r="CC35" s="59">
        <f t="shared" si="11"/>
        <v>604.22290443695874</v>
      </c>
      <c r="CD35" s="59">
        <f ca="1">AVERAGE(OFFSET($CC$3,0,0,'Données projet'!$E$12+1,1))-AVERAGE(OFFSET($H$3,0,0,'Données projet'!$E$12+1,1))</f>
        <v>333.00091572040611</v>
      </c>
      <c r="CE35" s="59">
        <f t="shared" si="40"/>
        <v>267.06874181561398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16.744329610917955</v>
      </c>
      <c r="CL35" s="21">
        <f>EXP(-LN(2)/25)*CL34+(1-EXP(-LN(2)/25))/(LN(2)/25)*Calculateur!CG35*Calculateur!CI35*VLOOKUP('Données projet'!$B$12,Paramètres!$A$1:$I$89,3,0)*0.475*44/12</f>
        <v>20.377811185907781</v>
      </c>
      <c r="CM35" s="21">
        <f>EXP(-LN(2)/2)*CM34+(1-EXP(-LN(2)/2))/(LN(2)/2)*CG35*CJ35*VLOOKUP('Données projet'!$B$12,Paramètres!$A$1:$I$89,3,0)*0.475*44/12</f>
        <v>4.5108569888221179</v>
      </c>
      <c r="CN35" s="22">
        <f t="shared" si="12"/>
        <v>41.632997785647852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1">
        <f t="shared" si="32"/>
        <v>7.6952289313442845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67">
        <f t="shared" si="1"/>
        <v>348.87652705542462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9.5625</v>
      </c>
      <c r="N36" s="13">
        <f>IF('Données projet'!$A$36&gt;35,N35+M36-V35,IF(A36&lt;'Données projet'!$A$36,$K$205^A36,IF(A36='Données projet'!$A$36,'Données projet'!$B$36,N35+M36-V35)))</f>
        <v>153.6875</v>
      </c>
      <c r="O36" s="13">
        <f>N36*VLOOKUP('Données projet'!$B$9,Paramètres!$A$1:$I$89,3,0)*VLOOKUP('Données projet'!$B$9,Paramètres!$A$1:$I$89,5,0)</f>
        <v>91.905125000000012</v>
      </c>
      <c r="P36" s="13">
        <f t="shared" si="33"/>
        <v>25.024133619768808</v>
      </c>
      <c r="Q36" s="20">
        <f t="shared" si="53"/>
        <v>203.65179209609732</v>
      </c>
      <c r="R36" s="59">
        <f t="shared" si="0"/>
        <v>496.98512542943064</v>
      </c>
      <c r="S36" s="59">
        <f ca="1">AVERAGE(OFFSET($R$3,0,0,'Données projet'!$E$9+1,1))-AVERAGE(OFFSET($H$3,0,0,'Données projet'!$E$9+1,1))</f>
        <v>125.14227069357082</v>
      </c>
      <c r="T36" s="59">
        <f t="shared" si="34"/>
        <v>193.39407925063165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14.391027892337005</v>
      </c>
      <c r="AB36" s="21">
        <f>EXP(-LN(2)/2)*AB35+(1-EXP(-LN(2)/2))/(LN(2)/2)*V36*Y36*VLOOKUP('Données projet'!$B$9,Paramètres!$A$1:$I$89,3,0)*0.475*44/12</f>
        <v>9.6770226659827934</v>
      </c>
      <c r="AC36" s="22">
        <f t="shared" si="3"/>
        <v>24.068050558319797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186.25</v>
      </c>
      <c r="AG36" s="12">
        <f>VLOOKUP(A36,'Données projet'!$A$61:$I$81,9,0)</f>
        <v>6.6875</v>
      </c>
      <c r="AH36" s="12">
        <f t="array" ref="AH36">INDEX(AG:AG,MIN(IF(ISNUMBER(AG36:AG232),ROW(AG36:AG232),"")))</f>
        <v>6.6875</v>
      </c>
      <c r="AI36" s="13">
        <f>IF('Données projet'!$A$62&gt;35,AI35+AH36-AQ35,IF(A36&lt;'Données projet'!$A$62,$AF$205^A36,IF(A36='Données projet'!$A$62,'Données projet'!$B$62,AI35+AH36-AQ35)))</f>
        <v>186.25</v>
      </c>
      <c r="AJ36" s="13">
        <f>AI36*VLOOKUP('Données projet'!$B$10,Paramètres!$A$1:$I$89,3,0)*VLOOKUP('Données projet'!$B$10,Paramètres!$A$1:$I$89,5,0)</f>
        <v>87.165000000000006</v>
      </c>
      <c r="AK36" s="13">
        <f t="shared" si="35"/>
        <v>23.880222828052879</v>
      </c>
      <c r="AL36" s="20">
        <f t="shared" si="4"/>
        <v>193.40376309219209</v>
      </c>
      <c r="AM36" s="59">
        <f t="shared" si="5"/>
        <v>486.73709642552541</v>
      </c>
      <c r="AN36" s="59">
        <f ca="1">AVERAGE(OFFSET($AM$3,0,0,'Données projet'!$E$10+1,1))-AVERAGE(OFFSET($H$3,0,0,'Données projet'!$E$10+1,1))</f>
        <v>74.573470247551825</v>
      </c>
      <c r="AO36" s="59">
        <f t="shared" si="36"/>
        <v>122.43655207772224</v>
      </c>
      <c r="AP36" s="15">
        <f>IF(ISNA(VLOOKUP(A36,'Données projet'!$A$61:$I$81,3,0)),0,VLOOKUP(A36,'Données projet'!$A$61:$I$81,3,0))</f>
        <v>2</v>
      </c>
      <c r="AQ36" s="15">
        <f>IF(ISNA(VLOOKUP(A36,'Données projet'!$A$61:$I$81,4,0)),0,VLOOKUP(A36,'Données projet'!$A$61:$I$81,4,0))</f>
        <v>42.69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0.22000000000000003</v>
      </c>
      <c r="AT36" s="16">
        <f>IF(ISNA(VLOOKUP(A36,'Données projet'!$A$61:$I$81,7,0)),0%,VLOOKUP(A36,'Données projet'!$A$61:$I$81,7,0))</f>
        <v>0.6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7.4152551074388189</v>
      </c>
      <c r="AW36" s="21">
        <f>EXP(-LN(2)/2)*AW35+(1-EXP(-LN(2)/2))/(LN(2)/2)*AQ36*AT36*VLOOKUP('Données projet'!$B$10,Paramètres!$A$1:$I$89,3,0)*0.475*44/12</f>
        <v>13.865559579336919</v>
      </c>
      <c r="AX36" s="21">
        <f t="shared" si="6"/>
        <v>21.280814686775738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2.2571428571428571</v>
      </c>
      <c r="BD36" s="12">
        <f>IF('Données projet'!$A$88&gt;35,BD35+BC36-BL35,IF(A36&lt;'Données projet'!$A$88,$BA$205^A36,IF(A36='Données projet'!$A$88,'Données projet'!$B$88,BD35+BC36-BL35)))</f>
        <v>61.544784806934473</v>
      </c>
      <c r="BE36" s="13">
        <f>BD36*VLOOKUP('Données projet'!$B$11,Paramètres!$A$1:$I$89,3,0)*VLOOKUP('Données projet'!$B$11,Paramètres!$A$1:$I$89,5,0)</f>
        <v>62.406411794231559</v>
      </c>
      <c r="BF36" s="13">
        <f t="shared" si="37"/>
        <v>17.77528599526886</v>
      </c>
      <c r="BG36" s="20">
        <f t="shared" si="7"/>
        <v>139.64979031671325</v>
      </c>
      <c r="BH36" s="59">
        <f t="shared" si="8"/>
        <v>432.98312365004654</v>
      </c>
      <c r="BI36" s="59">
        <f ca="1">AVERAGE(OFFSET($BH$3,0,0,'Données projet'!$E$11+1,1))-AVERAGE(OFFSET($H$3,0,0,'Données projet'!$E$11+1,1))</f>
        <v>183.74583738362492</v>
      </c>
      <c r="BJ36" s="59">
        <f t="shared" si="38"/>
        <v>46.344307013926596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31.4</v>
      </c>
      <c r="BY36" s="12">
        <f>IF('Données projet'!$A$114&gt;35,BY35+BX36-CG35,IF(A36&lt;'Données projet'!$A$114,$BV$205^A36,IF(A36='Données projet'!$A$114,'Données projet'!$B$114,BY35+BX36-CG35)))</f>
        <v>352.19999999999987</v>
      </c>
      <c r="BZ36" s="13">
        <f>BY36*VLOOKUP('Données projet'!$B$12,Paramètres!$A$1:$I$89,3,0)*VLOOKUP('Données projet'!$B$12,Paramètres!$A$1:$I$89,5,0)</f>
        <v>155.67239999999995</v>
      </c>
      <c r="CA36" s="13">
        <f t="shared" si="39"/>
        <v>39.86486091051038</v>
      </c>
      <c r="CB36" s="20">
        <f t="shared" si="10"/>
        <v>340.5607294191388</v>
      </c>
      <c r="CC36" s="59">
        <f t="shared" si="11"/>
        <v>633.89406275247211</v>
      </c>
      <c r="CD36" s="59">
        <f ca="1">AVERAGE(OFFSET($CC$3,0,0,'Données projet'!$E$12+1,1))-AVERAGE(OFFSET($H$3,0,0,'Données projet'!$E$12+1,1))</f>
        <v>333.00091572040611</v>
      </c>
      <c r="CE36" s="59">
        <f t="shared" si="40"/>
        <v>267.06874181561398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16.415983520280463</v>
      </c>
      <c r="CL36" s="21">
        <f>EXP(-LN(2)/25)*CL35+(1-EXP(-LN(2)/25))/(LN(2)/25)*Calculateur!CG36*Calculateur!CI36*VLOOKUP('Données projet'!$B$12,Paramètres!$A$1:$I$89,3,0)*0.475*44/12</f>
        <v>19.820578867406617</v>
      </c>
      <c r="CM36" s="21">
        <f>EXP(-LN(2)/2)*CM35+(1-EXP(-LN(2)/2))/(LN(2)/2)*CG36*CJ36*VLOOKUP('Données projet'!$B$12,Paramètres!$A$1:$I$89,3,0)*0.475*44/12</f>
        <v>3.1896575657588504</v>
      </c>
      <c r="CN36" s="22">
        <f t="shared" si="12"/>
        <v>39.42621995344593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1">
        <f t="shared" si="32"/>
        <v>7.9009151595869396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67">
        <f t="shared" si="1"/>
        <v>350.51175390294725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9.5625</v>
      </c>
      <c r="N37" s="13">
        <f>IF('Données projet'!$A$36&gt;35,N36+M37-V36,IF(A37&lt;'Données projet'!$A$36,$K$205^A37,IF(A37='Données projet'!$A$36,'Données projet'!$B$36,N36+M37-V36)))</f>
        <v>163.25</v>
      </c>
      <c r="O37" s="13">
        <f>N37*VLOOKUP('Données projet'!$B$9,Paramètres!$A$1:$I$89,3,0)*VLOOKUP('Données projet'!$B$9,Paramètres!$A$1:$I$89,5,0)</f>
        <v>97.623500000000007</v>
      </c>
      <c r="P37" s="13">
        <f t="shared" si="33"/>
        <v>26.395039100254326</v>
      </c>
      <c r="Q37" s="20">
        <f t="shared" si="53"/>
        <v>215.99895559960962</v>
      </c>
      <c r="R37" s="59">
        <f t="shared" si="0"/>
        <v>509.3322889329429</v>
      </c>
      <c r="S37" s="59">
        <f ca="1">AVERAGE(OFFSET($R$3,0,0,'Données projet'!$E$9+1,1))-AVERAGE(OFFSET($H$3,0,0,'Données projet'!$E$9+1,1))</f>
        <v>125.14227069357082</v>
      </c>
      <c r="T37" s="59">
        <f t="shared" si="34"/>
        <v>193.39407925063165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13.997504477829784</v>
      </c>
      <c r="AB37" s="21">
        <f>EXP(-LN(2)/2)*AB36+(1-EXP(-LN(2)/2))/(LN(2)/2)*V37*Y37*VLOOKUP('Données projet'!$B$9,Paramètres!$A$1:$I$89,3,0)*0.475*44/12</f>
        <v>6.8426883488123567</v>
      </c>
      <c r="AC37" s="22">
        <f t="shared" si="3"/>
        <v>20.840192826642141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8.84375</v>
      </c>
      <c r="AI37" s="13">
        <f>IF('Données projet'!$A$62&gt;35,AI36+AH37-AQ36,IF(A37&lt;'Données projet'!$A$62,$AF$205^A37,IF(A37='Données projet'!$A$62,'Données projet'!$B$62,AI36+AH37-AQ36)))</f>
        <v>152.40375</v>
      </c>
      <c r="AJ37" s="13">
        <f>AI37*VLOOKUP('Données projet'!$B$10,Paramètres!$A$1:$I$89,3,0)*VLOOKUP('Données projet'!$B$10,Paramètres!$A$1:$I$89,5,0)</f>
        <v>71.324955000000003</v>
      </c>
      <c r="AK37" s="13">
        <f t="shared" si="35"/>
        <v>20.002130658417919</v>
      </c>
      <c r="AL37" s="20">
        <f t="shared" si="4"/>
        <v>159.06134085507787</v>
      </c>
      <c r="AM37" s="59">
        <f t="shared" si="5"/>
        <v>452.39467418841116</v>
      </c>
      <c r="AN37" s="59">
        <f ca="1">AVERAGE(OFFSET($AM$3,0,0,'Données projet'!$E$10+1,1))-AVERAGE(OFFSET($H$3,0,0,'Données projet'!$E$10+1,1))</f>
        <v>74.573470247551825</v>
      </c>
      <c r="AO37" s="59">
        <f t="shared" si="36"/>
        <v>122.43655207772224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7.2124845665745863</v>
      </c>
      <c r="AW37" s="21">
        <f>EXP(-LN(2)/2)*AW36+(1-EXP(-LN(2)/2))/(LN(2)/2)*AQ37*AT37*VLOOKUP('Données projet'!$B$10,Paramètres!$A$1:$I$89,3,0)*0.475*44/12</f>
        <v>9.8044312034952288</v>
      </c>
      <c r="AX37" s="21">
        <f t="shared" si="6"/>
        <v>17.016915770069815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2.2571428571428571</v>
      </c>
      <c r="BD37" s="12">
        <f>IF('Données projet'!$A$88&gt;35,BD36+BC37-BL36,IF(A37&lt;'Données projet'!$A$88,$BA$205^A37,IF(A37='Données projet'!$A$88,'Données projet'!$B$88,BD36+BC37-BL36)))</f>
        <v>69.728315623911584</v>
      </c>
      <c r="BE37" s="13">
        <f>BD37*VLOOKUP('Données projet'!$B$11,Paramètres!$A$1:$I$89,3,0)*VLOOKUP('Données projet'!$B$11,Paramètres!$A$1:$I$89,5,0)</f>
        <v>70.704512042646357</v>
      </c>
      <c r="BF37" s="13">
        <f t="shared" si="37"/>
        <v>19.848310643240207</v>
      </c>
      <c r="BG37" s="20">
        <f t="shared" si="7"/>
        <v>157.71283284458579</v>
      </c>
      <c r="BH37" s="59">
        <f t="shared" si="8"/>
        <v>451.04616617791908</v>
      </c>
      <c r="BI37" s="59">
        <f ca="1">AVERAGE(OFFSET($BH$3,0,0,'Données projet'!$E$11+1,1))-AVERAGE(OFFSET($H$3,0,0,'Données projet'!$E$11+1,1))</f>
        <v>183.74583738362492</v>
      </c>
      <c r="BJ37" s="59">
        <f t="shared" si="38"/>
        <v>46.344307013926596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31.4</v>
      </c>
      <c r="BY37" s="12">
        <f>IF('Données projet'!$A$114&gt;35,BY36+BX37-CG36,IF(A37&lt;'Données projet'!$A$114,$BV$205^A37,IF(A37='Données projet'!$A$114,'Données projet'!$B$114,BY36+BX37-CG36)))</f>
        <v>383.59999999999985</v>
      </c>
      <c r="BZ37" s="13">
        <f>BY37*VLOOKUP('Données projet'!$B$12,Paramètres!$A$1:$I$89,3,0)*VLOOKUP('Données projet'!$B$12,Paramètres!$A$1:$I$89,5,0)</f>
        <v>169.55119999999994</v>
      </c>
      <c r="CA37" s="13">
        <f t="shared" si="39"/>
        <v>42.989491855616606</v>
      </c>
      <c r="CB37" s="20">
        <f t="shared" si="10"/>
        <v>370.17503831519883</v>
      </c>
      <c r="CC37" s="59">
        <f t="shared" si="11"/>
        <v>663.50837164853215</v>
      </c>
      <c r="CD37" s="59">
        <f ca="1">AVERAGE(OFFSET($CC$3,0,0,'Données projet'!$E$12+1,1))-AVERAGE(OFFSET($H$3,0,0,'Données projet'!$E$12+1,1))</f>
        <v>333.00091572040611</v>
      </c>
      <c r="CE37" s="59">
        <f t="shared" si="40"/>
        <v>267.06874181561398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16.094076096209033</v>
      </c>
      <c r="CL37" s="21">
        <f>EXP(-LN(2)/25)*CL36+(1-EXP(-LN(2)/25))/(LN(2)/25)*Calculateur!CG37*Calculateur!CI37*VLOOKUP('Données projet'!$B$12,Paramètres!$A$1:$I$89,3,0)*0.475*44/12</f>
        <v>19.27858409595844</v>
      </c>
      <c r="CM37" s="21">
        <f>EXP(-LN(2)/2)*CM36+(1-EXP(-LN(2)/2))/(LN(2)/2)*CG37*CJ37*VLOOKUP('Données projet'!$B$12,Paramètres!$A$1:$I$89,3,0)*0.475*44/12</f>
        <v>2.2554284944110594</v>
      </c>
      <c r="CN37" s="22">
        <f t="shared" si="12"/>
        <v>37.628088686578529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1">
        <f t="shared" si="32"/>
        <v>8.1058983118768086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67">
        <f t="shared" si="1"/>
        <v>352.14575622651876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9.5625</v>
      </c>
      <c r="N38" s="13">
        <f>IF('Données projet'!$A$36&gt;35,N37+M38-V37,IF(A38&lt;'Données projet'!$A$36,$K$205^A38,IF(A38='Données projet'!$A$36,'Données projet'!$B$36,N37+M38-V37)))</f>
        <v>172.8125</v>
      </c>
      <c r="O38" s="13">
        <f>N38*VLOOKUP('Données projet'!$B$9,Paramètres!$A$1:$I$89,3,0)*VLOOKUP('Données projet'!$B$9,Paramètres!$A$1:$I$89,5,0)</f>
        <v>103.34187500000002</v>
      </c>
      <c r="P38" s="13">
        <f t="shared" si="33"/>
        <v>27.756623607876854</v>
      </c>
      <c r="Q38" s="20">
        <f t="shared" si="53"/>
        <v>228.32988507538553</v>
      </c>
      <c r="R38" s="59">
        <f t="shared" si="0"/>
        <v>521.66321840871888</v>
      </c>
      <c r="S38" s="59">
        <f ca="1">AVERAGE(OFFSET($R$3,0,0,'Données projet'!$E$9+1,1))-AVERAGE(OFFSET($H$3,0,0,'Données projet'!$E$9+1,1))</f>
        <v>125.14227069357082</v>
      </c>
      <c r="T38" s="59">
        <f t="shared" si="34"/>
        <v>193.39407925063165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13.614741981786759</v>
      </c>
      <c r="AB38" s="21">
        <f>EXP(-LN(2)/2)*AB37+(1-EXP(-LN(2)/2))/(LN(2)/2)*V38*Y38*VLOOKUP('Données projet'!$B$9,Paramètres!$A$1:$I$89,3,0)*0.475*44/12</f>
        <v>4.8385113329913976</v>
      </c>
      <c r="AC38" s="22">
        <f t="shared" si="3"/>
        <v>18.453253314778156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8.84375</v>
      </c>
      <c r="AI38" s="13">
        <f>IF('Données projet'!$A$62&gt;35,AI37+AH38-AQ37,IF(A38&lt;'Données projet'!$A$62,$AF$205^A38,IF(A38='Données projet'!$A$62,'Données projet'!$B$62,AI37+AH38-AQ37)))</f>
        <v>161.2475</v>
      </c>
      <c r="AJ38" s="13">
        <f>AI38*VLOOKUP('Données projet'!$B$10,Paramètres!$A$1:$I$89,3,0)*VLOOKUP('Données projet'!$B$10,Paramètres!$A$1:$I$89,5,0)</f>
        <v>75.463830000000002</v>
      </c>
      <c r="AK38" s="13">
        <f t="shared" si="35"/>
        <v>21.024327189938223</v>
      </c>
      <c r="AL38" s="20">
        <f t="shared" si="4"/>
        <v>168.05020710580905</v>
      </c>
      <c r="AM38" s="59">
        <f t="shared" si="5"/>
        <v>461.38354043914239</v>
      </c>
      <c r="AN38" s="59">
        <f ca="1">AVERAGE(OFFSET($AM$3,0,0,'Données projet'!$E$10+1,1))-AVERAGE(OFFSET($H$3,0,0,'Données projet'!$E$10+1,1))</f>
        <v>74.573470247551825</v>
      </c>
      <c r="AO38" s="59">
        <f t="shared" si="36"/>
        <v>122.43655207772224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7.0152587968135256</v>
      </c>
      <c r="AW38" s="21">
        <f>EXP(-LN(2)/2)*AW37+(1-EXP(-LN(2)/2))/(LN(2)/2)*AQ38*AT38*VLOOKUP('Données projet'!$B$10,Paramètres!$A$1:$I$89,3,0)*0.475*44/12</f>
        <v>6.9327797896684604</v>
      </c>
      <c r="AX38" s="21">
        <f t="shared" si="6"/>
        <v>13.948038586481985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>
        <f>VLOOKUP(A38,'Données projet'!$A$87:$I$107,2,0)</f>
        <v>79</v>
      </c>
      <c r="BB38" s="12">
        <f>VLOOKUP(A38,'Données projet'!$A$87:$I$107,9,0)</f>
        <v>2.2571428571428571</v>
      </c>
      <c r="BC38" s="12">
        <f t="array" ref="BC38">INDEX(BB:BB,MIN(IF(ISNUMBER(BB38:BB234),ROW(BB38:BB234),"")))</f>
        <v>2.2571428571428571</v>
      </c>
      <c r="BD38" s="12">
        <f>IF('Données projet'!$A$88&gt;35,BD37+BC38-BL37,IF(A38&lt;'Données projet'!$A$88,$BA$205^A38,IF(A38='Données projet'!$A$88,'Données projet'!$B$88,BD37+BC38-BL37)))</f>
        <v>79</v>
      </c>
      <c r="BE38" s="13">
        <f>BD38*VLOOKUP('Données projet'!$B$11,Paramètres!$A$1:$I$89,3,0)*VLOOKUP('Données projet'!$B$11,Paramètres!$A$1:$I$89,5,0)</f>
        <v>80.106000000000009</v>
      </c>
      <c r="BF38" s="13">
        <f t="shared" si="37"/>
        <v>22.163099682076496</v>
      </c>
      <c r="BG38" s="20">
        <f t="shared" si="7"/>
        <v>178.11868194628323</v>
      </c>
      <c r="BH38" s="59">
        <f t="shared" si="8"/>
        <v>471.45201527961655</v>
      </c>
      <c r="BI38" s="59">
        <f ca="1">AVERAGE(OFFSET($BH$3,0,0,'Données projet'!$E$11+1,1))-AVERAGE(OFFSET($H$3,0,0,'Données projet'!$E$11+1,1))</f>
        <v>183.74583738362492</v>
      </c>
      <c r="BJ38" s="59">
        <f t="shared" si="38"/>
        <v>46.344307013926596</v>
      </c>
      <c r="BK38" s="15">
        <f>IF(ISNA(VLOOKUP(A38,'Données projet'!$A$87:$I$107,3,0)),0,VLOOKUP(A38,'Données projet'!$A$87:$I$107,3,0))</f>
        <v>1</v>
      </c>
      <c r="BL38" s="15">
        <f>IF(ISNA(VLOOKUP(A38,'Données projet'!$A$87:$I$107,4,0)),0,VLOOKUP(A38,'Données projet'!$A$87:$I$107,4,0))</f>
        <v>13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415</v>
      </c>
      <c r="BW38" s="12">
        <f>VLOOKUP(A38,'Données projet'!$A$113:$I$133,9,0)</f>
        <v>31.4</v>
      </c>
      <c r="BX38" s="12">
        <f t="array" ref="BX38">INDEX(BW:BW,MIN(IF(ISNUMBER(BW38:BW234),ROW(BW38:BW234),"")))</f>
        <v>31.4</v>
      </c>
      <c r="BY38" s="12">
        <f>IF('Données projet'!$A$114&gt;35,BY37+BX38-CG37,IF(A38&lt;'Données projet'!$A$114,$BV$205^A38,IF(A38='Données projet'!$A$114,'Données projet'!$B$114,BY37+BX38-CG37)))</f>
        <v>414.99999999999983</v>
      </c>
      <c r="BZ38" s="13">
        <f>BY38*VLOOKUP('Données projet'!$B$12,Paramètres!$A$1:$I$89,3,0)*VLOOKUP('Données projet'!$B$12,Paramètres!$A$1:$I$89,5,0)</f>
        <v>183.42999999999995</v>
      </c>
      <c r="CA38" s="13">
        <f t="shared" si="39"/>
        <v>46.084457597740531</v>
      </c>
      <c r="CB38" s="20">
        <f t="shared" si="10"/>
        <v>399.73768031606465</v>
      </c>
      <c r="CC38" s="59">
        <f t="shared" si="11"/>
        <v>693.07101364939797</v>
      </c>
      <c r="CD38" s="59">
        <f ca="1">AVERAGE(OFFSET($CC$3,0,0,'Données projet'!$E$12+1,1))-AVERAGE(OFFSET($H$3,0,0,'Données projet'!$E$12+1,1))</f>
        <v>333.00091572040611</v>
      </c>
      <c r="CE38" s="59">
        <f t="shared" si="40"/>
        <v>267.06874181561398</v>
      </c>
      <c r="CF38" s="15">
        <f>IF(ISNA(VLOOKUP(A38,'Données projet'!$A$113:$I$133,3,0)),0,VLOOKUP(A38,'Données projet'!$A$113:$I$133,3,0))</f>
        <v>4</v>
      </c>
      <c r="CG38" s="15">
        <f>IF(ISNA(VLOOKUP(A38,'Données projet'!$A$113:$I$133,4,0)),0,VLOOKUP(A38,'Données projet'!$A$113:$I$133,4,0))</f>
        <v>70</v>
      </c>
      <c r="CH38" s="16">
        <f>IF(ISNA(VLOOKUP(A38,'Données projet'!$A$113:$I$133,5,0)),0%,VLOOKUP(A38,'Données projet'!$A$113:$I$133,5,0)*VLOOKUP('Données projet'!$B$12,Paramètres!$A$1:$I$89,7,0))</f>
        <v>0.27500000000000002</v>
      </c>
      <c r="CI38" s="16">
        <f>IF(ISNA(VLOOKUP(A38,'Données projet'!$A$113:$I$133,6,0)),0%,VLOOKUP(A38,'Données projet'!$A$113:$I$133,6,0)*VLOOKUP('Données projet'!$B$12,Paramètres!$A$1:$I$89,7,0))</f>
        <v>0.16500000000000001</v>
      </c>
      <c r="CJ38" s="16">
        <f>IF(ISNA(VLOOKUP(A38,'Données projet'!$A$113:$I$133,7,0)),0%,VLOOKUP(A38,'Données projet'!$A$113:$I$133,7,0))</f>
        <v>0.2</v>
      </c>
      <c r="CK38" s="21">
        <f>EXP(-LN(2)/35)*CK37+(1-EXP(-LN(2)/35))/(LN(2)/35)*CG38*CH38*VLOOKUP('Données projet'!$B$12,Paramètres!$A$1:$I$89,3,0)*0.475*44/12</f>
        <v>27.065554749486829</v>
      </c>
      <c r="CL38" s="21">
        <f>EXP(-LN(2)/25)*CL37+(1-EXP(-LN(2)/25))/(LN(2)/25)*Calculateur!CG38*Calculateur!CI38*VLOOKUP('Données projet'!$B$12,Paramètres!$A$1:$I$89,3,0)*0.475*44/12</f>
        <v>25.496989495653672</v>
      </c>
      <c r="CM38" s="21">
        <f>EXP(-LN(2)/2)*CM37+(1-EXP(-LN(2)/2))/(LN(2)/2)*CG38*CJ38*VLOOKUP('Données projet'!$B$12,Paramètres!$A$1:$I$89,3,0)*0.475*44/12</f>
        <v>8.6010822399731968</v>
      </c>
      <c r="CN38" s="22">
        <f t="shared" si="12"/>
        <v>61.163626485113696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1">
        <f t="shared" si="32"/>
        <v>8.3102007832524443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67">
        <f t="shared" si="1"/>
        <v>353.77857303083135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9.5625</v>
      </c>
      <c r="N39" s="13">
        <f>IF('Données projet'!$A$36&gt;35,N38+M39-V38,IF(A39&lt;'Données projet'!$A$36,$K$205^A39,IF(A39='Données projet'!$A$36,'Données projet'!$B$36,N38+M39-V38)))</f>
        <v>182.375</v>
      </c>
      <c r="O39" s="13">
        <f>N39*VLOOKUP('Données projet'!$B$9,Paramètres!$A$1:$I$89,3,0)*VLOOKUP('Données projet'!$B$9,Paramètres!$A$1:$I$89,5,0)</f>
        <v>109.06025</v>
      </c>
      <c r="P39" s="13">
        <f t="shared" si="33"/>
        <v>29.109461702014698</v>
      </c>
      <c r="Q39" s="20">
        <f t="shared" si="53"/>
        <v>240.64558121434223</v>
      </c>
      <c r="R39" s="59">
        <f t="shared" si="0"/>
        <v>533.97891454767557</v>
      </c>
      <c r="S39" s="59">
        <f ca="1">AVERAGE(OFFSET($R$3,0,0,'Données projet'!$E$9+1,1))-AVERAGE(OFFSET($H$3,0,0,'Données projet'!$E$9+1,1))</f>
        <v>125.14227069357082</v>
      </c>
      <c r="T39" s="59">
        <f t="shared" si="34"/>
        <v>193.39407925063165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13.242446146326635</v>
      </c>
      <c r="AB39" s="21">
        <f>EXP(-LN(2)/2)*AB38+(1-EXP(-LN(2)/2))/(LN(2)/2)*V39*Y39*VLOOKUP('Données projet'!$B$9,Paramètres!$A$1:$I$89,3,0)*0.475*44/12</f>
        <v>3.4213441744061788</v>
      </c>
      <c r="AC39" s="22">
        <f t="shared" si="3"/>
        <v>16.663790320732815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8.84375</v>
      </c>
      <c r="AI39" s="13">
        <f>IF('Données projet'!$A$62&gt;35,AI38+AH39-AQ38,IF(A39&lt;'Données projet'!$A$62,$AF$205^A39,IF(A39='Données projet'!$A$62,'Données projet'!$B$62,AI38+AH39-AQ38)))</f>
        <v>170.09125</v>
      </c>
      <c r="AJ39" s="13">
        <f>AI39*VLOOKUP('Données projet'!$B$10,Paramètres!$A$1:$I$89,3,0)*VLOOKUP('Données projet'!$B$10,Paramètres!$A$1:$I$89,5,0)</f>
        <v>79.602705</v>
      </c>
      <c r="AK39" s="13">
        <f t="shared" si="35"/>
        <v>22.040015306938713</v>
      </c>
      <c r="AL39" s="20">
        <f t="shared" si="4"/>
        <v>177.02773786791826</v>
      </c>
      <c r="AM39" s="59">
        <f t="shared" si="5"/>
        <v>470.36107120125155</v>
      </c>
      <c r="AN39" s="59">
        <f ca="1">AVERAGE(OFFSET($AM$3,0,0,'Données projet'!$E$10+1,1))-AVERAGE(OFFSET($H$3,0,0,'Données projet'!$E$10+1,1))</f>
        <v>74.573470247551825</v>
      </c>
      <c r="AO39" s="59">
        <f t="shared" si="36"/>
        <v>122.43655207772224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6.8234261760982333</v>
      </c>
      <c r="AW39" s="21">
        <f>EXP(-LN(2)/2)*AW38+(1-EXP(-LN(2)/2))/(LN(2)/2)*AQ39*AT39*VLOOKUP('Données projet'!$B$10,Paramètres!$A$1:$I$89,3,0)*0.475*44/12</f>
        <v>4.9022156017476153</v>
      </c>
      <c r="AX39" s="21">
        <f t="shared" si="6"/>
        <v>11.725641777845848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5.4</v>
      </c>
      <c r="BD39" s="12">
        <f>IF('Données projet'!$A$88&gt;35,BD38+BC39-BL38,IF(A39&lt;'Données projet'!$A$88,$BA$205^A39,IF(A39='Données projet'!$A$88,'Données projet'!$B$88,BD38+BC39-BL38)))</f>
        <v>71.400000000000006</v>
      </c>
      <c r="BE39" s="13">
        <f>BD39*VLOOKUP('Données projet'!$B$11,Paramètres!$A$1:$I$89,3,0)*VLOOKUP('Données projet'!$B$11,Paramètres!$A$1:$I$89,5,0)</f>
        <v>72.399600000000007</v>
      </c>
      <c r="BF39" s="13">
        <f t="shared" si="37"/>
        <v>20.268188832715463</v>
      </c>
      <c r="BG39" s="20">
        <f t="shared" si="7"/>
        <v>161.39639888364613</v>
      </c>
      <c r="BH39" s="59">
        <f t="shared" si="8"/>
        <v>454.72973221697941</v>
      </c>
      <c r="BI39" s="59">
        <f ca="1">AVERAGE(OFFSET($BH$3,0,0,'Données projet'!$E$11+1,1))-AVERAGE(OFFSET($H$3,0,0,'Données projet'!$E$11+1,1))</f>
        <v>183.74583738362492</v>
      </c>
      <c r="BJ39" s="59">
        <f t="shared" si="38"/>
        <v>46.344307013926596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29.2</v>
      </c>
      <c r="BY39" s="12">
        <f>IF('Données projet'!$A$114&gt;35,BY38+BX39-CG38,IF(A39&lt;'Données projet'!$A$114,$BV$205^A39,IF(A39='Données projet'!$A$114,'Données projet'!$B$114,BY38+BX39-CG38)))</f>
        <v>374.19999999999982</v>
      </c>
      <c r="BZ39" s="13">
        <f>BY39*VLOOKUP('Données projet'!$B$12,Paramètres!$A$1:$I$89,3,0)*VLOOKUP('Données projet'!$B$12,Paramètres!$A$1:$I$89,5,0)</f>
        <v>165.39639999999994</v>
      </c>
      <c r="CA39" s="13">
        <f t="shared" si="39"/>
        <v>42.057328715000679</v>
      </c>
      <c r="CB39" s="20">
        <f t="shared" si="10"/>
        <v>361.31524417862607</v>
      </c>
      <c r="CC39" s="59">
        <f t="shared" si="11"/>
        <v>654.64857751195939</v>
      </c>
      <c r="CD39" s="59">
        <f ca="1">AVERAGE(OFFSET($CC$3,0,0,'Données projet'!$E$12+1,1))-AVERAGE(OFFSET($H$3,0,0,'Données projet'!$E$12+1,1))</f>
        <v>333.00091572040611</v>
      </c>
      <c r="CE39" s="59">
        <f t="shared" si="40"/>
        <v>267.06874181561398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26.534815729207725</v>
      </c>
      <c r="CL39" s="21">
        <f>EXP(-LN(2)/25)*CL38+(1-EXP(-LN(2)/25))/(LN(2)/25)*Calculateur!CG39*Calculateur!CI39*VLOOKUP('Données projet'!$B$12,Paramètres!$A$1:$I$89,3,0)*0.475*44/12</f>
        <v>24.79977297706662</v>
      </c>
      <c r="CM39" s="21">
        <f>EXP(-LN(2)/2)*CM38+(1-EXP(-LN(2)/2))/(LN(2)/2)*CG39*CJ39*VLOOKUP('Données projet'!$B$12,Paramètres!$A$1:$I$89,3,0)*0.475*44/12</f>
        <v>6.0818835774282274</v>
      </c>
      <c r="CN39" s="22">
        <f t="shared" si="12"/>
        <v>57.416472283702575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1">
        <f t="shared" si="32"/>
        <v>8.5138436537878803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67">
        <f t="shared" si="1"/>
        <v>355.41024103034721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9.5625</v>
      </c>
      <c r="N40" s="13">
        <f>IF('Données projet'!$A$36&gt;35,N39+M40-V39,IF(A40&lt;'Données projet'!$A$36,$K$205^A40,IF(A40='Données projet'!$A$36,'Données projet'!$B$36,N39+M40-V39)))</f>
        <v>191.9375</v>
      </c>
      <c r="O40" s="13">
        <f>N40*VLOOKUP('Données projet'!$B$9,Paramètres!$A$1:$I$89,3,0)*VLOOKUP('Données projet'!$B$9,Paramètres!$A$1:$I$89,5,0)</f>
        <v>114.77862500000001</v>
      </c>
      <c r="P40" s="13">
        <f t="shared" si="33"/>
        <v>30.454064287062838</v>
      </c>
      <c r="Q40" s="20">
        <f t="shared" si="53"/>
        <v>252.94693384163443</v>
      </c>
      <c r="R40" s="59">
        <f t="shared" si="0"/>
        <v>546.28026717496778</v>
      </c>
      <c r="S40" s="59">
        <f ca="1">AVERAGE(OFFSET($R$3,0,0,'Données projet'!$E$9+1,1))-AVERAGE(OFFSET($H$3,0,0,'Données projet'!$E$9+1,1))</f>
        <v>125.14227069357082</v>
      </c>
      <c r="T40" s="59">
        <f t="shared" si="34"/>
        <v>193.39407925063165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12.880330760065357</v>
      </c>
      <c r="AB40" s="21">
        <f>EXP(-LN(2)/2)*AB39+(1-EXP(-LN(2)/2))/(LN(2)/2)*V40*Y40*VLOOKUP('Données projet'!$B$9,Paramètres!$A$1:$I$89,3,0)*0.475*44/12</f>
        <v>2.4192556664956992</v>
      </c>
      <c r="AC40" s="22">
        <f t="shared" si="3"/>
        <v>15.299586426561056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8.84375</v>
      </c>
      <c r="AI40" s="13">
        <f>IF('Données projet'!$A$62&gt;35,AI39+AH40-AQ39,IF(A40&lt;'Données projet'!$A$62,$AF$205^A40,IF(A40='Données projet'!$A$62,'Données projet'!$B$62,AI39+AH40-AQ39)))</f>
        <v>178.935</v>
      </c>
      <c r="AJ40" s="13">
        <f>AI40*VLOOKUP('Données projet'!$B$10,Paramètres!$A$1:$I$89,3,0)*VLOOKUP('Données projet'!$B$10,Paramètres!$A$1:$I$89,5,0)</f>
        <v>83.741580000000013</v>
      </c>
      <c r="AK40" s="13">
        <f t="shared" si="35"/>
        <v>23.049572005958186</v>
      </c>
      <c r="AL40" s="20">
        <f t="shared" si="4"/>
        <v>185.99458974371052</v>
      </c>
      <c r="AM40" s="59">
        <f t="shared" si="5"/>
        <v>479.32792307704381</v>
      </c>
      <c r="AN40" s="59">
        <f ca="1">AVERAGE(OFFSET($AM$3,0,0,'Données projet'!$E$10+1,1))-AVERAGE(OFFSET($H$3,0,0,'Données projet'!$E$10+1,1))</f>
        <v>74.573470247551825</v>
      </c>
      <c r="AO40" s="59">
        <f t="shared" si="36"/>
        <v>122.43655207772224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6.6368392284844395</v>
      </c>
      <c r="AW40" s="21">
        <f>EXP(-LN(2)/2)*AW39+(1-EXP(-LN(2)/2))/(LN(2)/2)*AQ40*AT40*VLOOKUP('Données projet'!$B$10,Paramètres!$A$1:$I$89,3,0)*0.475*44/12</f>
        <v>3.4663898948342307</v>
      </c>
      <c r="AX40" s="21">
        <f t="shared" si="6"/>
        <v>10.10322912331867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5.4</v>
      </c>
      <c r="BD40" s="12">
        <f>IF('Données projet'!$A$88&gt;35,BD39+BC40-BL39,IF(A40&lt;'Données projet'!$A$88,$BA$205^A40,IF(A40='Données projet'!$A$88,'Données projet'!$B$88,BD39+BC40-BL39)))</f>
        <v>76.800000000000011</v>
      </c>
      <c r="BE40" s="13">
        <f>BD40*VLOOKUP('Données projet'!$B$11,Paramètres!$A$1:$I$89,3,0)*VLOOKUP('Données projet'!$B$11,Paramètres!$A$1:$I$89,5,0)</f>
        <v>77.875200000000021</v>
      </c>
      <c r="BF40" s="13">
        <f t="shared" si="37"/>
        <v>21.616848354491559</v>
      </c>
      <c r="BG40" s="20">
        <f t="shared" si="7"/>
        <v>173.28198421740615</v>
      </c>
      <c r="BH40" s="59">
        <f t="shared" si="8"/>
        <v>466.61531755073946</v>
      </c>
      <c r="BI40" s="59">
        <f ca="1">AVERAGE(OFFSET($BH$3,0,0,'Données projet'!$E$11+1,1))-AVERAGE(OFFSET($H$3,0,0,'Données projet'!$E$11+1,1))</f>
        <v>183.74583738362492</v>
      </c>
      <c r="BJ40" s="59">
        <f t="shared" si="38"/>
        <v>46.344307013926596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29.2</v>
      </c>
      <c r="BY40" s="12">
        <f>IF('Données projet'!$A$114&gt;35,BY39+BX40-CG39,IF(A40&lt;'Données projet'!$A$114,$BV$205^A40,IF(A40='Données projet'!$A$114,'Données projet'!$B$114,BY39+BX40-CG39)))</f>
        <v>403.39999999999981</v>
      </c>
      <c r="BZ40" s="13">
        <f>BY40*VLOOKUP('Données projet'!$B$12,Paramètres!$A$1:$I$89,3,0)*VLOOKUP('Données projet'!$B$12,Paramètres!$A$1:$I$89,5,0)</f>
        <v>178.30279999999993</v>
      </c>
      <c r="CA40" s="13">
        <f t="shared" si="39"/>
        <v>44.944382494974199</v>
      </c>
      <c r="CB40" s="20">
        <f t="shared" si="10"/>
        <v>388.82217617874659</v>
      </c>
      <c r="CC40" s="59">
        <f t="shared" si="11"/>
        <v>682.1555095120799</v>
      </c>
      <c r="CD40" s="59">
        <f ca="1">AVERAGE(OFFSET($CC$3,0,0,'Données projet'!$E$12+1,1))-AVERAGE(OFFSET($H$3,0,0,'Données projet'!$E$12+1,1))</f>
        <v>333.00091572040611</v>
      </c>
      <c r="CE40" s="59">
        <f t="shared" si="40"/>
        <v>267.06874181561398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26.014484177397456</v>
      </c>
      <c r="CL40" s="21">
        <f>EXP(-LN(2)/25)*CL39+(1-EXP(-LN(2)/25))/(LN(2)/25)*Calculateur!CG40*Calculateur!CI40*VLOOKUP('Données projet'!$B$12,Paramètres!$A$1:$I$89,3,0)*0.475*44/12</f>
        <v>24.121621880845353</v>
      </c>
      <c r="CM40" s="21">
        <f>EXP(-LN(2)/2)*CM39+(1-EXP(-LN(2)/2))/(LN(2)/2)*CG40*CJ40*VLOOKUP('Données projet'!$B$12,Paramètres!$A$1:$I$89,3,0)*0.475*44/12</f>
        <v>4.3005411199865984</v>
      </c>
      <c r="CN40" s="22">
        <f t="shared" si="12"/>
        <v>54.436647178229407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1">
        <f t="shared" si="32"/>
        <v>8.7168467992286693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67">
        <f t="shared" si="1"/>
        <v>357.04079484198991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9.5625</v>
      </c>
      <c r="N41" s="13">
        <f>IF('Données projet'!$A$36&gt;35,N40+M41-V40,IF(A41&lt;'Données projet'!$A$36,$K$205^A41,IF(A41='Données projet'!$A$36,'Données projet'!$B$36,N40+M41-V40)))</f>
        <v>201.5</v>
      </c>
      <c r="O41" s="13">
        <f>N41*VLOOKUP('Données projet'!$B$9,Paramètres!$A$1:$I$89,3,0)*VLOOKUP('Données projet'!$B$9,Paramètres!$A$1:$I$89,5,0)</f>
        <v>120.497</v>
      </c>
      <c r="P41" s="13">
        <f t="shared" si="33"/>
        <v>31.790888484192322</v>
      </c>
      <c r="Q41" s="20">
        <f t="shared" si="53"/>
        <v>265.23473910996825</v>
      </c>
      <c r="R41" s="59">
        <f t="shared" si="0"/>
        <v>558.56807244330162</v>
      </c>
      <c r="S41" s="59">
        <f ca="1">AVERAGE(OFFSET($R$3,0,0,'Données projet'!$E$9+1,1))-AVERAGE(OFFSET($H$3,0,0,'Données projet'!$E$9+1,1))</f>
        <v>125.14227069357082</v>
      </c>
      <c r="T41" s="59">
        <f t="shared" si="34"/>
        <v>193.39407925063165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12.528117438084214</v>
      </c>
      <c r="AB41" s="21">
        <f>EXP(-LN(2)/2)*AB40+(1-EXP(-LN(2)/2))/(LN(2)/2)*V41*Y41*VLOOKUP('Données projet'!$B$9,Paramètres!$A$1:$I$89,3,0)*0.475*44/12</f>
        <v>1.7106720872030896</v>
      </c>
      <c r="AC41" s="22">
        <f t="shared" si="3"/>
        <v>14.238789525287304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8.84375</v>
      </c>
      <c r="AI41" s="13">
        <f>IF('Données projet'!$A$62&gt;35,AI40+AH41-AQ40,IF(A41&lt;'Données projet'!$A$62,$AF$205^A41,IF(A41='Données projet'!$A$62,'Données projet'!$B$62,AI40+AH41-AQ40)))</f>
        <v>187.77875</v>
      </c>
      <c r="AJ41" s="13">
        <f>AI41*VLOOKUP('Données projet'!$B$10,Paramètres!$A$1:$I$89,3,0)*VLOOKUP('Données projet'!$B$10,Paramètres!$A$1:$I$89,5,0)</f>
        <v>87.880454999999998</v>
      </c>
      <c r="AK41" s="13">
        <f t="shared" si="35"/>
        <v>24.053334912662475</v>
      </c>
      <c r="AL41" s="20">
        <f t="shared" si="4"/>
        <v>194.95135076455381</v>
      </c>
      <c r="AM41" s="59">
        <f t="shared" si="5"/>
        <v>488.28468409788712</v>
      </c>
      <c r="AN41" s="59">
        <f ca="1">AVERAGE(OFFSET($AM$3,0,0,'Données projet'!$E$10+1,1))-AVERAGE(OFFSET($H$3,0,0,'Données projet'!$E$10+1,1))</f>
        <v>74.573470247551825</v>
      </c>
      <c r="AO41" s="59">
        <f t="shared" si="36"/>
        <v>122.43655207772224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6.4553545107653258</v>
      </c>
      <c r="AW41" s="21">
        <f>EXP(-LN(2)/2)*AW40+(1-EXP(-LN(2)/2))/(LN(2)/2)*AQ41*AT41*VLOOKUP('Données projet'!$B$10,Paramètres!$A$1:$I$89,3,0)*0.475*44/12</f>
        <v>2.4511078008738081</v>
      </c>
      <c r="AX41" s="21">
        <f t="shared" si="6"/>
        <v>8.9064623116391335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5.4</v>
      </c>
      <c r="BD41" s="12">
        <f>IF('Données projet'!$A$88&gt;35,BD40+BC41-BL40,IF(A41&lt;'Données projet'!$A$88,$BA$205^A41,IF(A41='Données projet'!$A$88,'Données projet'!$B$88,BD40+BC41-BL40)))</f>
        <v>82.200000000000017</v>
      </c>
      <c r="BE41" s="13">
        <f>BD41*VLOOKUP('Données projet'!$B$11,Paramètres!$A$1:$I$89,3,0)*VLOOKUP('Données projet'!$B$11,Paramètres!$A$1:$I$89,5,0)</f>
        <v>83.350800000000021</v>
      </c>
      <c r="BF41" s="13">
        <f t="shared" si="37"/>
        <v>22.954505421678146</v>
      </c>
      <c r="BG41" s="20">
        <f t="shared" si="7"/>
        <v>185.14840694275611</v>
      </c>
      <c r="BH41" s="59">
        <f t="shared" si="8"/>
        <v>478.48174027608945</v>
      </c>
      <c r="BI41" s="59">
        <f ca="1">AVERAGE(OFFSET($BH$3,0,0,'Données projet'!$E$11+1,1))-AVERAGE(OFFSET($H$3,0,0,'Données projet'!$E$11+1,1))</f>
        <v>183.74583738362492</v>
      </c>
      <c r="BJ41" s="59">
        <f t="shared" si="38"/>
        <v>46.344307013926596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29.2</v>
      </c>
      <c r="BY41" s="12">
        <f>IF('Données projet'!$A$114&gt;35,BY40+BX41-CG40,IF(A41&lt;'Données projet'!$A$114,$BV$205^A41,IF(A41='Données projet'!$A$114,'Données projet'!$B$114,BY40+BX41-CG40)))</f>
        <v>432.5999999999998</v>
      </c>
      <c r="BZ41" s="13">
        <f>BY41*VLOOKUP('Données projet'!$B$12,Paramètres!$A$1:$I$89,3,0)*VLOOKUP('Données projet'!$B$12,Paramètres!$A$1:$I$89,5,0)</f>
        <v>191.20919999999992</v>
      </c>
      <c r="CA41" s="13">
        <f t="shared" si="39"/>
        <v>47.807191015656663</v>
      </c>
      <c r="CB41" s="20">
        <f t="shared" si="10"/>
        <v>416.28688101893516</v>
      </c>
      <c r="CC41" s="59">
        <f t="shared" si="11"/>
        <v>709.62021435226848</v>
      </c>
      <c r="CD41" s="59">
        <f ca="1">AVERAGE(OFFSET($CC$3,0,0,'Données projet'!$E$12+1,1))-AVERAGE(OFFSET($H$3,0,0,'Données projet'!$E$12+1,1))</f>
        <v>333.00091572040611</v>
      </c>
      <c r="CE41" s="59">
        <f t="shared" si="40"/>
        <v>267.06874181561398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25.504356009947276</v>
      </c>
      <c r="CL41" s="21">
        <f>EXP(-LN(2)/25)*CL40+(1-EXP(-LN(2)/25))/(LN(2)/25)*Calculateur!CG41*Calculateur!CI41*VLOOKUP('Données projet'!$B$12,Paramètres!$A$1:$I$89,3,0)*0.475*44/12</f>
        <v>23.462014862012673</v>
      </c>
      <c r="CM41" s="21">
        <f>EXP(-LN(2)/2)*CM40+(1-EXP(-LN(2)/2))/(LN(2)/2)*CG41*CJ41*VLOOKUP('Données projet'!$B$12,Paramètres!$A$1:$I$89,3,0)*0.475*44/12</f>
        <v>3.0409417887141137</v>
      </c>
      <c r="CN41" s="22">
        <f t="shared" si="12"/>
        <v>52.007312660674067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1">
        <f t="shared" si="32"/>
        <v>8.9192289896543855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67">
        <f t="shared" si="1"/>
        <v>358.67026715698137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9.5625</v>
      </c>
      <c r="N42" s="13">
        <f>IF('Données projet'!$A$36&gt;35,N41+M42-V41,IF(A42&lt;'Données projet'!$A$36,$K$205^A42,IF(A42='Données projet'!$A$36,'Données projet'!$B$36,N41+M42-V41)))</f>
        <v>211.0625</v>
      </c>
      <c r="O42" s="13">
        <f>N42*VLOOKUP('Données projet'!$B$9,Paramètres!$A$1:$I$89,3,0)*VLOOKUP('Données projet'!$B$9,Paramètres!$A$1:$I$89,5,0)</f>
        <v>126.21537500000001</v>
      </c>
      <c r="P42" s="13">
        <f t="shared" si="33"/>
        <v>33.12034557610545</v>
      </c>
      <c r="Q42" s="20">
        <f t="shared" si="53"/>
        <v>277.50971333671703</v>
      </c>
      <c r="R42" s="59">
        <f t="shared" si="0"/>
        <v>570.8430466700504</v>
      </c>
      <c r="S42" s="59">
        <f ca="1">AVERAGE(OFFSET($R$3,0,0,'Données projet'!$E$9+1,1))-AVERAGE(OFFSET($H$3,0,0,'Données projet'!$E$9+1,1))</f>
        <v>125.14227069357082</v>
      </c>
      <c r="T42" s="59">
        <f t="shared" si="34"/>
        <v>193.39407925063165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12.185535407914738</v>
      </c>
      <c r="AB42" s="21">
        <f>EXP(-LN(2)/2)*AB41+(1-EXP(-LN(2)/2))/(LN(2)/2)*V42*Y42*VLOOKUP('Données projet'!$B$9,Paramètres!$A$1:$I$89,3,0)*0.475*44/12</f>
        <v>1.2096278332478496</v>
      </c>
      <c r="AC42" s="22">
        <f t="shared" si="3"/>
        <v>13.395163241162589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8.84375</v>
      </c>
      <c r="AI42" s="13">
        <f>IF('Données projet'!$A$62&gt;35,AI41+AH42-AQ41,IF(A42&lt;'Données projet'!$A$62,$AF$205^A42,IF(A42='Données projet'!$A$62,'Données projet'!$B$62,AI41+AH42-AQ41)))</f>
        <v>196.6225</v>
      </c>
      <c r="AJ42" s="13">
        <f>AI42*VLOOKUP('Données projet'!$B$10,Paramètres!$A$1:$I$89,3,0)*VLOOKUP('Données projet'!$B$10,Paramètres!$A$1:$I$89,5,0)</f>
        <v>92.019329999999997</v>
      </c>
      <c r="AK42" s="13">
        <f t="shared" si="35"/>
        <v>25.051608053503738</v>
      </c>
      <c r="AL42" s="20">
        <f t="shared" si="4"/>
        <v>203.89855044318566</v>
      </c>
      <c r="AM42" s="59">
        <f t="shared" si="5"/>
        <v>497.231883776519</v>
      </c>
      <c r="AN42" s="59">
        <f ca="1">AVERAGE(OFFSET($AM$3,0,0,'Données projet'!$E$10+1,1))-AVERAGE(OFFSET($H$3,0,0,'Données projet'!$E$10+1,1))</f>
        <v>74.573470247551825</v>
      </c>
      <c r="AO42" s="59">
        <f t="shared" si="36"/>
        <v>122.43655207772224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6.2788325021961082</v>
      </c>
      <c r="AW42" s="21">
        <f>EXP(-LN(2)/2)*AW41+(1-EXP(-LN(2)/2))/(LN(2)/2)*AQ42*AT42*VLOOKUP('Données projet'!$B$10,Paramètres!$A$1:$I$89,3,0)*0.475*44/12</f>
        <v>1.7331949474171156</v>
      </c>
      <c r="AX42" s="21">
        <f t="shared" si="6"/>
        <v>8.0120274496132247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5.4</v>
      </c>
      <c r="BD42" s="12">
        <f>IF('Données projet'!$A$88&gt;35,BD41+BC42-BL41,IF(A42&lt;'Données projet'!$A$88,$BA$205^A42,IF(A42='Données projet'!$A$88,'Données projet'!$B$88,BD41+BC42-BL41)))</f>
        <v>87.600000000000023</v>
      </c>
      <c r="BE42" s="13">
        <f>BD42*VLOOKUP('Données projet'!$B$11,Paramètres!$A$1:$I$89,3,0)*VLOOKUP('Données projet'!$B$11,Paramètres!$A$1:$I$89,5,0)</f>
        <v>88.826400000000035</v>
      </c>
      <c r="BF42" s="13">
        <f t="shared" si="37"/>
        <v>24.281965074432801</v>
      </c>
      <c r="BG42" s="20">
        <f t="shared" si="7"/>
        <v>196.99706917130388</v>
      </c>
      <c r="BH42" s="59">
        <f t="shared" si="8"/>
        <v>490.33040250463716</v>
      </c>
      <c r="BI42" s="59">
        <f ca="1">AVERAGE(OFFSET($BH$3,0,0,'Données projet'!$E$11+1,1))-AVERAGE(OFFSET($H$3,0,0,'Données projet'!$E$11+1,1))</f>
        <v>183.74583738362492</v>
      </c>
      <c r="BJ42" s="59">
        <f t="shared" si="38"/>
        <v>46.344307013926596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29.2</v>
      </c>
      <c r="BY42" s="12">
        <f>IF('Données projet'!$A$114&gt;35,BY41+BX42-CG41,IF(A42&lt;'Données projet'!$A$114,$BV$205^A42,IF(A42='Données projet'!$A$114,'Données projet'!$B$114,BY41+BX42-CG41)))</f>
        <v>461.79999999999978</v>
      </c>
      <c r="BZ42" s="13">
        <f>BY42*VLOOKUP('Données projet'!$B$12,Paramètres!$A$1:$I$89,3,0)*VLOOKUP('Données projet'!$B$12,Paramètres!$A$1:$I$89,5,0)</f>
        <v>204.11559999999994</v>
      </c>
      <c r="CA42" s="13">
        <f t="shared" si="39"/>
        <v>50.647576998395735</v>
      </c>
      <c r="CB42" s="20">
        <f t="shared" si="10"/>
        <v>443.7125332722058</v>
      </c>
      <c r="CC42" s="59">
        <f t="shared" si="11"/>
        <v>737.04586660553912</v>
      </c>
      <c r="CD42" s="59">
        <f ca="1">AVERAGE(OFFSET($CC$3,0,0,'Données projet'!$E$12+1,1))-AVERAGE(OFFSET($H$3,0,0,'Données projet'!$E$12+1,1))</f>
        <v>333.00091572040611</v>
      </c>
      <c r="CE42" s="59">
        <f t="shared" si="40"/>
        <v>267.06874181561398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25.004231144713337</v>
      </c>
      <c r="CL42" s="21">
        <f>EXP(-LN(2)/25)*CL41+(1-EXP(-LN(2)/25))/(LN(2)/25)*Calculateur!CG42*Calculateur!CI42*VLOOKUP('Données projet'!$B$12,Paramètres!$A$1:$I$89,3,0)*0.475*44/12</f>
        <v>22.820444831797197</v>
      </c>
      <c r="CM42" s="21">
        <f>EXP(-LN(2)/2)*CM41+(1-EXP(-LN(2)/2))/(LN(2)/2)*CG42*CJ42*VLOOKUP('Données projet'!$B$12,Paramètres!$A$1:$I$89,3,0)*0.475*44/12</f>
        <v>2.1502705599932992</v>
      </c>
      <c r="CN42" s="22">
        <f t="shared" si="12"/>
        <v>49.974946536503836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1">
        <f t="shared" si="32"/>
        <v>9.1210079777371842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67">
        <f t="shared" si="1"/>
        <v>360.29868889455889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9.5625</v>
      </c>
      <c r="N43" s="13">
        <f>IF('Données projet'!$A$36&gt;35,N42+M43-V42,IF(A43&lt;'Données projet'!$A$36,$K$205^A43,IF(A43='Données projet'!$A$36,'Données projet'!$B$36,N42+M43-V42)))</f>
        <v>220.625</v>
      </c>
      <c r="O43" s="13">
        <f>N43*VLOOKUP('Données projet'!$B$9,Paramètres!$A$1:$I$89,3,0)*VLOOKUP('Données projet'!$B$9,Paramètres!$A$1:$I$89,5,0)</f>
        <v>131.93375000000003</v>
      </c>
      <c r="P43" s="13">
        <f t="shared" si="33"/>
        <v>34.442807471301478</v>
      </c>
      <c r="Q43" s="20">
        <f t="shared" si="53"/>
        <v>289.77250426251675</v>
      </c>
      <c r="R43" s="59">
        <f t="shared" si="0"/>
        <v>583.10583759585006</v>
      </c>
      <c r="S43" s="59">
        <f ca="1">AVERAGE(OFFSET($R$3,0,0,'Données projet'!$E$9+1,1))-AVERAGE(OFFSET($H$3,0,0,'Données projet'!$E$9+1,1))</f>
        <v>125.14227069357082</v>
      </c>
      <c r="T43" s="59">
        <f t="shared" si="34"/>
        <v>193.39407925063165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11.852321301375852</v>
      </c>
      <c r="AB43" s="21">
        <f>EXP(-LN(2)/2)*AB42+(1-EXP(-LN(2)/2))/(LN(2)/2)*V43*Y43*VLOOKUP('Données projet'!$B$9,Paramètres!$A$1:$I$89,3,0)*0.475*44/12</f>
        <v>0.8553360436015448</v>
      </c>
      <c r="AC43" s="22">
        <f t="shared" si="3"/>
        <v>12.707657344977397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8.84375</v>
      </c>
      <c r="AI43" s="13">
        <f>IF('Données projet'!$A$62&gt;35,AI42+AH43-AQ42,IF(A43&lt;'Données projet'!$A$62,$AF$205^A43,IF(A43='Données projet'!$A$62,'Données projet'!$B$62,AI42+AH43-AQ42)))</f>
        <v>205.46625</v>
      </c>
      <c r="AJ43" s="13">
        <f>AI43*VLOOKUP('Données projet'!$B$10,Paramètres!$A$1:$I$89,3,0)*VLOOKUP('Données projet'!$B$10,Paramètres!$A$1:$I$89,5,0)</f>
        <v>96.158204999999995</v>
      </c>
      <c r="AK43" s="13">
        <f t="shared" si="35"/>
        <v>26.044666559641986</v>
      </c>
      <c r="AL43" s="20">
        <f t="shared" si="4"/>
        <v>212.83666796637644</v>
      </c>
      <c r="AM43" s="59">
        <f t="shared" si="5"/>
        <v>506.17000129970972</v>
      </c>
      <c r="AN43" s="59">
        <f ca="1">AVERAGE(OFFSET($AM$3,0,0,'Données projet'!$E$10+1,1))-AVERAGE(OFFSET($H$3,0,0,'Données projet'!$E$10+1,1))</f>
        <v>74.573470247551825</v>
      </c>
      <c r="AO43" s="59">
        <f t="shared" si="36"/>
        <v>122.43655207772224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6.1071374972341053</v>
      </c>
      <c r="AW43" s="21">
        <f>EXP(-LN(2)/2)*AW42+(1-EXP(-LN(2)/2))/(LN(2)/2)*AQ43*AT43*VLOOKUP('Données projet'!$B$10,Paramètres!$A$1:$I$89,3,0)*0.475*44/12</f>
        <v>1.225553900436904</v>
      </c>
      <c r="AX43" s="21">
        <f t="shared" si="6"/>
        <v>7.3326913976710095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93</v>
      </c>
      <c r="BB43" s="12">
        <f>VLOOKUP(A43,'Données projet'!$A$87:$I$107,9,0)</f>
        <v>5.4</v>
      </c>
      <c r="BC43" s="12">
        <f t="array" ref="BC43">INDEX(BB:BB,MIN(IF(ISNUMBER(BB43:BB239),ROW(BB43:BB239),"")))</f>
        <v>5.4</v>
      </c>
      <c r="BD43" s="12">
        <f>IF('Données projet'!$A$88&gt;35,BD42+BC43-BL42,IF(A43&lt;'Données projet'!$A$88,$BA$205^A43,IF(A43='Données projet'!$A$88,'Données projet'!$B$88,BD42+BC43-BL42)))</f>
        <v>93.000000000000028</v>
      </c>
      <c r="BE43" s="13">
        <f>BD43*VLOOKUP('Données projet'!$B$11,Paramètres!$A$1:$I$89,3,0)*VLOOKUP('Données projet'!$B$11,Paramètres!$A$1:$I$89,5,0)</f>
        <v>94.302000000000035</v>
      </c>
      <c r="BF43" s="13">
        <f t="shared" si="37"/>
        <v>25.599927492506424</v>
      </c>
      <c r="BG43" s="20">
        <f t="shared" si="7"/>
        <v>208.82919038278206</v>
      </c>
      <c r="BH43" s="59">
        <f t="shared" si="8"/>
        <v>502.1625237161154</v>
      </c>
      <c r="BI43" s="59">
        <f ca="1">AVERAGE(OFFSET($BH$3,0,0,'Données projet'!$E$11+1,1))-AVERAGE(OFFSET($H$3,0,0,'Données projet'!$E$11+1,1))</f>
        <v>183.74583738362492</v>
      </c>
      <c r="BJ43" s="59">
        <f t="shared" si="38"/>
        <v>46.344307013926596</v>
      </c>
      <c r="BK43" s="15">
        <f>IF(ISNA(VLOOKUP(A43,'Données projet'!$A$87:$I$107,3,0)),0,VLOOKUP(A43,'Données projet'!$A$87:$I$107,3,0))</f>
        <v>2</v>
      </c>
      <c r="BL43" s="15">
        <f>IF(ISNA(VLOOKUP(A43,'Données projet'!$A$87:$I$107,4,0)),0,VLOOKUP(A43,'Données projet'!$A$87:$I$107,4,0))</f>
        <v>14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491</v>
      </c>
      <c r="BW43" s="12">
        <f>VLOOKUP(A43,'Données projet'!$A$113:$I$133,9,0)</f>
        <v>29.2</v>
      </c>
      <c r="BX43" s="12">
        <f t="array" ref="BX43">INDEX(BW:BW,MIN(IF(ISNUMBER(BW43:BW239),ROW(BW43:BW239),"")))</f>
        <v>29.2</v>
      </c>
      <c r="BY43" s="12">
        <f>IF('Données projet'!$A$114&gt;35,BY42+BX43-CG42,IF(A43&lt;'Données projet'!$A$114,$BV$205^A43,IF(A43='Données projet'!$A$114,'Données projet'!$B$114,BY42+BX43-CG42)))</f>
        <v>490.99999999999977</v>
      </c>
      <c r="BZ43" s="13">
        <f>BY43*VLOOKUP('Données projet'!$B$12,Paramètres!$A$1:$I$89,3,0)*VLOOKUP('Données projet'!$B$12,Paramètres!$A$1:$I$89,5,0)</f>
        <v>217.02199999999993</v>
      </c>
      <c r="CA43" s="13">
        <f t="shared" si="39"/>
        <v>53.467119630174551</v>
      </c>
      <c r="CB43" s="20">
        <f t="shared" si="10"/>
        <v>471.1018833558872</v>
      </c>
      <c r="CC43" s="59">
        <f t="shared" si="11"/>
        <v>764.43521668922051</v>
      </c>
      <c r="CD43" s="59">
        <f ca="1">AVERAGE(OFFSET($CC$3,0,0,'Données projet'!$E$12+1,1))-AVERAGE(OFFSET($H$3,0,0,'Données projet'!$E$12+1,1))</f>
        <v>333.00091572040611</v>
      </c>
      <c r="CE43" s="59">
        <f t="shared" si="40"/>
        <v>267.06874181561398</v>
      </c>
      <c r="CF43" s="15">
        <f>IF(ISNA(VLOOKUP(A43,'Données projet'!$A$113:$I$133,3,0)),0,VLOOKUP(A43,'Données projet'!$A$113:$I$133,3,0))</f>
        <v>5</v>
      </c>
      <c r="CG43" s="15">
        <f>IF(ISNA(VLOOKUP(A43,'Données projet'!$A$113:$I$133,4,0)),0,VLOOKUP(A43,'Données projet'!$A$113:$I$133,4,0))</f>
        <v>70</v>
      </c>
      <c r="CH43" s="16">
        <f>IF(ISNA(VLOOKUP(A43,'Données projet'!$A$113:$I$133,5,0)),0%,VLOOKUP(A43,'Données projet'!$A$113:$I$133,5,0)*VLOOKUP('Données projet'!$B$12,Paramètres!$A$1:$I$89,7,0))</f>
        <v>0.27500000000000002</v>
      </c>
      <c r="CI43" s="16">
        <f>IF(ISNA(VLOOKUP(A43,'Données projet'!$A$113:$I$133,6,0)),0%,VLOOKUP(A43,'Données projet'!$A$113:$I$133,6,0)*VLOOKUP('Données projet'!$B$12,Paramètres!$A$1:$I$89,7,0))</f>
        <v>0.16500000000000001</v>
      </c>
      <c r="CJ43" s="16">
        <f>IF(ISNA(VLOOKUP(A43,'Données projet'!$A$113:$I$133,7,0)),0%,VLOOKUP(A43,'Données projet'!$A$113:$I$133,7,0))</f>
        <v>0.2</v>
      </c>
      <c r="CK43" s="21">
        <f>EXP(-LN(2)/35)*CK42+(1-EXP(-LN(2)/35))/(LN(2)/35)*CG43*CH43*VLOOKUP('Données projet'!$B$12,Paramètres!$A$1:$I$89,3,0)*0.475*44/12</f>
        <v>35.800987092147921</v>
      </c>
      <c r="CL43" s="21">
        <f>EXP(-LN(2)/25)*CL42+(1-EXP(-LN(2)/25))/(LN(2)/25)*Calculateur!CG43*Calculateur!CI43*VLOOKUP('Données projet'!$B$12,Paramètres!$A$1:$I$89,3,0)*0.475*44/12</f>
        <v>28.941997863412556</v>
      </c>
      <c r="CM43" s="21">
        <f>EXP(-LN(2)/2)*CM42+(1-EXP(-LN(2)/2))/(LN(2)/2)*CG43*CJ43*VLOOKUP('Données projet'!$B$12,Paramètres!$A$1:$I$89,3,0)*0.475*44/12</f>
        <v>8.5267243514508273</v>
      </c>
      <c r="CN43" s="22">
        <f t="shared" si="12"/>
        <v>73.269709307011297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1">
        <f t="shared" si="32"/>
        <v>9.3222005779260471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67">
        <f t="shared" si="1"/>
        <v>361.92608933988788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9.5625</v>
      </c>
      <c r="N44" s="13">
        <f>IF('Données projet'!$A$36&gt;35,N43+M44-V43,IF(A44&lt;'Données projet'!$A$36,$K$205^A44,IF(A44='Données projet'!$A$36,'Données projet'!$B$36,N43+M44-V43)))</f>
        <v>230.1875</v>
      </c>
      <c r="O44" s="13">
        <f>N44*VLOOKUP('Données projet'!$B$9,Paramètres!$A$1:$I$89,3,0)*VLOOKUP('Données projet'!$B$9,Paramètres!$A$1:$I$89,5,0)</f>
        <v>137.65212500000001</v>
      </c>
      <c r="P44" s="13">
        <f t="shared" si="33"/>
        <v>35.758612016005777</v>
      </c>
      <c r="Q44" s="20">
        <f t="shared" si="53"/>
        <v>302.02370030287676</v>
      </c>
      <c r="R44" s="59">
        <f t="shared" si="0"/>
        <v>595.35703363621008</v>
      </c>
      <c r="S44" s="59">
        <f ca="1">AVERAGE(OFFSET($R$3,0,0,'Données projet'!$E$9+1,1))-AVERAGE(OFFSET($H$3,0,0,'Données projet'!$E$9+1,1))</f>
        <v>125.14227069357082</v>
      </c>
      <c r="T44" s="59">
        <f t="shared" si="34"/>
        <v>193.39407925063165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11.528218952103241</v>
      </c>
      <c r="AB44" s="21">
        <f>EXP(-LN(2)/2)*AB43+(1-EXP(-LN(2)/2))/(LN(2)/2)*V44*Y44*VLOOKUP('Données projet'!$B$9,Paramètres!$A$1:$I$89,3,0)*0.475*44/12</f>
        <v>0.60481391662392481</v>
      </c>
      <c r="AC44" s="22">
        <f t="shared" si="3"/>
        <v>12.133032868727167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214.31</v>
      </c>
      <c r="AG44" s="12">
        <f>VLOOKUP(A44,'Données projet'!$A$61:$I$81,9,0)</f>
        <v>8.84375</v>
      </c>
      <c r="AH44" s="12">
        <f t="array" ref="AH44">INDEX(AG:AG,MIN(IF(ISNUMBER(AG44:AG240),ROW(AG44:AG240),"")))</f>
        <v>8.84375</v>
      </c>
      <c r="AI44" s="13">
        <f>IF('Données projet'!$A$62&gt;35,AI43+AH44-AQ43,IF(A44&lt;'Données projet'!$A$62,$AF$205^A44,IF(A44='Données projet'!$A$62,'Données projet'!$B$62,AI43+AH44-AQ43)))</f>
        <v>214.31</v>
      </c>
      <c r="AJ44" s="13">
        <f>AI44*VLOOKUP('Données projet'!$B$10,Paramètres!$A$1:$I$89,3,0)*VLOOKUP('Données projet'!$B$10,Paramètres!$A$1:$I$89,5,0)</f>
        <v>100.29708000000001</v>
      </c>
      <c r="AK44" s="13">
        <f t="shared" si="35"/>
        <v>27.032760538151237</v>
      </c>
      <c r="AL44" s="20">
        <f t="shared" si="4"/>
        <v>221.76613893728009</v>
      </c>
      <c r="AM44" s="59">
        <f t="shared" si="5"/>
        <v>515.09947227061343</v>
      </c>
      <c r="AN44" s="59">
        <f ca="1">AVERAGE(OFFSET($AM$3,0,0,'Données projet'!$E$10+1,1))-AVERAGE(OFFSET($H$3,0,0,'Données projet'!$E$10+1,1))</f>
        <v>74.573470247551825</v>
      </c>
      <c r="AO44" s="59">
        <f t="shared" si="36"/>
        <v>122.43655207772224</v>
      </c>
      <c r="AP44" s="15">
        <f>IF(ISNA(VLOOKUP(A44,'Données projet'!$A$61:$I$81,3,0)),0,VLOOKUP(A44,'Données projet'!$A$61:$I$81,3,0))</f>
        <v>3</v>
      </c>
      <c r="AQ44" s="15">
        <f>IF(ISNA(VLOOKUP(A44,'Données projet'!$A$61:$I$81,4,0)),0,VLOOKUP(A44,'Données projet'!$A$61:$I$81,4,0))</f>
        <v>85.55</v>
      </c>
      <c r="AR44" s="16">
        <f>IF(ISNA(VLOOKUP(A44,'Données projet'!$A$61:$I$81,5,0)),0%,VLOOKUP(A44,'Données projet'!$A$61:$I$81,5,0)*VLOOKUP('Données projet'!$B$10,Paramètres!$A$1:$I$89,7,0))</f>
        <v>0.22000000000000003</v>
      </c>
      <c r="AS44" s="16">
        <f>IF(ISNA(VLOOKUP(A44,'Données projet'!$A$61:$I$81,6,0)),0%,VLOOKUP(A44,'Données projet'!$A$61:$I$81,6,0)*VLOOKUP('Données projet'!$B$10,Paramètres!$A$1:$I$89,7,0))</f>
        <v>0.13750000000000001</v>
      </c>
      <c r="AT44" s="16">
        <f>IF(ISNA(VLOOKUP(A44,'Données projet'!$A$61:$I$81,7,0)),0%,VLOOKUP(A44,'Données projet'!$A$61:$I$81,7,0))</f>
        <v>0.35</v>
      </c>
      <c r="AU44" s="21">
        <f>EXP(-LN(2)/35)*AU43+(1-EXP(-LN(2)/35))/(LN(2)/35)*AQ44*AR44*VLOOKUP('Données projet'!$B$10,Paramètres!$A$1:$I$89,3,0)*0.475*44/12</f>
        <v>11.684682180207313</v>
      </c>
      <c r="AV44" s="21">
        <f>EXP(-LN(2)/25)*AV43+(1-EXP(-LN(2)/25))/(LN(2)/25)*Calculateur!AQ44*Calculateur!AS44*VLOOKUP('Données projet'!$B$10,Paramètres!$A$1:$I$89,3,0)*0.475*44/12</f>
        <v>13.214309460118635</v>
      </c>
      <c r="AW44" s="21">
        <f>EXP(-LN(2)/2)*AW43+(1-EXP(-LN(2)/2))/(LN(2)/2)*AQ44*AT44*VLOOKUP('Données projet'!$B$10,Paramètres!$A$1:$I$89,3,0)*0.475*44/12</f>
        <v>16.732670559853702</v>
      </c>
      <c r="AX44" s="21">
        <f t="shared" si="6"/>
        <v>41.631662200179647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84.600000000000023</v>
      </c>
      <c r="BE44" s="13">
        <f>BD44*VLOOKUP('Données projet'!$B$11,Paramètres!$A$1:$I$89,3,0)*VLOOKUP('Données projet'!$B$11,Paramètres!$A$1:$I$89,5,0)</f>
        <v>85.784400000000034</v>
      </c>
      <c r="BF44" s="13">
        <f t="shared" si="37"/>
        <v>23.545702623664209</v>
      </c>
      <c r="BG44" s="20">
        <f t="shared" si="7"/>
        <v>190.41659540288188</v>
      </c>
      <c r="BH44" s="59">
        <f t="shared" si="8"/>
        <v>483.74992873621522</v>
      </c>
      <c r="BI44" s="59">
        <f ca="1">AVERAGE(OFFSET($BH$3,0,0,'Données projet'!$E$11+1,1))-AVERAGE(OFFSET($H$3,0,0,'Données projet'!$E$11+1,1))</f>
        <v>183.74583738362492</v>
      </c>
      <c r="BJ44" s="59">
        <f t="shared" si="38"/>
        <v>46.344307013926596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26.2</v>
      </c>
      <c r="BY44" s="12">
        <f>IF('Données projet'!$A$114&gt;35,BY43+BX44-CG43,IF(A44&lt;'Données projet'!$A$114,$BV$205^A44,IF(A44='Données projet'!$A$114,'Données projet'!$B$114,BY43+BX44-CG43)))</f>
        <v>447.19999999999982</v>
      </c>
      <c r="BZ44" s="13">
        <f>BY44*VLOOKUP('Données projet'!$B$12,Paramètres!$A$1:$I$89,3,0)*VLOOKUP('Données projet'!$B$12,Paramètres!$A$1:$I$89,5,0)</f>
        <v>197.66239999999993</v>
      </c>
      <c r="CA44" s="13">
        <f t="shared" si="39"/>
        <v>49.230083004987826</v>
      </c>
      <c r="CB44" s="20">
        <f t="shared" si="10"/>
        <v>430.00440790035367</v>
      </c>
      <c r="CC44" s="59">
        <f t="shared" si="11"/>
        <v>723.33774123368698</v>
      </c>
      <c r="CD44" s="59">
        <f ca="1">AVERAGE(OFFSET($CC$3,0,0,'Données projet'!$E$12+1,1))-AVERAGE(OFFSET($H$3,0,0,'Données projet'!$E$12+1,1))</f>
        <v>333.00091572040611</v>
      </c>
      <c r="CE44" s="59">
        <f t="shared" si="40"/>
        <v>267.06874181561398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35.098951571716853</v>
      </c>
      <c r="CL44" s="21">
        <f>EXP(-LN(2)/25)*CL43+(1-EXP(-LN(2)/25))/(LN(2)/25)*Calculateur!CG44*Calculateur!CI44*VLOOKUP('Données projet'!$B$12,Paramètres!$A$1:$I$89,3,0)*0.475*44/12</f>
        <v>28.150577409844018</v>
      </c>
      <c r="CM44" s="21">
        <f>EXP(-LN(2)/2)*CM43+(1-EXP(-LN(2)/2))/(LN(2)/2)*CG44*CJ44*VLOOKUP('Données projet'!$B$12,Paramètres!$A$1:$I$89,3,0)*0.475*44/12</f>
        <v>6.0293046102193468</v>
      </c>
      <c r="CN44" s="22">
        <f t="shared" si="12"/>
        <v>69.278833591780213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1">
        <f t="shared" si="32"/>
        <v>9.5228227376882337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67">
        <f t="shared" si="1"/>
        <v>363.55249626814032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9.5625</v>
      </c>
      <c r="N45" s="13">
        <f>IF('Données projet'!$A$36&gt;35,N44+M45-V44,IF(A45&lt;'Données projet'!$A$36,$K$205^A45,IF(A45='Données projet'!$A$36,'Données projet'!$B$36,N44+M45-V44)))</f>
        <v>239.75</v>
      </c>
      <c r="O45" s="13">
        <f>N45*VLOOKUP('Données projet'!$B$9,Paramètres!$A$1:$I$89,3,0)*VLOOKUP('Données projet'!$B$9,Paramètres!$A$1:$I$89,5,0)</f>
        <v>143.37050000000002</v>
      </c>
      <c r="P45" s="13">
        <f t="shared" si="33"/>
        <v>37.068067398551484</v>
      </c>
      <c r="Q45" s="20">
        <f t="shared" si="53"/>
        <v>314.26383821914379</v>
      </c>
      <c r="R45" s="59">
        <f t="shared" si="0"/>
        <v>607.59717155247711</v>
      </c>
      <c r="S45" s="59">
        <f ca="1">AVERAGE(OFFSET($R$3,0,0,'Données projet'!$E$9+1,1))-AVERAGE(OFFSET($H$3,0,0,'Données projet'!$E$9+1,1))</f>
        <v>125.14227069357082</v>
      </c>
      <c r="T45" s="59">
        <f t="shared" si="34"/>
        <v>193.39407925063165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11.212979198615292</v>
      </c>
      <c r="AB45" s="21">
        <f>EXP(-LN(2)/2)*AB44+(1-EXP(-LN(2)/2))/(LN(2)/2)*V45*Y45*VLOOKUP('Données projet'!$B$9,Paramètres!$A$1:$I$89,3,0)*0.475*44/12</f>
        <v>0.4276680218007724</v>
      </c>
      <c r="AC45" s="22">
        <f t="shared" si="3"/>
        <v>11.640647220416064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11.062727272727273</v>
      </c>
      <c r="AI45" s="13">
        <f>IF('Données projet'!$A$62&gt;35,AI44+AH45-AQ44,IF(A45&lt;'Données projet'!$A$62,$AF$205^A45,IF(A45='Données projet'!$A$62,'Données projet'!$B$62,AI44+AH45-AQ44)))</f>
        <v>139.82272727272726</v>
      </c>
      <c r="AJ45" s="13">
        <f>AI45*VLOOKUP('Données projet'!$B$10,Paramètres!$A$1:$I$89,3,0)*VLOOKUP('Données projet'!$B$10,Paramètres!$A$1:$I$89,5,0)</f>
        <v>65.437036363636366</v>
      </c>
      <c r="AK45" s="13">
        <f t="shared" si="35"/>
        <v>18.535905951136645</v>
      </c>
      <c r="AL45" s="20">
        <f t="shared" si="4"/>
        <v>146.25287453156298</v>
      </c>
      <c r="AM45" s="59">
        <f t="shared" si="5"/>
        <v>439.58620786489632</v>
      </c>
      <c r="AN45" s="59">
        <f ca="1">AVERAGE(OFFSET($AM$3,0,0,'Données projet'!$E$10+1,1))-AVERAGE(OFFSET($H$3,0,0,'Données projet'!$E$10+1,1))</f>
        <v>74.573470247551825</v>
      </c>
      <c r="AO45" s="59">
        <f t="shared" si="36"/>
        <v>122.43655207772224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11.455552689605849</v>
      </c>
      <c r="AV45" s="21">
        <f>EXP(-LN(2)/25)*AV44+(1-EXP(-LN(2)/25))/(LN(2)/25)*Calculateur!AQ45*Calculateur!AS45*VLOOKUP('Données projet'!$B$10,Paramètres!$A$1:$I$89,3,0)*0.475*44/12</f>
        <v>12.852963473021358</v>
      </c>
      <c r="AW45" s="21">
        <f>EXP(-LN(2)/2)*AW44+(1-EXP(-LN(2)/2))/(LN(2)/2)*AQ45*AT45*VLOOKUP('Données projet'!$B$10,Paramètres!$A$1:$I$89,3,0)*0.475*44/12</f>
        <v>11.831784820233057</v>
      </c>
      <c r="AX45" s="21">
        <f t="shared" si="6"/>
        <v>36.140300982860268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90.200000000000017</v>
      </c>
      <c r="BE45" s="13">
        <f>BD45*VLOOKUP('Données projet'!$B$11,Paramètres!$A$1:$I$89,3,0)*VLOOKUP('Données projet'!$B$11,Paramètres!$A$1:$I$89,5,0)</f>
        <v>91.462800000000016</v>
      </c>
      <c r="BF45" s="13">
        <f t="shared" si="37"/>
        <v>24.917685409456144</v>
      </c>
      <c r="BG45" s="20">
        <f t="shared" si="7"/>
        <v>202.69601208813614</v>
      </c>
      <c r="BH45" s="59">
        <f t="shared" si="8"/>
        <v>496.02934542146943</v>
      </c>
      <c r="BI45" s="59">
        <f ca="1">AVERAGE(OFFSET($BH$3,0,0,'Données projet'!$E$11+1,1))-AVERAGE(OFFSET($H$3,0,0,'Données projet'!$E$11+1,1))</f>
        <v>183.74583738362492</v>
      </c>
      <c r="BJ45" s="59">
        <f t="shared" si="38"/>
        <v>46.344307013926596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26.2</v>
      </c>
      <c r="BY45" s="12">
        <f>IF('Données projet'!$A$114&gt;35,BY44+BX45-CG44,IF(A45&lt;'Données projet'!$A$114,$BV$205^A45,IF(A45='Données projet'!$A$114,'Données projet'!$B$114,BY44+BX45-CG44)))</f>
        <v>473.39999999999981</v>
      </c>
      <c r="BZ45" s="13">
        <f>BY45*VLOOKUP('Données projet'!$B$12,Paramètres!$A$1:$I$89,3,0)*VLOOKUP('Données projet'!$B$12,Paramètres!$A$1:$I$89,5,0)</f>
        <v>209.24279999999993</v>
      </c>
      <c r="CA45" s="13">
        <f t="shared" si="39"/>
        <v>51.770083677016814</v>
      </c>
      <c r="CB45" s="20">
        <f t="shared" si="10"/>
        <v>454.59743907080411</v>
      </c>
      <c r="CC45" s="59">
        <f t="shared" si="11"/>
        <v>747.93077240413743</v>
      </c>
      <c r="CD45" s="59">
        <f ca="1">AVERAGE(OFFSET($CC$3,0,0,'Données projet'!$E$12+1,1))-AVERAGE(OFFSET($H$3,0,0,'Données projet'!$E$12+1,1))</f>
        <v>333.00091572040611</v>
      </c>
      <c r="CE45" s="59">
        <f t="shared" si="40"/>
        <v>267.06874181561398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34.410682539642053</v>
      </c>
      <c r="CL45" s="21">
        <f>EXP(-LN(2)/25)*CL44+(1-EXP(-LN(2)/25))/(LN(2)/25)*Calculateur!CG45*Calculateur!CI45*VLOOKUP('Données projet'!$B$12,Paramètres!$A$1:$I$89,3,0)*0.475*44/12</f>
        <v>27.380798390197306</v>
      </c>
      <c r="CM45" s="21">
        <f>EXP(-LN(2)/2)*CM44+(1-EXP(-LN(2)/2))/(LN(2)/2)*CG45*CJ45*VLOOKUP('Données projet'!$B$12,Paramètres!$A$1:$I$89,3,0)*0.475*44/12</f>
        <v>4.2633621757254145</v>
      </c>
      <c r="CN45" s="22">
        <f t="shared" si="12"/>
        <v>66.054843105564771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1">
        <f t="shared" si="32"/>
        <v>9.7228896017746997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67">
        <f t="shared" si="1"/>
        <v>365.17793605642424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9.5625</v>
      </c>
      <c r="N46" s="13">
        <f>IF('Données projet'!$A$36&gt;35,N45+M46-V45,IF(A46&lt;'Données projet'!$A$36,$K$205^A46,IF(A46='Données projet'!$A$36,'Données projet'!$B$36,N45+M46-V45)))</f>
        <v>249.3125</v>
      </c>
      <c r="O46" s="13">
        <f>N46*VLOOKUP('Données projet'!$B$9,Paramètres!$A$1:$I$89,3,0)*VLOOKUP('Données projet'!$B$9,Paramètres!$A$1:$I$89,5,0)</f>
        <v>149.088875</v>
      </c>
      <c r="P46" s="13">
        <f t="shared" si="33"/>
        <v>38.371455831302484</v>
      </c>
      <c r="Q46" s="20">
        <f t="shared" si="53"/>
        <v>326.49340953118514</v>
      </c>
      <c r="R46" s="59">
        <f t="shared" si="0"/>
        <v>619.82674286451845</v>
      </c>
      <c r="S46" s="59">
        <f ca="1">AVERAGE(OFFSET($R$3,0,0,'Données projet'!$E$9+1,1))-AVERAGE(OFFSET($H$3,0,0,'Données projet'!$E$9+1,1))</f>
        <v>125.14227069357082</v>
      </c>
      <c r="T46" s="59">
        <f t="shared" si="34"/>
        <v>193.39407925063165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10.906359692764209</v>
      </c>
      <c r="AB46" s="21">
        <f>EXP(-LN(2)/2)*AB45+(1-EXP(-LN(2)/2))/(LN(2)/2)*V46*Y46*VLOOKUP('Données projet'!$B$9,Paramètres!$A$1:$I$89,3,0)*0.475*44/12</f>
        <v>0.3024069583119624</v>
      </c>
      <c r="AC46" s="22">
        <f t="shared" si="3"/>
        <v>11.208766651076171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11.062727272727273</v>
      </c>
      <c r="AI46" s="13">
        <f>IF('Données projet'!$A$62&gt;35,AI45+AH46-AQ45,IF(A46&lt;'Données projet'!$A$62,$AF$205^A46,IF(A46='Données projet'!$A$62,'Données projet'!$B$62,AI45+AH46-AQ45)))</f>
        <v>150.88545454545454</v>
      </c>
      <c r="AJ46" s="13">
        <f>AI46*VLOOKUP('Données projet'!$B$10,Paramètres!$A$1:$I$89,3,0)*VLOOKUP('Données projet'!$B$10,Paramètres!$A$1:$I$89,5,0)</f>
        <v>70.61439272727273</v>
      </c>
      <c r="AK46" s="13">
        <f t="shared" si="35"/>
        <v>19.825955253764139</v>
      </c>
      <c r="AL46" s="20">
        <f t="shared" si="4"/>
        <v>157.51693940030586</v>
      </c>
      <c r="AM46" s="59">
        <f t="shared" si="5"/>
        <v>450.85027273363914</v>
      </c>
      <c r="AN46" s="59">
        <f ca="1">AVERAGE(OFFSET($AM$3,0,0,'Données projet'!$E$10+1,1))-AVERAGE(OFFSET($H$3,0,0,'Données projet'!$E$10+1,1))</f>
        <v>74.573470247551825</v>
      </c>
      <c r="AO46" s="59">
        <f t="shared" si="36"/>
        <v>122.43655207772224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11.230916288559891</v>
      </c>
      <c r="AV46" s="21">
        <f>EXP(-LN(2)/25)*AV45+(1-EXP(-LN(2)/25))/(LN(2)/25)*Calculateur!AQ46*Calculateur!AS46*VLOOKUP('Données projet'!$B$10,Paramètres!$A$1:$I$89,3,0)*0.475*44/12</f>
        <v>12.501498510943616</v>
      </c>
      <c r="AW46" s="21">
        <f>EXP(-LN(2)/2)*AW45+(1-EXP(-LN(2)/2))/(LN(2)/2)*AQ46*AT46*VLOOKUP('Données projet'!$B$10,Paramètres!$A$1:$I$89,3,0)*0.475*44/12</f>
        <v>8.3663352799268509</v>
      </c>
      <c r="AX46" s="21">
        <f t="shared" si="6"/>
        <v>32.09875007943036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95.800000000000011</v>
      </c>
      <c r="BE46" s="13">
        <f>BD46*VLOOKUP('Données projet'!$B$11,Paramètres!$A$1:$I$89,3,0)*VLOOKUP('Données projet'!$B$11,Paramètres!$A$1:$I$89,5,0)</f>
        <v>97.141200000000026</v>
      </c>
      <c r="BF46" s="13">
        <f t="shared" si="37"/>
        <v>26.279782450761708</v>
      </c>
      <c r="BG46" s="20">
        <f t="shared" si="7"/>
        <v>214.95821110174333</v>
      </c>
      <c r="BH46" s="59">
        <f t="shared" si="8"/>
        <v>508.29154443507662</v>
      </c>
      <c r="BI46" s="59">
        <f ca="1">AVERAGE(OFFSET($BH$3,0,0,'Données projet'!$E$11+1,1))-AVERAGE(OFFSET($H$3,0,0,'Données projet'!$E$11+1,1))</f>
        <v>183.74583738362492</v>
      </c>
      <c r="BJ46" s="59">
        <f t="shared" si="38"/>
        <v>46.344307013926596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26.2</v>
      </c>
      <c r="BY46" s="12">
        <f>IF('Données projet'!$A$114&gt;35,BY45+BX46-CG45,IF(A46&lt;'Données projet'!$A$114,$BV$205^A46,IF(A46='Données projet'!$A$114,'Données projet'!$B$114,BY45+BX46-CG45)))</f>
        <v>499.5999999999998</v>
      </c>
      <c r="BZ46" s="13">
        <f>BY46*VLOOKUP('Données projet'!$B$12,Paramètres!$A$1:$I$89,3,0)*VLOOKUP('Données projet'!$B$12,Paramètres!$A$1:$I$89,5,0)</f>
        <v>220.82319999999993</v>
      </c>
      <c r="CA46" s="13">
        <f t="shared" si="39"/>
        <v>54.293765263718157</v>
      </c>
      <c r="CB46" s="20">
        <f t="shared" si="10"/>
        <v>479.16204783430902</v>
      </c>
      <c r="CC46" s="59">
        <f t="shared" si="11"/>
        <v>772.49538116764234</v>
      </c>
      <c r="CD46" s="59">
        <f ca="1">AVERAGE(OFFSET($CC$3,0,0,'Données projet'!$E$12+1,1))-AVERAGE(OFFSET($H$3,0,0,'Données projet'!$E$12+1,1))</f>
        <v>333.00091572040611</v>
      </c>
      <c r="CE46" s="59">
        <f t="shared" si="40"/>
        <v>267.06874181561398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33.735910043483585</v>
      </c>
      <c r="CL46" s="21">
        <f>EXP(-LN(2)/25)*CL45+(1-EXP(-LN(2)/25))/(LN(2)/25)*Calculateur!CG46*Calculateur!CI46*VLOOKUP('Données projet'!$B$12,Paramètres!$A$1:$I$89,3,0)*0.475*44/12</f>
        <v>26.632069018323755</v>
      </c>
      <c r="CM46" s="21">
        <f>EXP(-LN(2)/2)*CM45+(1-EXP(-LN(2)/2))/(LN(2)/2)*CG46*CJ46*VLOOKUP('Données projet'!$B$12,Paramètres!$A$1:$I$89,3,0)*0.475*44/12</f>
        <v>3.0146523051096739</v>
      </c>
      <c r="CN46" s="22">
        <f t="shared" si="12"/>
        <v>63.38263136691701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1">
        <f t="shared" si="32"/>
        <v>9.9224155703389041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67">
        <f t="shared" si="1"/>
        <v>366.80243378500688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9.5625</v>
      </c>
      <c r="N47" s="13">
        <f>IF('Données projet'!$A$36&gt;35,N46+M47-V46,IF(A47&lt;'Données projet'!$A$36,$K$205^A47,IF(A47='Données projet'!$A$36,'Données projet'!$B$36,N46+M47-V46)))</f>
        <v>258.875</v>
      </c>
      <c r="O47" s="13">
        <f>N47*VLOOKUP('Données projet'!$B$9,Paramètres!$A$1:$I$89,3,0)*VLOOKUP('Données projet'!$B$9,Paramètres!$A$1:$I$89,5,0)</f>
        <v>154.80725000000001</v>
      </c>
      <c r="P47" s="13">
        <f t="shared" si="33"/>
        <v>39.669036651800809</v>
      </c>
      <c r="Q47" s="20">
        <f t="shared" si="53"/>
        <v>338.71286591855306</v>
      </c>
      <c r="R47" s="59">
        <f t="shared" si="0"/>
        <v>632.04619925188638</v>
      </c>
      <c r="S47" s="59">
        <f ca="1">AVERAGE(OFFSET($R$3,0,0,'Données projet'!$E$9+1,1))-AVERAGE(OFFSET($H$3,0,0,'Données projet'!$E$9+1,1))</f>
        <v>125.14227069357082</v>
      </c>
      <c r="T47" s="59">
        <f t="shared" si="34"/>
        <v>193.39407925063165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10.608124713425042</v>
      </c>
      <c r="AB47" s="21">
        <f>EXP(-LN(2)/2)*AB46+(1-EXP(-LN(2)/2))/(LN(2)/2)*V47*Y47*VLOOKUP('Données projet'!$B$9,Paramètres!$A$1:$I$89,3,0)*0.475*44/12</f>
        <v>0.2138340109003862</v>
      </c>
      <c r="AC47" s="22">
        <f t="shared" si="3"/>
        <v>10.821958724325428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11.062727272727273</v>
      </c>
      <c r="AI47" s="13">
        <f>IF('Données projet'!$A$62&gt;35,AI46+AH47-AQ46,IF(A47&lt;'Données projet'!$A$62,$AF$205^A47,IF(A47='Données projet'!$A$62,'Données projet'!$B$62,AI46+AH47-AQ46)))</f>
        <v>161.94818181818181</v>
      </c>
      <c r="AJ47" s="13">
        <f>AI47*VLOOKUP('Données projet'!$B$10,Paramètres!$A$1:$I$89,3,0)*VLOOKUP('Données projet'!$B$10,Paramètres!$A$1:$I$89,5,0)</f>
        <v>75.791749090909079</v>
      </c>
      <c r="AK47" s="13">
        <f t="shared" si="35"/>
        <v>21.105031364851143</v>
      </c>
      <c r="AL47" s="20">
        <f t="shared" si="4"/>
        <v>168.76189262711571</v>
      </c>
      <c r="AM47" s="59">
        <f t="shared" si="5"/>
        <v>462.09522596044906</v>
      </c>
      <c r="AN47" s="59">
        <f ca="1">AVERAGE(OFFSET($AM$3,0,0,'Données projet'!$E$10+1,1))-AVERAGE(OFFSET($H$3,0,0,'Données projet'!$E$10+1,1))</f>
        <v>74.573470247551825</v>
      </c>
      <c r="AO47" s="59">
        <f t="shared" si="36"/>
        <v>122.43655207772224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11.010684870323768</v>
      </c>
      <c r="AV47" s="21">
        <f>EXP(-LN(2)/25)*AV46+(1-EXP(-LN(2)/25))/(LN(2)/25)*Calculateur!AQ47*Calculateur!AS47*VLOOKUP('Données projet'!$B$10,Paramètres!$A$1:$I$89,3,0)*0.475*44/12</f>
        <v>12.15964437673663</v>
      </c>
      <c r="AW47" s="21">
        <f>EXP(-LN(2)/2)*AW46+(1-EXP(-LN(2)/2))/(LN(2)/2)*AQ47*AT47*VLOOKUP('Données projet'!$B$10,Paramètres!$A$1:$I$89,3,0)*0.475*44/12</f>
        <v>5.9158924101165287</v>
      </c>
      <c r="AX47" s="21">
        <f t="shared" si="6"/>
        <v>29.086221657176928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101.4</v>
      </c>
      <c r="BE47" s="13">
        <f>BD47*VLOOKUP('Données projet'!$B$11,Paramètres!$A$1:$I$89,3,0)*VLOOKUP('Données projet'!$B$11,Paramètres!$A$1:$I$89,5,0)</f>
        <v>102.81960000000002</v>
      </c>
      <c r="BF47" s="13">
        <f t="shared" si="37"/>
        <v>27.632637448562328</v>
      </c>
      <c r="BG47" s="20">
        <f t="shared" si="7"/>
        <v>227.20431355624609</v>
      </c>
      <c r="BH47" s="59">
        <f t="shared" si="8"/>
        <v>520.53764688957938</v>
      </c>
      <c r="BI47" s="59">
        <f ca="1">AVERAGE(OFFSET($BH$3,0,0,'Données projet'!$E$11+1,1))-AVERAGE(OFFSET($H$3,0,0,'Données projet'!$E$11+1,1))</f>
        <v>183.74583738362492</v>
      </c>
      <c r="BJ47" s="59">
        <f t="shared" si="38"/>
        <v>46.344307013926596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26.2</v>
      </c>
      <c r="BY47" s="12">
        <f>IF('Données projet'!$A$114&gt;35,BY46+BX47-CG46,IF(A47&lt;'Données projet'!$A$114,$BV$205^A47,IF(A47='Données projet'!$A$114,'Données projet'!$B$114,BY46+BX47-CG46)))</f>
        <v>525.79999999999984</v>
      </c>
      <c r="BZ47" s="13">
        <f>BY47*VLOOKUP('Données projet'!$B$12,Paramètres!$A$1:$I$89,3,0)*VLOOKUP('Données projet'!$B$12,Paramètres!$A$1:$I$89,5,0)</f>
        <v>232.40359999999995</v>
      </c>
      <c r="CA47" s="13">
        <f t="shared" si="39"/>
        <v>56.802081171534908</v>
      </c>
      <c r="CB47" s="20">
        <f t="shared" si="10"/>
        <v>503.69989470708992</v>
      </c>
      <c r="CC47" s="59">
        <f t="shared" si="11"/>
        <v>797.03322804042318</v>
      </c>
      <c r="CD47" s="59">
        <f ca="1">AVERAGE(OFFSET($CC$3,0,0,'Données projet'!$E$12+1,1))-AVERAGE(OFFSET($H$3,0,0,'Données projet'!$E$12+1,1))</f>
        <v>333.00091572040611</v>
      </c>
      <c r="CE47" s="59">
        <f t="shared" si="40"/>
        <v>267.06874181561398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33.074369424404203</v>
      </c>
      <c r="CL47" s="21">
        <f>EXP(-LN(2)/25)*CL46+(1-EXP(-LN(2)/25))/(LN(2)/25)*Calculateur!CG47*Calculateur!CI47*VLOOKUP('Données projet'!$B$12,Paramètres!$A$1:$I$89,3,0)*0.475*44/12</f>
        <v>25.903813690498051</v>
      </c>
      <c r="CM47" s="21">
        <f>EXP(-LN(2)/2)*CM46+(1-EXP(-LN(2)/2))/(LN(2)/2)*CG47*CJ47*VLOOKUP('Données projet'!$B$12,Paramètres!$A$1:$I$89,3,0)*0.475*44/12</f>
        <v>2.1316810878627073</v>
      </c>
      <c r="CN47" s="22">
        <f t="shared" si="12"/>
        <v>61.10986420276496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1">
        <f t="shared" si="32"/>
        <v>10.121414351623134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67">
        <f t="shared" si="1"/>
        <v>368.42601332907691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9.5625</v>
      </c>
      <c r="N48" s="13">
        <f>IF('Données projet'!$A$36&gt;35,N47+M48-V47,IF(A48&lt;'Données projet'!$A$36,$K$205^A48,IF(A48='Données projet'!$A$36,'Données projet'!$B$36,N47+M48-V47)))</f>
        <v>268.4375</v>
      </c>
      <c r="O48" s="13">
        <f>N48*VLOOKUP('Données projet'!$B$9,Paramètres!$A$1:$I$89,3,0)*VLOOKUP('Données projet'!$B$9,Paramètres!$A$1:$I$89,5,0)</f>
        <v>160.52562500000002</v>
      </c>
      <c r="P48" s="13">
        <f t="shared" si="33"/>
        <v>40.96104895282415</v>
      </c>
      <c r="Q48" s="20">
        <f t="shared" si="53"/>
        <v>350.92262380116875</v>
      </c>
      <c r="R48" s="59">
        <f t="shared" si="0"/>
        <v>644.25595713450207</v>
      </c>
      <c r="S48" s="59">
        <f ca="1">AVERAGE(OFFSET($R$3,0,0,'Données projet'!$E$9+1,1))-AVERAGE(OFFSET($H$3,0,0,'Données projet'!$E$9+1,1))</f>
        <v>125.14227069357082</v>
      </c>
      <c r="T48" s="59">
        <f t="shared" si="34"/>
        <v>193.39407925063165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10.3180449852794</v>
      </c>
      <c r="AB48" s="21">
        <f>EXP(-LN(2)/2)*AB47+(1-EXP(-LN(2)/2))/(LN(2)/2)*V48*Y48*VLOOKUP('Données projet'!$B$9,Paramètres!$A$1:$I$89,3,0)*0.475*44/12</f>
        <v>0.1512034791559812</v>
      </c>
      <c r="AC48" s="22">
        <f t="shared" si="3"/>
        <v>10.469248464435381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11.062727272727273</v>
      </c>
      <c r="AI48" s="13">
        <f>IF('Données projet'!$A$62&gt;35,AI47+AH48-AQ47,IF(A48&lt;'Données projet'!$A$62,$AF$205^A48,IF(A48='Données projet'!$A$62,'Données projet'!$B$62,AI47+AH48-AQ47)))</f>
        <v>173.01090909090908</v>
      </c>
      <c r="AJ48" s="13">
        <f>AI48*VLOOKUP('Données projet'!$B$10,Paramètres!$A$1:$I$89,3,0)*VLOOKUP('Données projet'!$B$10,Paramètres!$A$1:$I$89,5,0)</f>
        <v>80.969105454545456</v>
      </c>
      <c r="AK48" s="13">
        <f t="shared" si="35"/>
        <v>22.373969142259156</v>
      </c>
      <c r="AL48" s="20">
        <f t="shared" si="4"/>
        <v>179.98918825610136</v>
      </c>
      <c r="AM48" s="59">
        <f t="shared" si="5"/>
        <v>473.3225215894347</v>
      </c>
      <c r="AN48" s="59">
        <f ca="1">AVERAGE(OFFSET($AM$3,0,0,'Données projet'!$E$10+1,1))-AVERAGE(OFFSET($H$3,0,0,'Données projet'!$E$10+1,1))</f>
        <v>74.573470247551825</v>
      </c>
      <c r="AO48" s="59">
        <f t="shared" si="36"/>
        <v>122.43655207772224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10.794772055871354</v>
      </c>
      <c r="AV48" s="21">
        <f>EXP(-LN(2)/25)*AV47+(1-EXP(-LN(2)/25))/(LN(2)/25)*Calculateur!AQ48*Calculateur!AS48*VLOOKUP('Données projet'!$B$10,Paramètres!$A$1:$I$89,3,0)*0.475*44/12</f>
        <v>11.82713826180686</v>
      </c>
      <c r="AW48" s="21">
        <f>EXP(-LN(2)/2)*AW47+(1-EXP(-LN(2)/2))/(LN(2)/2)*AQ48*AT48*VLOOKUP('Données projet'!$B$10,Paramètres!$A$1:$I$89,3,0)*0.475*44/12</f>
        <v>4.1831676399634254</v>
      </c>
      <c r="AX48" s="21">
        <f t="shared" si="6"/>
        <v>26.80507795764164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107</v>
      </c>
      <c r="BB48" s="12">
        <f>VLOOKUP(A48,'Données projet'!$A$87:$I$107,9,0)</f>
        <v>5.6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107</v>
      </c>
      <c r="BE48" s="13">
        <f>BD48*VLOOKUP('Données projet'!$B$11,Paramètres!$A$1:$I$89,3,0)*VLOOKUP('Données projet'!$B$11,Paramètres!$A$1:$I$89,5,0)</f>
        <v>108.498</v>
      </c>
      <c r="BF48" s="13">
        <f t="shared" si="37"/>
        <v>28.976818989145283</v>
      </c>
      <c r="BG48" s="20">
        <f t="shared" si="7"/>
        <v>239.43530973942802</v>
      </c>
      <c r="BH48" s="59">
        <f t="shared" si="8"/>
        <v>532.76864307276128</v>
      </c>
      <c r="BI48" s="59">
        <f ca="1">AVERAGE(OFFSET($BH$3,0,0,'Données projet'!$E$11+1,1))-AVERAGE(OFFSET($H$3,0,0,'Données projet'!$E$11+1,1))</f>
        <v>183.74583738362492</v>
      </c>
      <c r="BJ48" s="59">
        <f t="shared" si="38"/>
        <v>46.344307013926596</v>
      </c>
      <c r="BK48" s="15">
        <f>IF(ISNA(VLOOKUP(A48,'Données projet'!$A$87:$I$107,3,0)),0,VLOOKUP(A48,'Données projet'!$A$87:$I$107,3,0))</f>
        <v>3</v>
      </c>
      <c r="BL48" s="15">
        <f>IF(ISNA(VLOOKUP(A48,'Données projet'!$A$87:$I$107,4,0)),0,VLOOKUP(A48,'Données projet'!$A$87:$I$107,4,0))</f>
        <v>14</v>
      </c>
      <c r="BM48" s="16">
        <f>IF(ISNA(VLOOKUP(A48,'Données projet'!$A$87:$I$107,5,0)),0%,VLOOKUP(A48,'Données projet'!$A$87:$I$107,5,0)*VLOOKUP('Données projet'!$B$11,Paramètres!$A$1:$I$89,7,0))</f>
        <v>0.17200000000000001</v>
      </c>
      <c r="BN48" s="16">
        <f>IF(ISNA(VLOOKUP(A48,'Données projet'!$A$87:$I$107,6,0)),0%,VLOOKUP(A48,'Données projet'!$A$87:$I$107,6,0)*VLOOKUP('Données projet'!$B$11,Paramètres!$A$1:$I$89,7,0))</f>
        <v>3.44E-2</v>
      </c>
      <c r="BO48" s="16">
        <f>IF(ISNA(VLOOKUP(A48,'Données projet'!$A$87:$I$107,7,0)),0%,VLOOKUP(A48,'Données projet'!$A$87:$I$107,7,0))</f>
        <v>0.12</v>
      </c>
      <c r="BP48" s="21">
        <f>EXP(-LN(2)/35)*BP47+(1-EXP(-LN(2)/35))/(LN(2)/35)*BL48*BM48*VLOOKUP('Données projet'!$B$11,Paramètres!$A$1:$I$89,3,0)*0.475*44/12</f>
        <v>2.6992402913501592</v>
      </c>
      <c r="BQ48" s="21">
        <f>EXP(-LN(2)/25)*BQ47+(1-EXP(-LN(2)/25))/(LN(2)/25)*Calculateur!BL48*Calculateur!BN48*VLOOKUP('Données projet'!$B$11,Paramètres!$A$1:$I$89,3,0)*0.475*44/12</f>
        <v>0.53772247076638602</v>
      </c>
      <c r="BR48" s="21">
        <f>EXP(-LN(2)/2)*BR47+(1-EXP(-LN(2)/2))/(LN(2)/2)*BL48*BO48*VLOOKUP('Données projet'!$B$11,Paramètres!$A$1:$I$89,3,0)*0.475*44/12</f>
        <v>1.607316969568571</v>
      </c>
      <c r="BS48" s="22">
        <f t="shared" si="9"/>
        <v>4.8442797316851163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552</v>
      </c>
      <c r="BW48" s="12">
        <f>VLOOKUP(A48,'Données projet'!$A$113:$I$133,9,0)</f>
        <v>26.2</v>
      </c>
      <c r="BX48" s="12">
        <f t="array" ref="BX48">INDEX(BW:BW,MIN(IF(ISNUMBER(BW48:BW244),ROW(BW48:BW244),"")))</f>
        <v>26.2</v>
      </c>
      <c r="BY48" s="12">
        <f>IF('Données projet'!$A$114&gt;35,BY47+BX48-CG47,IF(A48&lt;'Données projet'!$A$114,$BV$205^A48,IF(A48='Données projet'!$A$114,'Données projet'!$B$114,BY47+BX48-CG47)))</f>
        <v>551.99999999999989</v>
      </c>
      <c r="BZ48" s="13">
        <f>BY48*VLOOKUP('Données projet'!$B$12,Paramètres!$A$1:$I$89,3,0)*VLOOKUP('Données projet'!$B$12,Paramètres!$A$1:$I$89,5,0)</f>
        <v>243.98399999999998</v>
      </c>
      <c r="CA48" s="13">
        <f t="shared" si="39"/>
        <v>59.295884425254954</v>
      </c>
      <c r="CB48" s="20">
        <f t="shared" si="10"/>
        <v>528.21246537398554</v>
      </c>
      <c r="CC48" s="59">
        <f t="shared" si="11"/>
        <v>821.54579870731891</v>
      </c>
      <c r="CD48" s="59">
        <f ca="1">AVERAGE(OFFSET($CC$3,0,0,'Données projet'!$E$12+1,1))-AVERAGE(OFFSET($H$3,0,0,'Données projet'!$E$12+1,1))</f>
        <v>333.00091572040611</v>
      </c>
      <c r="CE48" s="59">
        <f t="shared" si="40"/>
        <v>267.06874181561398</v>
      </c>
      <c r="CF48" s="15">
        <f>IF(ISNA(VLOOKUP(A48,'Données projet'!$A$113:$I$133,3,0)),0,VLOOKUP(A48,'Données projet'!$A$113:$I$133,3,0))</f>
        <v>6</v>
      </c>
      <c r="CG48" s="15">
        <f>IF(ISNA(VLOOKUP(A48,'Données projet'!$A$113:$I$133,4,0)),0,VLOOKUP(A48,'Données projet'!$A$113:$I$133,4,0))</f>
        <v>60</v>
      </c>
      <c r="CH48" s="16">
        <f>IF(ISNA(VLOOKUP(A48,'Données projet'!$A$113:$I$133,5,0)),0%,VLOOKUP(A48,'Données projet'!$A$113:$I$133,5,0)*VLOOKUP('Données projet'!$B$12,Paramètres!$A$1:$I$89,7,0))</f>
        <v>0.27500000000000002</v>
      </c>
      <c r="CI48" s="16">
        <f>IF(ISNA(VLOOKUP(A48,'Données projet'!$A$113:$I$133,6,0)),0%,VLOOKUP(A48,'Données projet'!$A$113:$I$133,6,0)*VLOOKUP('Données projet'!$B$12,Paramètres!$A$1:$I$89,7,0))</f>
        <v>0.16500000000000001</v>
      </c>
      <c r="CJ48" s="16">
        <f>IF(ISNA(VLOOKUP(A48,'Données projet'!$A$113:$I$133,7,0)),0%,VLOOKUP(A48,'Données projet'!$A$113:$I$133,7,0))</f>
        <v>0.2</v>
      </c>
      <c r="CK48" s="21">
        <f>EXP(-LN(2)/35)*CK47+(1-EXP(-LN(2)/35))/(LN(2)/35)*CG48*CH48*VLOOKUP('Données projet'!$B$12,Paramètres!$A$1:$I$89,3,0)*0.475*44/12</f>
        <v>42.100435786885598</v>
      </c>
      <c r="CL48" s="21">
        <f>EXP(-LN(2)/25)*CL47+(1-EXP(-LN(2)/25))/(LN(2)/25)*Calculateur!CG48*Calculateur!CI48*VLOOKUP('Données projet'!$B$12,Paramètres!$A$1:$I$89,3,0)*0.475*44/12</f>
        <v>30.977397653436928</v>
      </c>
      <c r="CM48" s="21">
        <f>EXP(-LN(2)/2)*CM47+(1-EXP(-LN(2)/2))/(LN(2)/2)*CG48*CJ48*VLOOKUP('Données projet'!$B$12,Paramètres!$A$1:$I$89,3,0)*0.475*44/12</f>
        <v>7.5126862586352141</v>
      </c>
      <c r="CN48" s="22">
        <f t="shared" si="12"/>
        <v>80.590519698957735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1">
        <f t="shared" si="32"/>
        <v>10.319899009829577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67">
        <f t="shared" si="1"/>
        <v>370.04869744211982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278</v>
      </c>
      <c r="L49" s="12">
        <f>VLOOKUP(A49,'Données projet'!$A$35:$I$55,9,0)</f>
        <v>9.5625</v>
      </c>
      <c r="M49" s="12">
        <f t="array" ref="M49">INDEX(L:L,MIN(IF(ISNUMBER(L49:L245),ROW(L49:L245),"")))</f>
        <v>9.5625</v>
      </c>
      <c r="N49" s="13">
        <f>IF('Données projet'!$A$36&gt;35,N48+M49-V48,IF(A49&lt;'Données projet'!$A$36,$K$205^A49,IF(A49='Données projet'!$A$36,'Données projet'!$B$36,N48+M49-V48)))</f>
        <v>278</v>
      </c>
      <c r="O49" s="13">
        <f>N49*VLOOKUP('Données projet'!$B$9,Paramètres!$A$1:$I$89,3,0)*VLOOKUP('Données projet'!$B$9,Paramètres!$A$1:$I$89,5,0)</f>
        <v>166.24400000000003</v>
      </c>
      <c r="P49" s="13">
        <f t="shared" si="33"/>
        <v>42.247713827152431</v>
      </c>
      <c r="Q49" s="20">
        <f t="shared" si="53"/>
        <v>363.12306824895722</v>
      </c>
      <c r="R49" s="59">
        <f t="shared" si="0"/>
        <v>656.45640158229048</v>
      </c>
      <c r="S49" s="59">
        <f ca="1">AVERAGE(OFFSET($R$3,0,0,'Données projet'!$E$9+1,1))-AVERAGE(OFFSET($H$3,0,0,'Données projet'!$E$9+1,1))</f>
        <v>125.14227069357082</v>
      </c>
      <c r="T49" s="59">
        <f t="shared" si="34"/>
        <v>193.39407925063165</v>
      </c>
      <c r="U49" s="15">
        <f>IF(ISNA(VLOOKUP(A49,'Données projet'!$A$35:$I$55,3,0)),0,VLOOKUP(A49,'Données projet'!$A$35:$I$55,3,0))</f>
        <v>3</v>
      </c>
      <c r="V49" s="15">
        <f>IF(ISNA(VLOOKUP(A49,'Données projet'!$A$35:$I$55,4,0)),0,VLOOKUP(A49,'Données projet'!$A$35:$I$55,4,0))</f>
        <v>68</v>
      </c>
      <c r="W49" s="16">
        <f>IF(ISNA(VLOOKUP(A49,'Données projet'!$A$35:$I$55,5,0)),0%,VLOOKUP(A49,'Données projet'!$A$35:$I$55,5,0)*VLOOKUP('Données projet'!$B$9,Paramètres!$A$1:$I$89,7,0))</f>
        <v>0.22500000000000001</v>
      </c>
      <c r="X49" s="16">
        <f>IF(ISNA(VLOOKUP(A49,'Données projet'!$A$35:$I$55,6,0)),0%,VLOOKUP(A49,'Données projet'!$A$35:$I$55,6,0)*VLOOKUP('Données projet'!$B$9,Paramètres!$A$1:$I$89,7,0))</f>
        <v>9.0000000000000011E-2</v>
      </c>
      <c r="Y49" s="16">
        <f>IF(ISNA(VLOOKUP(A49,'Données projet'!$A$35:$I$55,7,0)),0%,VLOOKUP(A49,'Données projet'!$A$35:$I$55,7,0))</f>
        <v>0.3</v>
      </c>
      <c r="Z49" s="21">
        <f>EXP(-LN(2)/35)*Z48+(1-EXP(-LN(2)/35))/(LN(2)/35)*V49*W49*VLOOKUP('Données projet'!$B$9,Paramètres!$A$1:$I$89,3,0)*0.475*44/12</f>
        <v>12.137268828598529</v>
      </c>
      <c r="AA49" s="21">
        <f>EXP(-LN(2)/25)*AA48+(1-EXP(-LN(2)/25))/(LN(2)/25)*Calculateur!V49*Calculateur!X49*VLOOKUP('Données projet'!$B$9,Paramètres!$A$1:$I$89,3,0)*0.475*44/12</f>
        <v>14.871689413177871</v>
      </c>
      <c r="AB49" s="21">
        <f>EXP(-LN(2)/2)*AB48+(1-EXP(-LN(2)/2))/(LN(2)/2)*V49*Y49*VLOOKUP('Données projet'!$B$9,Paramètres!$A$1:$I$89,3,0)*0.475*44/12</f>
        <v>13.919245249435056</v>
      </c>
      <c r="AC49" s="22">
        <f t="shared" si="3"/>
        <v>40.928203491211455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11.062727272727273</v>
      </c>
      <c r="AI49" s="13">
        <f>IF('Données projet'!$A$62&gt;35,AI48+AH49-AQ48,IF(A49&lt;'Données projet'!$A$62,$AF$205^A49,IF(A49='Données projet'!$A$62,'Données projet'!$B$62,AI48+AH49-AQ48)))</f>
        <v>184.07363636363635</v>
      </c>
      <c r="AJ49" s="13">
        <f>AI49*VLOOKUP('Données projet'!$B$10,Paramètres!$A$1:$I$89,3,0)*VLOOKUP('Données projet'!$B$10,Paramètres!$A$1:$I$89,5,0)</f>
        <v>86.146461818181805</v>
      </c>
      <c r="AK49" s="13">
        <f t="shared" si="35"/>
        <v>23.63349064212241</v>
      </c>
      <c r="AL49" s="20">
        <f t="shared" si="4"/>
        <v>191.20008386836318</v>
      </c>
      <c r="AM49" s="59">
        <f t="shared" si="5"/>
        <v>484.53341720169647</v>
      </c>
      <c r="AN49" s="59">
        <f ca="1">AVERAGE(OFFSET($AM$3,0,0,'Données projet'!$E$10+1,1))-AVERAGE(OFFSET($H$3,0,0,'Données projet'!$E$10+1,1))</f>
        <v>74.573470247551825</v>
      </c>
      <c r="AO49" s="59">
        <f t="shared" si="36"/>
        <v>122.43655207772224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10.583093160016539</v>
      </c>
      <c r="AV49" s="21">
        <f>EXP(-LN(2)/25)*AV48+(1-EXP(-LN(2)/25))/(LN(2)/25)*Calculateur!AQ49*Calculateur!AS49*VLOOKUP('Données projet'!$B$10,Paramètres!$A$1:$I$89,3,0)*0.475*44/12</f>
        <v>11.503724544075581</v>
      </c>
      <c r="AW49" s="21">
        <f>EXP(-LN(2)/2)*AW48+(1-EXP(-LN(2)/2))/(LN(2)/2)*AQ49*AT49*VLOOKUP('Données projet'!$B$10,Paramètres!$A$1:$I$89,3,0)*0.475*44/12</f>
        <v>2.9579462050582643</v>
      </c>
      <c r="AX49" s="21">
        <f t="shared" si="6"/>
        <v>25.044763909150383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98.6</v>
      </c>
      <c r="BE49" s="13">
        <f>BD49*VLOOKUP('Données projet'!$B$11,Paramètres!$A$1:$I$89,3,0)*VLOOKUP('Données projet'!$B$11,Paramètres!$A$1:$I$89,5,0)</f>
        <v>99.980400000000003</v>
      </c>
      <c r="BF49" s="13">
        <f t="shared" si="37"/>
        <v>26.957328065359373</v>
      </c>
      <c r="BG49" s="20">
        <f t="shared" si="7"/>
        <v>221.08320971383424</v>
      </c>
      <c r="BH49" s="59">
        <f t="shared" si="8"/>
        <v>514.41654304716758</v>
      </c>
      <c r="BI49" s="59">
        <f ca="1">AVERAGE(OFFSET($BH$3,0,0,'Données projet'!$E$11+1,1))-AVERAGE(OFFSET($H$3,0,0,'Données projet'!$E$11+1,1))</f>
        <v>183.74583738362492</v>
      </c>
      <c r="BJ49" s="59">
        <f t="shared" si="38"/>
        <v>46.344307013926596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2.6463098356107944</v>
      </c>
      <c r="BQ49" s="21">
        <f>EXP(-LN(2)/25)*BQ48+(1-EXP(-LN(2)/25))/(LN(2)/25)*Calculateur!BL49*Calculateur!BN49*VLOOKUP('Données projet'!$B$11,Paramètres!$A$1:$I$89,3,0)*0.475*44/12</f>
        <v>0.52301842152568345</v>
      </c>
      <c r="BR49" s="21">
        <f>EXP(-LN(2)/2)*BR48+(1-EXP(-LN(2)/2))/(LN(2)/2)*BL49*BO49*VLOOKUP('Données projet'!$B$11,Paramètres!$A$1:$I$89,3,0)*0.475*44/12</f>
        <v>1.1365447286981483</v>
      </c>
      <c r="BS49" s="22">
        <f t="shared" si="9"/>
        <v>4.3058729858346254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23.6</v>
      </c>
      <c r="BY49" s="12">
        <f>IF('Données projet'!$A$114&gt;35,BY48+BX49-CG48,IF(A49&lt;'Données projet'!$A$114,$BV$205^A49,IF(A49='Données projet'!$A$114,'Données projet'!$B$114,BY48+BX49-CG48)))</f>
        <v>515.59999999999991</v>
      </c>
      <c r="BZ49" s="13">
        <f>BY49*VLOOKUP('Données projet'!$B$12,Paramètres!$A$1:$I$89,3,0)*VLOOKUP('Données projet'!$B$12,Paramètres!$A$1:$I$89,5,0)</f>
        <v>227.89519999999996</v>
      </c>
      <c r="CA49" s="13">
        <f t="shared" si="39"/>
        <v>55.827331338755826</v>
      </c>
      <c r="CB49" s="20">
        <f t="shared" si="10"/>
        <v>494.15007541499972</v>
      </c>
      <c r="CC49" s="59">
        <f t="shared" si="11"/>
        <v>787.48340874833298</v>
      </c>
      <c r="CD49" s="59">
        <f ca="1">AVERAGE(OFFSET($CC$3,0,0,'Données projet'!$E$12+1,1))-AVERAGE(OFFSET($H$3,0,0,'Données projet'!$E$12+1,1))</f>
        <v>333.00091572040611</v>
      </c>
      <c r="CE49" s="59">
        <f t="shared" si="40"/>
        <v>267.06874181561398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41.274871919835036</v>
      </c>
      <c r="CL49" s="21">
        <f>EXP(-LN(2)/25)*CL48+(1-EXP(-LN(2)/25))/(LN(2)/25)*Calculateur!CG49*Calculateur!CI49*VLOOKUP('Données projet'!$B$12,Paramètres!$A$1:$I$89,3,0)*0.475*44/12</f>
        <v>30.130319085573152</v>
      </c>
      <c r="CM49" s="21">
        <f>EXP(-LN(2)/2)*CM48+(1-EXP(-LN(2)/2))/(LN(2)/2)*CG49*CJ49*VLOOKUP('Données projet'!$B$12,Paramètres!$A$1:$I$89,3,0)*0.475*44/12</f>
        <v>5.3122713984079528</v>
      </c>
      <c r="CN49" s="22">
        <f t="shared" si="12"/>
        <v>76.717462403816143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1">
        <f t="shared" si="32"/>
        <v>10.517882008711249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67">
        <f t="shared" si="1"/>
        <v>371.67050783183868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10.5</v>
      </c>
      <c r="N50" s="13">
        <f>IF('Données projet'!$A$36&gt;35,N49+M50-V49,IF(A50&lt;'Données projet'!$A$36,$K$205^A50,IF(A50='Données projet'!$A$36,'Données projet'!$B$36,N49+M50-V49)))</f>
        <v>220.5</v>
      </c>
      <c r="O50" s="13">
        <f>N50*VLOOKUP('Données projet'!$B$9,Paramètres!$A$1:$I$89,3,0)*VLOOKUP('Données projet'!$B$9,Paramètres!$A$1:$I$89,5,0)</f>
        <v>131.85900000000001</v>
      </c>
      <c r="P50" s="13">
        <f t="shared" si="33"/>
        <v>34.425564033098446</v>
      </c>
      <c r="Q50" s="20">
        <f t="shared" si="53"/>
        <v>289.61228235764645</v>
      </c>
      <c r="R50" s="59">
        <f t="shared" si="0"/>
        <v>582.94561569097982</v>
      </c>
      <c r="S50" s="59">
        <f ca="1">AVERAGE(OFFSET($R$3,0,0,'Données projet'!$E$9+1,1))-AVERAGE(OFFSET($H$3,0,0,'Données projet'!$E$9+1,1))</f>
        <v>125.14227069357082</v>
      </c>
      <c r="T50" s="59">
        <f t="shared" si="34"/>
        <v>193.39407925063165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11.899264389872712</v>
      </c>
      <c r="AA50" s="21">
        <f>EXP(-LN(2)/25)*AA49+(1-EXP(-LN(2)/25))/(LN(2)/25)*Calculateur!V50*Calculateur!X50*VLOOKUP('Données projet'!$B$9,Paramètres!$A$1:$I$89,3,0)*0.475*44/12</f>
        <v>14.465022284106364</v>
      </c>
      <c r="AB50" s="21">
        <f>EXP(-LN(2)/2)*AB49+(1-EXP(-LN(2)/2))/(LN(2)/2)*V50*Y50*VLOOKUP('Données projet'!$B$9,Paramètres!$A$1:$I$89,3,0)*0.475*44/12</f>
        <v>9.8423927048741664</v>
      </c>
      <c r="AC50" s="22">
        <f t="shared" si="3"/>
        <v>36.206679378853245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11.062727272727273</v>
      </c>
      <c r="AI50" s="13">
        <f>IF('Données projet'!$A$62&gt;35,AI49+AH50-AQ49,IF(A50&lt;'Données projet'!$A$62,$AF$205^A50,IF(A50='Données projet'!$A$62,'Données projet'!$B$62,AI49+AH50-AQ49)))</f>
        <v>195.13636363636363</v>
      </c>
      <c r="AJ50" s="13">
        <f>AI50*VLOOKUP('Données projet'!$B$10,Paramètres!$A$1:$I$89,3,0)*VLOOKUP('Données projet'!$B$10,Paramètres!$A$1:$I$89,5,0)</f>
        <v>91.323818181818169</v>
      </c>
      <c r="AK50" s="13">
        <f t="shared" si="35"/>
        <v>24.884226226629711</v>
      </c>
      <c r="AL50" s="20">
        <f t="shared" si="4"/>
        <v>202.39567734471336</v>
      </c>
      <c r="AM50" s="59">
        <f t="shared" si="5"/>
        <v>495.72901067804668</v>
      </c>
      <c r="AN50" s="59">
        <f ca="1">AVERAGE(OFFSET($AM$3,0,0,'Données projet'!$E$10+1,1))-AVERAGE(OFFSET($H$3,0,0,'Données projet'!$E$10+1,1))</f>
        <v>74.573470247551825</v>
      </c>
      <c r="AO50" s="59">
        <f t="shared" si="36"/>
        <v>122.43655207772224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10.375565158198059</v>
      </c>
      <c r="AV50" s="21">
        <f>EXP(-LN(2)/25)*AV49+(1-EXP(-LN(2)/25))/(LN(2)/25)*Calculateur!AQ50*Calculateur!AS50*VLOOKUP('Données projet'!$B$10,Paramètres!$A$1:$I$89,3,0)*0.475*44/12</f>
        <v>11.189154591463252</v>
      </c>
      <c r="AW50" s="21">
        <f>EXP(-LN(2)/2)*AW49+(1-EXP(-LN(2)/2))/(LN(2)/2)*AQ50*AT50*VLOOKUP('Données projet'!$B$10,Paramètres!$A$1:$I$89,3,0)*0.475*44/12</f>
        <v>2.0915838199817127</v>
      </c>
      <c r="AX50" s="21">
        <f t="shared" si="6"/>
        <v>23.656303569643022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104.19999999999999</v>
      </c>
      <c r="BE50" s="13">
        <f>BD50*VLOOKUP('Données projet'!$B$11,Paramètres!$A$1:$I$89,3,0)*VLOOKUP('Données projet'!$B$11,Paramètres!$A$1:$I$89,5,0)</f>
        <v>105.65879999999999</v>
      </c>
      <c r="BF50" s="13">
        <f t="shared" si="37"/>
        <v>28.305779445097851</v>
      </c>
      <c r="BG50" s="20">
        <f t="shared" si="7"/>
        <v>233.32164253354537</v>
      </c>
      <c r="BH50" s="59">
        <f t="shared" si="8"/>
        <v>526.65497586687866</v>
      </c>
      <c r="BI50" s="59">
        <f ca="1">AVERAGE(OFFSET($BH$3,0,0,'Données projet'!$E$11+1,1))-AVERAGE(OFFSET($H$3,0,0,'Données projet'!$E$11+1,1))</f>
        <v>183.74583738362492</v>
      </c>
      <c r="BJ50" s="59">
        <f t="shared" si="38"/>
        <v>46.344307013926596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2.5944173138240885</v>
      </c>
      <c r="BQ50" s="21">
        <f>EXP(-LN(2)/25)*BQ49+(1-EXP(-LN(2)/25))/(LN(2)/25)*Calculateur!BL50*Calculateur!BN50*VLOOKUP('Données projet'!$B$11,Paramètres!$A$1:$I$89,3,0)*0.475*44/12</f>
        <v>0.5087164552847202</v>
      </c>
      <c r="BR50" s="21">
        <f>EXP(-LN(2)/2)*BR49+(1-EXP(-LN(2)/2))/(LN(2)/2)*BL50*BO50*VLOOKUP('Données projet'!$B$11,Paramètres!$A$1:$I$89,3,0)*0.475*44/12</f>
        <v>0.80365848478428559</v>
      </c>
      <c r="BS50" s="22">
        <f t="shared" si="9"/>
        <v>3.9067922538930944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23.6</v>
      </c>
      <c r="BY50" s="12">
        <f>IF('Données projet'!$A$114&gt;35,BY49+BX50-CG49,IF(A50&lt;'Données projet'!$A$114,$BV$205^A50,IF(A50='Données projet'!$A$114,'Données projet'!$B$114,BY49+BX50-CG49)))</f>
        <v>539.19999999999993</v>
      </c>
      <c r="BZ50" s="13">
        <f>BY50*VLOOKUP('Données projet'!$B$12,Paramètres!$A$1:$I$89,3,0)*VLOOKUP('Données projet'!$B$12,Paramètres!$A$1:$I$89,5,0)</f>
        <v>238.32640000000001</v>
      </c>
      <c r="CA50" s="13">
        <f t="shared" si="39"/>
        <v>58.079300769771677</v>
      </c>
      <c r="CB50" s="20">
        <f t="shared" si="10"/>
        <v>516.23992884068559</v>
      </c>
      <c r="CC50" s="59">
        <f t="shared" si="11"/>
        <v>809.57326217401896</v>
      </c>
      <c r="CD50" s="59">
        <f ca="1">AVERAGE(OFFSET($CC$3,0,0,'Données projet'!$E$12+1,1))-AVERAGE(OFFSET($H$3,0,0,'Données projet'!$E$12+1,1))</f>
        <v>333.00091572040611</v>
      </c>
      <c r="CE50" s="59">
        <f t="shared" si="40"/>
        <v>267.06874181561398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40.465496856673099</v>
      </c>
      <c r="CL50" s="21">
        <f>EXP(-LN(2)/25)*CL49+(1-EXP(-LN(2)/25))/(LN(2)/25)*Calculateur!CG50*Calculateur!CI50*VLOOKUP('Données projet'!$B$12,Paramètres!$A$1:$I$89,3,0)*0.475*44/12</f>
        <v>29.306403925693537</v>
      </c>
      <c r="CM50" s="21">
        <f>EXP(-LN(2)/2)*CM49+(1-EXP(-LN(2)/2))/(LN(2)/2)*CG50*CJ50*VLOOKUP('Données projet'!$B$12,Paramètres!$A$1:$I$89,3,0)*0.475*44/12</f>
        <v>3.7563431293176075</v>
      </c>
      <c r="CN50" s="22">
        <f t="shared" si="12"/>
        <v>73.528243911684243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1">
        <f t="shared" si="32"/>
        <v>10.715375251348382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67">
        <f t="shared" si="1"/>
        <v>373.29146522943171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10.5</v>
      </c>
      <c r="N51" s="13">
        <f>IF('Données projet'!$A$36&gt;35,N50+M51-V50,IF(A51&lt;'Données projet'!$A$36,$K$205^A51,IF(A51='Données projet'!$A$36,'Données projet'!$B$36,N50+M51-V50)))</f>
        <v>231</v>
      </c>
      <c r="O51" s="13">
        <f>N51*VLOOKUP('Données projet'!$B$9,Paramètres!$A$1:$I$89,3,0)*VLOOKUP('Données projet'!$B$9,Paramètres!$A$1:$I$89,5,0)</f>
        <v>138.13800000000001</v>
      </c>
      <c r="P51" s="13">
        <f t="shared" si="33"/>
        <v>35.870115614757175</v>
      </c>
      <c r="Q51" s="20">
        <f t="shared" si="53"/>
        <v>303.06413469570208</v>
      </c>
      <c r="R51" s="59">
        <f t="shared" si="0"/>
        <v>596.39746802903539</v>
      </c>
      <c r="S51" s="59">
        <f ca="1">AVERAGE(OFFSET($R$3,0,0,'Données projet'!$E$9+1,1))-AVERAGE(OFFSET($H$3,0,0,'Données projet'!$E$9+1,1))</f>
        <v>125.14227069357082</v>
      </c>
      <c r="T51" s="59">
        <f t="shared" si="34"/>
        <v>193.39407925063165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11.665927073021935</v>
      </c>
      <c r="AA51" s="21">
        <f>EXP(-LN(2)/25)*AA50+(1-EXP(-LN(2)/25))/(LN(2)/25)*Calculateur!V51*Calculateur!X51*VLOOKUP('Données projet'!$B$9,Paramètres!$A$1:$I$89,3,0)*0.475*44/12</f>
        <v>14.069475489065015</v>
      </c>
      <c r="AB51" s="21">
        <f>EXP(-LN(2)/2)*AB50+(1-EXP(-LN(2)/2))/(LN(2)/2)*V51*Y51*VLOOKUP('Données projet'!$B$9,Paramètres!$A$1:$I$89,3,0)*0.475*44/12</f>
        <v>6.9596226247175297</v>
      </c>
      <c r="AC51" s="22">
        <f t="shared" si="3"/>
        <v>32.695025186804479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11.062727272727273</v>
      </c>
      <c r="AI51" s="13">
        <f>IF('Données projet'!$A$62&gt;35,AI50+AH51-AQ50,IF(A51&lt;'Données projet'!$A$62,$AF$205^A51,IF(A51='Données projet'!$A$62,'Données projet'!$B$62,AI50+AH51-AQ50)))</f>
        <v>206.1990909090909</v>
      </c>
      <c r="AJ51" s="13">
        <f>AI51*VLOOKUP('Données projet'!$B$10,Paramètres!$A$1:$I$89,3,0)*VLOOKUP('Données projet'!$B$10,Paramètres!$A$1:$I$89,5,0)</f>
        <v>96.501174545454546</v>
      </c>
      <c r="AK51" s="13">
        <f t="shared" si="35"/>
        <v>26.12673074769458</v>
      </c>
      <c r="AL51" s="20">
        <f t="shared" si="4"/>
        <v>213.57693505223472</v>
      </c>
      <c r="AM51" s="59">
        <f t="shared" si="5"/>
        <v>506.91026838556803</v>
      </c>
      <c r="AN51" s="59">
        <f ca="1">AVERAGE(OFFSET($AM$3,0,0,'Données projet'!$E$10+1,1))-AVERAGE(OFFSET($H$3,0,0,'Données projet'!$E$10+1,1))</f>
        <v>74.573470247551825</v>
      </c>
      <c r="AO51" s="59">
        <f t="shared" si="36"/>
        <v>122.43655207772224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10.172106653915657</v>
      </c>
      <c r="AV51" s="21">
        <f>EXP(-LN(2)/25)*AV50+(1-EXP(-LN(2)/25))/(LN(2)/25)*Calculateur!AQ51*Calculateur!AS51*VLOOKUP('Données projet'!$B$10,Paramètres!$A$1:$I$89,3,0)*0.475*44/12</f>
        <v>10.883186570747622</v>
      </c>
      <c r="AW51" s="21">
        <f>EXP(-LN(2)/2)*AW50+(1-EXP(-LN(2)/2))/(LN(2)/2)*AQ51*AT51*VLOOKUP('Données projet'!$B$10,Paramètres!$A$1:$I$89,3,0)*0.475*44/12</f>
        <v>1.4789731025291322</v>
      </c>
      <c r="AX51" s="21">
        <f t="shared" si="6"/>
        <v>22.534266327192412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109.79999999999998</v>
      </c>
      <c r="BE51" s="13">
        <f>BD51*VLOOKUP('Données projet'!$B$11,Paramètres!$A$1:$I$89,3,0)*VLOOKUP('Données projet'!$B$11,Paramètres!$A$1:$I$89,5,0)</f>
        <v>111.3372</v>
      </c>
      <c r="BF51" s="13">
        <f t="shared" si="37"/>
        <v>29.645817422905342</v>
      </c>
      <c r="BG51" s="20">
        <f t="shared" si="7"/>
        <v>245.54542201156008</v>
      </c>
      <c r="BH51" s="59">
        <f t="shared" si="8"/>
        <v>538.87875534489342</v>
      </c>
      <c r="BI51" s="59">
        <f ca="1">AVERAGE(OFFSET($BH$3,0,0,'Données projet'!$E$11+1,1))-AVERAGE(OFFSET($H$3,0,0,'Données projet'!$E$11+1,1))</f>
        <v>183.74583738362492</v>
      </c>
      <c r="BJ51" s="59">
        <f t="shared" si="38"/>
        <v>46.344307013926596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2.5435423727383069</v>
      </c>
      <c r="BQ51" s="21">
        <f>EXP(-LN(2)/25)*BQ50+(1-EXP(-LN(2)/25))/(LN(2)/25)*Calculateur!BL51*Calculateur!BN51*VLOOKUP('Données projet'!$B$11,Paramètres!$A$1:$I$89,3,0)*0.475*44/12</f>
        <v>0.49480557706272382</v>
      </c>
      <c r="BR51" s="21">
        <f>EXP(-LN(2)/2)*BR50+(1-EXP(-LN(2)/2))/(LN(2)/2)*BL51*BO51*VLOOKUP('Données projet'!$B$11,Paramètres!$A$1:$I$89,3,0)*0.475*44/12</f>
        <v>0.56827236434907424</v>
      </c>
      <c r="BS51" s="22">
        <f t="shared" si="9"/>
        <v>3.606620314150105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23.6</v>
      </c>
      <c r="BY51" s="12">
        <f>IF('Données projet'!$A$114&gt;35,BY50+BX51-CG50,IF(A51&lt;'Données projet'!$A$114,$BV$205^A51,IF(A51='Données projet'!$A$114,'Données projet'!$B$114,BY50+BX51-CG50)))</f>
        <v>562.79999999999995</v>
      </c>
      <c r="BZ51" s="13">
        <f>BY51*VLOOKUP('Données projet'!$B$12,Paramètres!$A$1:$I$89,3,0)*VLOOKUP('Données projet'!$B$12,Paramètres!$A$1:$I$89,5,0)</f>
        <v>248.75760000000002</v>
      </c>
      <c r="CA51" s="13">
        <f t="shared" si="39"/>
        <v>60.319822501290531</v>
      </c>
      <c r="CB51" s="20">
        <f t="shared" si="10"/>
        <v>538.30984418974776</v>
      </c>
      <c r="CC51" s="59">
        <f t="shared" si="11"/>
        <v>831.64317752308102</v>
      </c>
      <c r="CD51" s="59">
        <f ca="1">AVERAGE(OFFSET($CC$3,0,0,'Données projet'!$E$12+1,1))-AVERAGE(OFFSET($H$3,0,0,'Données projet'!$E$12+1,1))</f>
        <v>333.00091572040611</v>
      </c>
      <c r="CE51" s="59">
        <f t="shared" si="40"/>
        <v>267.06874181561398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39.671993144829727</v>
      </c>
      <c r="CL51" s="21">
        <f>EXP(-LN(2)/25)*CL50+(1-EXP(-LN(2)/25))/(LN(2)/25)*Calculateur!CG51*Calculateur!CI51*VLOOKUP('Données projet'!$B$12,Paramètres!$A$1:$I$89,3,0)*0.475*44/12</f>
        <v>28.505018769188645</v>
      </c>
      <c r="CM51" s="21">
        <f>EXP(-LN(2)/2)*CM50+(1-EXP(-LN(2)/2))/(LN(2)/2)*CG51*CJ51*VLOOKUP('Données projet'!$B$12,Paramètres!$A$1:$I$89,3,0)*0.475*44/12</f>
        <v>2.6561356992039769</v>
      </c>
      <c r="CN51" s="22">
        <f t="shared" si="12"/>
        <v>70.833147613222351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1">
        <f t="shared" si="32"/>
        <v>10.912390116516537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67">
        <f t="shared" si="1"/>
        <v>374.9115894529329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10.5</v>
      </c>
      <c r="N52" s="13">
        <f>IF('Données projet'!$A$36&gt;35,N51+M52-V51,IF(A52&lt;'Données projet'!$A$36,$K$205^A52,IF(A52='Données projet'!$A$36,'Données projet'!$B$36,N51+M52-V51)))</f>
        <v>241.5</v>
      </c>
      <c r="O52" s="13">
        <f>N52*VLOOKUP('Données projet'!$B$9,Paramètres!$A$1:$I$89,3,0)*VLOOKUP('Données projet'!$B$9,Paramètres!$A$1:$I$89,5,0)</f>
        <v>144.417</v>
      </c>
      <c r="P52" s="13">
        <f t="shared" si="33"/>
        <v>37.307041616133553</v>
      </c>
      <c r="Q52" s="20">
        <f t="shared" si="53"/>
        <v>316.50270581476593</v>
      </c>
      <c r="R52" s="59">
        <f t="shared" si="0"/>
        <v>609.83603914809919</v>
      </c>
      <c r="S52" s="59">
        <f ca="1">AVERAGE(OFFSET($R$3,0,0,'Données projet'!$E$9+1,1))-AVERAGE(OFFSET($H$3,0,0,'Données projet'!$E$9+1,1))</f>
        <v>125.14227069357082</v>
      </c>
      <c r="T52" s="59">
        <f t="shared" si="34"/>
        <v>193.39407925063165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11.437165358632891</v>
      </c>
      <c r="AA52" s="21">
        <f>EXP(-LN(2)/25)*AA51+(1-EXP(-LN(2)/25))/(LN(2)/25)*Calculateur!V52*Calculateur!X52*VLOOKUP('Données projet'!$B$9,Paramètres!$A$1:$I$89,3,0)*0.475*44/12</f>
        <v>13.684744941934973</v>
      </c>
      <c r="AB52" s="21">
        <f>EXP(-LN(2)/2)*AB51+(1-EXP(-LN(2)/2))/(LN(2)/2)*V52*Y52*VLOOKUP('Données projet'!$B$9,Paramètres!$A$1:$I$89,3,0)*0.475*44/12</f>
        <v>4.9211963524370841</v>
      </c>
      <c r="AC52" s="22">
        <f t="shared" si="3"/>
        <v>30.043106653004948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11.062727272727273</v>
      </c>
      <c r="AI52" s="13">
        <f>IF('Données projet'!$A$62&gt;35,AI51+AH52-AQ51,IF(A52&lt;'Données projet'!$A$62,$AF$205^A52,IF(A52='Données projet'!$A$62,'Données projet'!$B$62,AI51+AH52-AQ51)))</f>
        <v>217.26181818181817</v>
      </c>
      <c r="AJ52" s="13">
        <f>AI52*VLOOKUP('Données projet'!$B$10,Paramètres!$A$1:$I$89,3,0)*VLOOKUP('Données projet'!$B$10,Paramètres!$A$1:$I$89,5,0)</f>
        <v>101.6785309090909</v>
      </c>
      <c r="AK52" s="13">
        <f t="shared" si="35"/>
        <v>27.361496158322545</v>
      </c>
      <c r="AL52" s="20">
        <f t="shared" si="4"/>
        <v>224.74471380907838</v>
      </c>
      <c r="AM52" s="59">
        <f t="shared" si="5"/>
        <v>518.07804714241172</v>
      </c>
      <c r="AN52" s="59">
        <f ca="1">AVERAGE(OFFSET($AM$3,0,0,'Données projet'!$E$10+1,1))-AVERAGE(OFFSET($H$3,0,0,'Données projet'!$E$10+1,1))</f>
        <v>74.573470247551825</v>
      </c>
      <c r="AO52" s="59">
        <f t="shared" si="36"/>
        <v>122.43655207772224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9.9726378468047994</v>
      </c>
      <c r="AV52" s="21">
        <f>EXP(-LN(2)/25)*AV51+(1-EXP(-LN(2)/25))/(LN(2)/25)*Calculateur!AQ52*Calculateur!AS52*VLOOKUP('Données projet'!$B$10,Paramètres!$A$1:$I$89,3,0)*0.475*44/12</f>
        <v>10.585585261648621</v>
      </c>
      <c r="AW52" s="21">
        <f>EXP(-LN(2)/2)*AW51+(1-EXP(-LN(2)/2))/(LN(2)/2)*AQ52*AT52*VLOOKUP('Données projet'!$B$10,Paramètres!$A$1:$I$89,3,0)*0.475*44/12</f>
        <v>1.0457919099908564</v>
      </c>
      <c r="AX52" s="21">
        <f t="shared" si="6"/>
        <v>21.604015018444276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115.39999999999998</v>
      </c>
      <c r="BE52" s="13">
        <f>BD52*VLOOKUP('Données projet'!$B$11,Paramètres!$A$1:$I$89,3,0)*VLOOKUP('Données projet'!$B$11,Paramètres!$A$1:$I$89,5,0)</f>
        <v>117.01559999999999</v>
      </c>
      <c r="BF52" s="13">
        <f t="shared" si="37"/>
        <v>30.977920050269788</v>
      </c>
      <c r="BG52" s="20">
        <f t="shared" si="7"/>
        <v>257.75538075421986</v>
      </c>
      <c r="BH52" s="59">
        <f t="shared" si="8"/>
        <v>551.08871408755317</v>
      </c>
      <c r="BI52" s="59">
        <f ca="1">AVERAGE(OFFSET($BH$3,0,0,'Données projet'!$E$11+1,1))-AVERAGE(OFFSET($H$3,0,0,'Données projet'!$E$11+1,1))</f>
        <v>183.74583738362492</v>
      </c>
      <c r="BJ52" s="59">
        <f t="shared" si="38"/>
        <v>46.344307013926596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2.4936650582165671</v>
      </c>
      <c r="BQ52" s="21">
        <f>EXP(-LN(2)/25)*BQ51+(1-EXP(-LN(2)/25))/(LN(2)/25)*Calculateur!BL52*Calculateur!BN52*VLOOKUP('Données projet'!$B$11,Paramètres!$A$1:$I$89,3,0)*0.475*44/12</f>
        <v>0.48127509253724926</v>
      </c>
      <c r="BR52" s="21">
        <f>EXP(-LN(2)/2)*BR51+(1-EXP(-LN(2)/2))/(LN(2)/2)*BL52*BO52*VLOOKUP('Données projet'!$B$11,Paramètres!$A$1:$I$89,3,0)*0.475*44/12</f>
        <v>0.4018292423921429</v>
      </c>
      <c r="BS52" s="22">
        <f t="shared" si="9"/>
        <v>3.3767693931459593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23.6</v>
      </c>
      <c r="BY52" s="12">
        <f>IF('Données projet'!$A$114&gt;35,BY51+BX52-CG51,IF(A52&lt;'Données projet'!$A$114,$BV$205^A52,IF(A52='Données projet'!$A$114,'Données projet'!$B$114,BY51+BX52-CG51)))</f>
        <v>586.4</v>
      </c>
      <c r="BZ52" s="13">
        <f>BY52*VLOOKUP('Données projet'!$B$12,Paramètres!$A$1:$I$89,3,0)*VLOOKUP('Données projet'!$B$12,Paramètres!$A$1:$I$89,5,0)</f>
        <v>259.18880000000001</v>
      </c>
      <c r="CA52" s="13">
        <f t="shared" si="39"/>
        <v>62.549431462373178</v>
      </c>
      <c r="CB52" s="20">
        <f t="shared" si="10"/>
        <v>560.36075313029983</v>
      </c>
      <c r="CC52" s="59">
        <f t="shared" si="11"/>
        <v>853.69408646363308</v>
      </c>
      <c r="CD52" s="59">
        <f ca="1">AVERAGE(OFFSET($CC$3,0,0,'Données projet'!$E$12+1,1))-AVERAGE(OFFSET($H$3,0,0,'Données projet'!$E$12+1,1))</f>
        <v>333.00091572040611</v>
      </c>
      <c r="CE52" s="59">
        <f t="shared" si="40"/>
        <v>267.06874181561398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38.894049556786129</v>
      </c>
      <c r="CL52" s="21">
        <f>EXP(-LN(2)/25)*CL51+(1-EXP(-LN(2)/25))/(LN(2)/25)*Calculateur!CG52*Calculateur!CI52*VLOOKUP('Données projet'!$B$12,Paramètres!$A$1:$I$89,3,0)*0.475*44/12</f>
        <v>27.725547531931394</v>
      </c>
      <c r="CM52" s="21">
        <f>EXP(-LN(2)/2)*CM51+(1-EXP(-LN(2)/2))/(LN(2)/2)*CG52*CJ52*VLOOKUP('Données projet'!$B$12,Paramètres!$A$1:$I$89,3,0)*0.475*44/12</f>
        <v>1.878171564658804</v>
      </c>
      <c r="CN52" s="22">
        <f t="shared" si="12"/>
        <v>68.497768653376326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1">
        <f t="shared" si="32"/>
        <v>11.108937492002092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67">
        <f t="shared" si="1"/>
        <v>376.53089946523693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10.5</v>
      </c>
      <c r="N53" s="13">
        <f>IF('Données projet'!$A$36&gt;35,N52+M53-V52,IF(A53&lt;'Données projet'!$A$36,$K$205^A53,IF(A53='Données projet'!$A$36,'Données projet'!$B$36,N52+M53-V52)))</f>
        <v>252</v>
      </c>
      <c r="O53" s="13">
        <f>N53*VLOOKUP('Données projet'!$B$9,Paramètres!$A$1:$I$89,3,0)*VLOOKUP('Données projet'!$B$9,Paramètres!$A$1:$I$89,5,0)</f>
        <v>150.696</v>
      </c>
      <c r="P53" s="13">
        <f t="shared" si="33"/>
        <v>38.736711478840633</v>
      </c>
      <c r="Q53" s="20">
        <f t="shared" si="53"/>
        <v>329.92863915898073</v>
      </c>
      <c r="R53" s="59">
        <f t="shared" si="0"/>
        <v>623.26197249231404</v>
      </c>
      <c r="S53" s="59">
        <f ca="1">AVERAGE(OFFSET($R$3,0,0,'Données projet'!$E$9+1,1))-AVERAGE(OFFSET($H$3,0,0,'Données projet'!$E$9+1,1))</f>
        <v>125.14227069357082</v>
      </c>
      <c r="T53" s="59">
        <f t="shared" si="34"/>
        <v>193.39407925063165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11.212889521932148</v>
      </c>
      <c r="AA53" s="21">
        <f>EXP(-LN(2)/25)*AA52+(1-EXP(-LN(2)/25))/(LN(2)/25)*Calculateur!V53*Calculateur!X53*VLOOKUP('Données projet'!$B$9,Paramètres!$A$1:$I$89,3,0)*0.475*44/12</f>
        <v>13.310534871848301</v>
      </c>
      <c r="AB53" s="21">
        <f>EXP(-LN(2)/2)*AB52+(1-EXP(-LN(2)/2))/(LN(2)/2)*V53*Y53*VLOOKUP('Données projet'!$B$9,Paramètres!$A$1:$I$89,3,0)*0.475*44/12</f>
        <v>3.4798113123587653</v>
      </c>
      <c r="AC53" s="22">
        <f t="shared" si="3"/>
        <v>28.003235706139215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11.062727272727273</v>
      </c>
      <c r="AI53" s="13">
        <f>IF('Données projet'!$A$62&gt;35,AI52+AH53-AQ52,IF(A53&lt;'Données projet'!$A$62,$AF$205^A53,IF(A53='Données projet'!$A$62,'Données projet'!$B$62,AI52+AH53-AQ52)))</f>
        <v>228.32454545454544</v>
      </c>
      <c r="AJ53" s="13">
        <f>AI53*VLOOKUP('Données projet'!$B$10,Paramètres!$A$1:$I$89,3,0)*VLOOKUP('Données projet'!$B$10,Paramètres!$A$1:$I$89,5,0)</f>
        <v>106.85588727272726</v>
      </c>
      <c r="AK53" s="13">
        <f t="shared" si="35"/>
        <v>28.58896148226243</v>
      </c>
      <c r="AL53" s="20">
        <f t="shared" si="4"/>
        <v>235.89977824827369</v>
      </c>
      <c r="AM53" s="59">
        <f t="shared" si="5"/>
        <v>529.23311158160698</v>
      </c>
      <c r="AN53" s="59">
        <f ca="1">AVERAGE(OFFSET($AM$3,0,0,'Données projet'!$E$10+1,1))-AVERAGE(OFFSET($H$3,0,0,'Données projet'!$E$10+1,1))</f>
        <v>74.573470247551825</v>
      </c>
      <c r="AO53" s="59">
        <f t="shared" si="36"/>
        <v>122.43655207772224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9.7770805013374265</v>
      </c>
      <c r="AV53" s="21">
        <f>EXP(-LN(2)/25)*AV52+(1-EXP(-LN(2)/25))/(LN(2)/25)*Calculateur!AQ53*Calculateur!AS53*VLOOKUP('Données projet'!$B$10,Paramètres!$A$1:$I$89,3,0)*0.475*44/12</f>
        <v>10.296121875997104</v>
      </c>
      <c r="AW53" s="21">
        <f>EXP(-LN(2)/2)*AW52+(1-EXP(-LN(2)/2))/(LN(2)/2)*AQ53*AT53*VLOOKUP('Données projet'!$B$10,Paramètres!$A$1:$I$89,3,0)*0.475*44/12</f>
        <v>0.73948655126456608</v>
      </c>
      <c r="AX53" s="21">
        <f t="shared" si="6"/>
        <v>20.812688928599098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121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120.99999999999997</v>
      </c>
      <c r="BE53" s="13">
        <f>BD53*VLOOKUP('Données projet'!$B$11,Paramètres!$A$1:$I$89,3,0)*VLOOKUP('Données projet'!$B$11,Paramètres!$A$1:$I$89,5,0)</f>
        <v>122.69399999999997</v>
      </c>
      <c r="BF53" s="13">
        <f t="shared" si="37"/>
        <v>32.302516360650685</v>
      </c>
      <c r="BG53" s="20">
        <f t="shared" si="7"/>
        <v>269.95226599479992</v>
      </c>
      <c r="BH53" s="59">
        <f t="shared" si="8"/>
        <v>563.28559932813323</v>
      </c>
      <c r="BI53" s="59">
        <f ca="1">AVERAGE(OFFSET($BH$3,0,0,'Données projet'!$E$11+1,1))-AVERAGE(OFFSET($H$3,0,0,'Données projet'!$E$11+1,1))</f>
        <v>183.74583738362492</v>
      </c>
      <c r="BJ53" s="59">
        <f t="shared" si="38"/>
        <v>46.344307013926596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14</v>
      </c>
      <c r="BM53" s="16">
        <f>IF(ISNA(VLOOKUP(A53,'Données projet'!$A$87:$I$107,5,0)),0%,VLOOKUP(A53,'Données projet'!$A$87:$I$107,5,0)*VLOOKUP('Données projet'!$B$11,Paramètres!$A$1:$I$89,7,0))</f>
        <v>0.17200000000000001</v>
      </c>
      <c r="BN53" s="16">
        <f>IF(ISNA(VLOOKUP(A53,'Données projet'!$A$87:$I$107,6,0)),0%,VLOOKUP(A53,'Données projet'!$A$87:$I$107,6,0)*VLOOKUP('Données projet'!$B$11,Paramètres!$A$1:$I$89,7,0))</f>
        <v>3.44E-2</v>
      </c>
      <c r="BO53" s="16">
        <f>IF(ISNA(VLOOKUP(A53,'Données projet'!$A$87:$I$107,7,0)),0%,VLOOKUP(A53,'Données projet'!$A$87:$I$107,7,0))</f>
        <v>0.12</v>
      </c>
      <c r="BP53" s="21">
        <f>EXP(-LN(2)/35)*BP52+(1-EXP(-LN(2)/35))/(LN(2)/35)*BL53*BM53*VLOOKUP('Données projet'!$B$11,Paramètres!$A$1:$I$89,3,0)*0.475*44/12</f>
        <v>5.1440060987606007</v>
      </c>
      <c r="BQ53" s="21">
        <f>EXP(-LN(2)/25)*BQ52+(1-EXP(-LN(2)/25))/(LN(2)/25)*Calculateur!BL53*Calculateur!BN53*VLOOKUP('Données projet'!$B$11,Paramètres!$A$1:$I$89,3,0)*0.475*44/12</f>
        <v>1.0058370705890471</v>
      </c>
      <c r="BR53" s="21">
        <f>EXP(-LN(2)/2)*BR52+(1-EXP(-LN(2)/2))/(LN(2)/2)*BL53*BO53*VLOOKUP('Données projet'!$B$11,Paramètres!$A$1:$I$89,3,0)*0.475*44/12</f>
        <v>1.8914531517431081</v>
      </c>
      <c r="BS53" s="22">
        <f t="shared" si="9"/>
        <v>8.0412963210927551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610</v>
      </c>
      <c r="BW53" s="12">
        <f>VLOOKUP(A53,'Données projet'!$A$113:$I$133,9,0)</f>
        <v>23.6</v>
      </c>
      <c r="BX53" s="12">
        <f t="array" ref="BX53">INDEX(BW:BW,MIN(IF(ISNUMBER(BW53:BW249),ROW(BW53:BW249),"")))</f>
        <v>23.6</v>
      </c>
      <c r="BY53" s="12">
        <f>IF('Données projet'!$A$114&gt;35,BY52+BX53-CG52,IF(A53&lt;'Données projet'!$A$114,$BV$205^A53,IF(A53='Données projet'!$A$114,'Données projet'!$B$114,BY52+BX53-CG52)))</f>
        <v>610</v>
      </c>
      <c r="BZ53" s="13">
        <f>BY53*VLOOKUP('Données projet'!$B$12,Paramètres!$A$1:$I$89,3,0)*VLOOKUP('Données projet'!$B$12,Paramètres!$A$1:$I$89,5,0)</f>
        <v>269.62</v>
      </c>
      <c r="CA53" s="13">
        <f t="shared" si="39"/>
        <v>64.768617088050021</v>
      </c>
      <c r="CB53" s="20">
        <f t="shared" si="10"/>
        <v>582.39350809502037</v>
      </c>
      <c r="CC53" s="59">
        <f t="shared" si="11"/>
        <v>875.72684142835374</v>
      </c>
      <c r="CD53" s="59">
        <f ca="1">AVERAGE(OFFSET($CC$3,0,0,'Données projet'!$E$12+1,1))-AVERAGE(OFFSET($H$3,0,0,'Données projet'!$E$12+1,1))</f>
        <v>333.00091572040611</v>
      </c>
      <c r="CE53" s="59">
        <f t="shared" si="40"/>
        <v>267.06874181561398</v>
      </c>
      <c r="CF53" s="15">
        <f>IF(ISNA(VLOOKUP(A53,'Données projet'!$A$113:$I$133,3,0)),0,VLOOKUP(A53,'Données projet'!$A$113:$I$133,3,0))</f>
        <v>7</v>
      </c>
      <c r="CG53" s="15">
        <f>IF(ISNA(VLOOKUP(A53,'Données projet'!$A$113:$I$133,4,0)),0,VLOOKUP(A53,'Données projet'!$A$113:$I$133,4,0))</f>
        <v>51</v>
      </c>
      <c r="CH53" s="16">
        <f>IF(ISNA(VLOOKUP(A53,'Données projet'!$A$113:$I$133,5,0)),0%,VLOOKUP(A53,'Données projet'!$A$113:$I$133,5,0)*VLOOKUP('Données projet'!$B$12,Paramètres!$A$1:$I$89,7,0))</f>
        <v>0.33</v>
      </c>
      <c r="CI53" s="16">
        <f>IF(ISNA(VLOOKUP(A53,'Données projet'!$A$113:$I$133,6,0)),0%,VLOOKUP(A53,'Données projet'!$A$113:$I$133,6,0)*VLOOKUP('Données projet'!$B$12,Paramètres!$A$1:$I$89,7,0))</f>
        <v>0.13750000000000001</v>
      </c>
      <c r="CJ53" s="16">
        <f>IF(ISNA(VLOOKUP(A53,'Données projet'!$A$113:$I$133,7,0)),0%,VLOOKUP(A53,'Données projet'!$A$113:$I$133,7,0))</f>
        <v>0.15</v>
      </c>
      <c r="CK53" s="21">
        <f>EXP(-LN(2)/35)*CK52+(1-EXP(-LN(2)/35))/(LN(2)/35)*CG53*CH53*VLOOKUP('Données projet'!$B$12,Paramètres!$A$1:$I$89,3,0)*0.475*44/12</f>
        <v>47.999488232996313</v>
      </c>
      <c r="CL53" s="21">
        <f>EXP(-LN(2)/25)*CL52+(1-EXP(-LN(2)/25))/(LN(2)/25)*Calculateur!CG53*Calculateur!CI53*VLOOKUP('Données projet'!$B$12,Paramètres!$A$1:$I$89,3,0)*0.475*44/12</f>
        <v>31.062921263271488</v>
      </c>
      <c r="CM53" s="21">
        <f>EXP(-LN(2)/2)*CM52+(1-EXP(-LN(2)/2))/(LN(2)/2)*CG53*CJ53*VLOOKUP('Données projet'!$B$12,Paramètres!$A$1:$I$89,3,0)*0.475*44/12</f>
        <v>5.1564849172282283</v>
      </c>
      <c r="CN53" s="22">
        <f t="shared" si="12"/>
        <v>84.218894413496031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1">
        <f t="shared" si="32"/>
        <v>11.305027805177126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67">
        <f t="shared" si="1"/>
        <v>378.14941342735011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10.5</v>
      </c>
      <c r="N54" s="13">
        <f>IF('Données projet'!$A$36&gt;35,N53+M54-V53,IF(A54&lt;'Données projet'!$A$36,$K$205^A54,IF(A54='Données projet'!$A$36,'Données projet'!$B$36,N53+M54-V53)))</f>
        <v>262.5</v>
      </c>
      <c r="O54" s="13">
        <f>N54*VLOOKUP('Données projet'!$B$9,Paramètres!$A$1:$I$89,3,0)*VLOOKUP('Données projet'!$B$9,Paramètres!$A$1:$I$89,5,0)</f>
        <v>156.97499999999999</v>
      </c>
      <c r="P54" s="13">
        <f t="shared" si="33"/>
        <v>40.159462115898378</v>
      </c>
      <c r="Q54" s="20">
        <f t="shared" si="53"/>
        <v>343.34252151852297</v>
      </c>
      <c r="R54" s="59">
        <f t="shared" si="0"/>
        <v>636.67585485185623</v>
      </c>
      <c r="S54" s="59">
        <f ca="1">AVERAGE(OFFSET($R$3,0,0,'Données projet'!$E$9+1,1))-AVERAGE(OFFSET($H$3,0,0,'Données projet'!$E$9+1,1))</f>
        <v>125.14227069357082</v>
      </c>
      <c r="T54" s="59">
        <f t="shared" si="34"/>
        <v>193.39407925063165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10.993011597594354</v>
      </c>
      <c r="AA54" s="21">
        <f>EXP(-LN(2)/25)*AA53+(1-EXP(-LN(2)/25))/(LN(2)/25)*Calculateur!V54*Calculateur!X54*VLOOKUP('Données projet'!$B$9,Paramètres!$A$1:$I$89,3,0)*0.475*44/12</f>
        <v>12.946557595807002</v>
      </c>
      <c r="AB54" s="21">
        <f>EXP(-LN(2)/2)*AB53+(1-EXP(-LN(2)/2))/(LN(2)/2)*V54*Y54*VLOOKUP('Données projet'!$B$9,Paramètres!$A$1:$I$89,3,0)*0.475*44/12</f>
        <v>2.4605981762185425</v>
      </c>
      <c r="AC54" s="22">
        <f t="shared" si="3"/>
        <v>26.400167369619897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11.062727272727273</v>
      </c>
      <c r="AI54" s="13">
        <f>IF('Données projet'!$A$62&gt;35,AI53+AH54-AQ53,IF(A54&lt;'Données projet'!$A$62,$AF$205^A54,IF(A54='Données projet'!$A$62,'Données projet'!$B$62,AI53+AH54-AQ53)))</f>
        <v>239.38727272727272</v>
      </c>
      <c r="AJ54" s="13">
        <f>AI54*VLOOKUP('Données projet'!$B$10,Paramètres!$A$1:$I$89,3,0)*VLOOKUP('Données projet'!$B$10,Paramètres!$A$1:$I$89,5,0)</f>
        <v>112.03324363636364</v>
      </c>
      <c r="AK54" s="13">
        <f t="shared" si="35"/>
        <v>29.809520796669084</v>
      </c>
      <c r="AL54" s="20">
        <f t="shared" si="4"/>
        <v>247.04281472086529</v>
      </c>
      <c r="AM54" s="59">
        <f t="shared" si="5"/>
        <v>540.37614805419867</v>
      </c>
      <c r="AN54" s="59">
        <f ca="1">AVERAGE(OFFSET($AM$3,0,0,'Données projet'!$E$10+1,1))-AVERAGE(OFFSET($H$3,0,0,'Données projet'!$E$10+1,1))</f>
        <v>74.573470247551825</v>
      </c>
      <c r="AO54" s="59">
        <f t="shared" si="36"/>
        <v>122.43655207772224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9.5853579161364664</v>
      </c>
      <c r="AV54" s="21">
        <f>EXP(-LN(2)/25)*AV53+(1-EXP(-LN(2)/25))/(LN(2)/25)*Calculateur!AQ54*Calculateur!AS54*VLOOKUP('Données projet'!$B$10,Paramètres!$A$1:$I$89,3,0)*0.475*44/12</f>
        <v>10.014573881848445</v>
      </c>
      <c r="AW54" s="21">
        <f>EXP(-LN(2)/2)*AW53+(1-EXP(-LN(2)/2))/(LN(2)/2)*AQ54*AT54*VLOOKUP('Données projet'!$B$10,Paramètres!$A$1:$I$89,3,0)*0.475*44/12</f>
        <v>0.52289595499542818</v>
      </c>
      <c r="AX54" s="21">
        <f t="shared" si="6"/>
        <v>20.122827752980339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5.6</v>
      </c>
      <c r="BD54" s="12">
        <f>IF('Données projet'!$A$88&gt;35,BD53+BC54-BL53,IF(A54&lt;'Données projet'!$A$88,$BA$205^A54,IF(A54='Données projet'!$A$88,'Données projet'!$B$88,BD53+BC54-BL53)))</f>
        <v>112.59999999999997</v>
      </c>
      <c r="BE54" s="13">
        <f>BD54*VLOOKUP('Données projet'!$B$11,Paramètres!$A$1:$I$89,3,0)*VLOOKUP('Données projet'!$B$11,Paramètres!$A$1:$I$89,5,0)</f>
        <v>114.17639999999997</v>
      </c>
      <c r="BF54" s="13">
        <f t="shared" si="37"/>
        <v>30.312832781759997</v>
      </c>
      <c r="BG54" s="20">
        <f t="shared" si="7"/>
        <v>251.65208042823193</v>
      </c>
      <c r="BH54" s="59">
        <f t="shared" si="8"/>
        <v>544.98541376156527</v>
      </c>
      <c r="BI54" s="59">
        <f ca="1">AVERAGE(OFFSET($BH$3,0,0,'Données projet'!$E$11+1,1))-AVERAGE(OFFSET($H$3,0,0,'Données projet'!$E$11+1,1))</f>
        <v>183.74583738362492</v>
      </c>
      <c r="BJ54" s="59">
        <f t="shared" si="38"/>
        <v>46.344307013926596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5.0431352766978197</v>
      </c>
      <c r="BQ54" s="21">
        <f>EXP(-LN(2)/25)*BQ53+(1-EXP(-LN(2)/25))/(LN(2)/25)*Calculateur!BL54*Calculateur!BN54*VLOOKUP('Données projet'!$B$11,Paramètres!$A$1:$I$89,3,0)*0.475*44/12</f>
        <v>0.97833240299911695</v>
      </c>
      <c r="BR54" s="21">
        <f>EXP(-LN(2)/2)*BR53+(1-EXP(-LN(2)/2))/(LN(2)/2)*BL54*BO54*VLOOKUP('Données projet'!$B$11,Paramètres!$A$1:$I$89,3,0)*0.475*44/12</f>
        <v>1.3374593498942198</v>
      </c>
      <c r="BS54" s="22">
        <f t="shared" si="9"/>
        <v>7.3589270295911557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21</v>
      </c>
      <c r="BY54" s="12">
        <f>IF('Données projet'!$A$114&gt;35,BY53+BX54-CG53,IF(A54&lt;'Données projet'!$A$114,$BV$205^A54,IF(A54='Données projet'!$A$114,'Données projet'!$B$114,BY53+BX54-CG53)))</f>
        <v>580</v>
      </c>
      <c r="BZ54" s="13">
        <f>BY54*VLOOKUP('Données projet'!$B$12,Paramètres!$A$1:$I$89,3,0)*VLOOKUP('Données projet'!$B$12,Paramètres!$A$1:$I$89,5,0)</f>
        <v>256.36</v>
      </c>
      <c r="CA54" s="13">
        <f t="shared" si="39"/>
        <v>61.945841529525417</v>
      </c>
      <c r="CB54" s="20">
        <f t="shared" si="10"/>
        <v>554.38267399725669</v>
      </c>
      <c r="CC54" s="59">
        <f t="shared" si="11"/>
        <v>847.71600733058995</v>
      </c>
      <c r="CD54" s="59">
        <f ca="1">AVERAGE(OFFSET($CC$3,0,0,'Données projet'!$E$12+1,1))-AVERAGE(OFFSET($H$3,0,0,'Données projet'!$E$12+1,1))</f>
        <v>333.00091572040611</v>
      </c>
      <c r="CE54" s="59">
        <f t="shared" si="40"/>
        <v>267.06874181561398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47.058247545544234</v>
      </c>
      <c r="CL54" s="21">
        <f>EXP(-LN(2)/25)*CL53+(1-EXP(-LN(2)/25))/(LN(2)/25)*Calculateur!CG54*Calculateur!CI54*VLOOKUP('Données projet'!$B$12,Paramètres!$A$1:$I$89,3,0)*0.475*44/12</f>
        <v>30.213504047799294</v>
      </c>
      <c r="CM54" s="21">
        <f>EXP(-LN(2)/2)*CM53+(1-EXP(-LN(2)/2))/(LN(2)/2)*CG54*CJ54*VLOOKUP('Données projet'!$B$12,Paramètres!$A$1:$I$89,3,0)*0.475*44/12</f>
        <v>3.6461854520582335</v>
      </c>
      <c r="CN54" s="22">
        <f t="shared" si="12"/>
        <v>80.917937045401757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1">
        <f t="shared" si="32"/>
        <v>11.500671051108624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67">
        <f t="shared" si="1"/>
        <v>379.76714874734745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10.5</v>
      </c>
      <c r="N55" s="13">
        <f>IF('Données projet'!$A$36&gt;35,N54+M55-V54,IF(A55&lt;'Données projet'!$A$36,$K$205^A55,IF(A55='Données projet'!$A$36,'Données projet'!$B$36,N54+M55-V54)))</f>
        <v>273</v>
      </c>
      <c r="O55" s="13">
        <f>N55*VLOOKUP('Données projet'!$B$9,Paramètres!$A$1:$I$89,3,0)*VLOOKUP('Données projet'!$B$9,Paramètres!$A$1:$I$89,5,0)</f>
        <v>163.25400000000002</v>
      </c>
      <c r="P55" s="13">
        <f t="shared" si="33"/>
        <v>41.575601961656915</v>
      </c>
      <c r="Q55" s="20">
        <f t="shared" si="53"/>
        <v>356.7448900832191</v>
      </c>
      <c r="R55" s="59">
        <f t="shared" si="0"/>
        <v>650.07822341655242</v>
      </c>
      <c r="S55" s="59">
        <f ca="1">AVERAGE(OFFSET($R$3,0,0,'Données projet'!$E$9+1,1))-AVERAGE(OFFSET($H$3,0,0,'Données projet'!$E$9+1,1))</f>
        <v>125.14227069357082</v>
      </c>
      <c r="T55" s="59">
        <f t="shared" si="34"/>
        <v>193.39407925063165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10.777445345240531</v>
      </c>
      <c r="AA55" s="21">
        <f>EXP(-LN(2)/25)*AA54+(1-EXP(-LN(2)/25))/(LN(2)/25)*Calculateur!V55*Calculateur!X55*VLOOKUP('Données projet'!$B$9,Paramètres!$A$1:$I$89,3,0)*0.475*44/12</f>
        <v>12.592533297519786</v>
      </c>
      <c r="AB55" s="21">
        <f>EXP(-LN(2)/2)*AB54+(1-EXP(-LN(2)/2))/(LN(2)/2)*V55*Y55*VLOOKUP('Données projet'!$B$9,Paramètres!$A$1:$I$89,3,0)*0.475*44/12</f>
        <v>1.7399056561793829</v>
      </c>
      <c r="AC55" s="22">
        <f t="shared" si="3"/>
        <v>25.109884298939697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250.45</v>
      </c>
      <c r="AG55" s="12">
        <f>VLOOKUP(A55,'Données projet'!$A$61:$I$81,9,0)</f>
        <v>11.062727272727273</v>
      </c>
      <c r="AH55" s="12">
        <f t="array" ref="AH55">INDEX(AG:AG,MIN(IF(ISNUMBER(AG55:AG251),ROW(AG55:AG251),"")))</f>
        <v>11.062727272727273</v>
      </c>
      <c r="AI55" s="13">
        <f>IF('Données projet'!$A$62&gt;35,AI54+AH55-AQ54,IF(A55&lt;'Données projet'!$A$62,$AF$205^A55,IF(A55='Données projet'!$A$62,'Données projet'!$B$62,AI54+AH55-AQ54)))</f>
        <v>250.45</v>
      </c>
      <c r="AJ55" s="13">
        <f>AI55*VLOOKUP('Données projet'!$B$10,Paramètres!$A$1:$I$89,3,0)*VLOOKUP('Données projet'!$B$10,Paramètres!$A$1:$I$89,5,0)</f>
        <v>117.2106</v>
      </c>
      <c r="AK55" s="13">
        <f t="shared" si="35"/>
        <v>31.023529697420976</v>
      </c>
      <c r="AL55" s="20">
        <f t="shared" si="4"/>
        <v>258.17444255634149</v>
      </c>
      <c r="AM55" s="59">
        <f t="shared" si="5"/>
        <v>551.5077758896748</v>
      </c>
      <c r="AN55" s="59">
        <f ca="1">AVERAGE(OFFSET($AM$3,0,0,'Données projet'!$E$10+1,1))-AVERAGE(OFFSET($H$3,0,0,'Données projet'!$E$10+1,1))</f>
        <v>74.573470247551825</v>
      </c>
      <c r="AO55" s="59">
        <f t="shared" si="36"/>
        <v>122.43655207772224</v>
      </c>
      <c r="AP55" s="15">
        <f>IF(ISNA(VLOOKUP(A55,'Données projet'!$A$61:$I$81,3,0)),0,VLOOKUP(A55,'Données projet'!$A$61:$I$81,3,0))</f>
        <v>4</v>
      </c>
      <c r="AQ55" s="15">
        <f>IF(ISNA(VLOOKUP(A55,'Données projet'!$A$61:$I$81,4,0)),0,VLOOKUP(A55,'Données projet'!$A$61:$I$81,4,0))</f>
        <v>135.63999999999999</v>
      </c>
      <c r="AR55" s="16">
        <f>IF(ISNA(VLOOKUP(A55,'Données projet'!$A$61:$I$81,5,0)),0%,VLOOKUP(A55,'Données projet'!$A$61:$I$81,5,0)*VLOOKUP('Données projet'!$B$10,Paramètres!$A$1:$I$89,7,0))</f>
        <v>0.27500000000000002</v>
      </c>
      <c r="AS55" s="16">
        <f>IF(ISNA(VLOOKUP(A55,'Données projet'!$A$61:$I$81,6,0)),0%,VLOOKUP(A55,'Données projet'!$A$61:$I$81,6,0)*VLOOKUP('Données projet'!$B$10,Paramètres!$A$1:$I$89,7,0))</f>
        <v>0.11000000000000001</v>
      </c>
      <c r="AT55" s="16">
        <f>IF(ISNA(VLOOKUP(A55,'Données projet'!$A$61:$I$81,7,0)),0%,VLOOKUP(A55,'Données projet'!$A$61:$I$81,7,0))</f>
        <v>0.3</v>
      </c>
      <c r="AU55" s="21">
        <f>EXP(-LN(2)/35)*AU54+(1-EXP(-LN(2)/35))/(LN(2)/35)*AQ55*AR55*VLOOKUP('Données projet'!$B$10,Paramètres!$A$1:$I$89,3,0)*0.475*44/12</f>
        <v>32.555055485992</v>
      </c>
      <c r="AV55" s="21">
        <f>EXP(-LN(2)/25)*AV54+(1-EXP(-LN(2)/25))/(LN(2)/25)*Calculateur!AQ55*Calculateur!AS55*VLOOKUP('Données projet'!$B$10,Paramètres!$A$1:$I$89,3,0)*0.475*44/12</f>
        <v>18.967316855841101</v>
      </c>
      <c r="AW55" s="21">
        <f>EXP(-LN(2)/2)*AW54+(1-EXP(-LN(2)/2))/(LN(2)/2)*AQ55*AT55*VLOOKUP('Données projet'!$B$10,Paramètres!$A$1:$I$89,3,0)*0.475*44/12</f>
        <v>21.931812108275452</v>
      </c>
      <c r="AX55" s="21">
        <f t="shared" si="6"/>
        <v>73.454184450108556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5.6</v>
      </c>
      <c r="BD55" s="12">
        <f>IF('Données projet'!$A$88&gt;35,BD54+BC55-BL54,IF(A55&lt;'Données projet'!$A$88,$BA$205^A55,IF(A55='Données projet'!$A$88,'Données projet'!$B$88,BD54+BC55-BL54)))</f>
        <v>118.19999999999996</v>
      </c>
      <c r="BE55" s="13">
        <f>BD55*VLOOKUP('Données projet'!$B$11,Paramètres!$A$1:$I$89,3,0)*VLOOKUP('Données projet'!$B$11,Paramètres!$A$1:$I$89,5,0)</f>
        <v>119.85479999999995</v>
      </c>
      <c r="BF55" s="13">
        <f t="shared" si="37"/>
        <v>31.641131392625841</v>
      </c>
      <c r="BG55" s="20">
        <f t="shared" si="7"/>
        <v>263.85541384215657</v>
      </c>
      <c r="BH55" s="59">
        <f t="shared" si="8"/>
        <v>557.18874717548988</v>
      </c>
      <c r="BI55" s="59">
        <f ca="1">AVERAGE(OFFSET($BH$3,0,0,'Données projet'!$E$11+1,1))-AVERAGE(OFFSET($H$3,0,0,'Données projet'!$E$11+1,1))</f>
        <v>183.74583738362492</v>
      </c>
      <c r="BJ55" s="59">
        <f t="shared" si="38"/>
        <v>46.344307013926596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4.9442424699305638</v>
      </c>
      <c r="BQ55" s="21">
        <f>EXP(-LN(2)/25)*BQ54+(1-EXP(-LN(2)/25))/(LN(2)/25)*Calculateur!BL55*Calculateur!BN55*VLOOKUP('Données projet'!$B$11,Paramètres!$A$1:$I$89,3,0)*0.475*44/12</f>
        <v>0.95157985199084105</v>
      </c>
      <c r="BR55" s="21">
        <f>EXP(-LN(2)/2)*BR54+(1-EXP(-LN(2)/2))/(LN(2)/2)*BL55*BO55*VLOOKUP('Données projet'!$B$11,Paramètres!$A$1:$I$89,3,0)*0.475*44/12</f>
        <v>0.94572657587155418</v>
      </c>
      <c r="BS55" s="22">
        <f t="shared" si="9"/>
        <v>6.8415488977929595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21</v>
      </c>
      <c r="BY55" s="12">
        <f>IF('Données projet'!$A$114&gt;35,BY54+BX55-CG54,IF(A55&lt;'Données projet'!$A$114,$BV$205^A55,IF(A55='Données projet'!$A$114,'Données projet'!$B$114,BY54+BX55-CG54)))</f>
        <v>601</v>
      </c>
      <c r="BZ55" s="13">
        <f>BY55*VLOOKUP('Données projet'!$B$12,Paramètres!$A$1:$I$89,3,0)*VLOOKUP('Données projet'!$B$12,Paramètres!$A$1:$I$89,5,0)</f>
        <v>265.642</v>
      </c>
      <c r="CA55" s="13">
        <f t="shared" si="39"/>
        <v>63.923517613908629</v>
      </c>
      <c r="CB55" s="20">
        <f t="shared" si="10"/>
        <v>573.99327651089095</v>
      </c>
      <c r="CC55" s="59">
        <f t="shared" si="11"/>
        <v>867.32660984422432</v>
      </c>
      <c r="CD55" s="59">
        <f ca="1">AVERAGE(OFFSET($CC$3,0,0,'Données projet'!$E$12+1,1))-AVERAGE(OFFSET($H$3,0,0,'Données projet'!$E$12+1,1))</f>
        <v>333.00091572040611</v>
      </c>
      <c r="CE55" s="59">
        <f t="shared" si="40"/>
        <v>267.06874181561398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46.135464013872955</v>
      </c>
      <c r="CL55" s="21">
        <f>EXP(-LN(2)/25)*CL54+(1-EXP(-LN(2)/25))/(LN(2)/25)*Calculateur!CG55*Calculateur!CI55*VLOOKUP('Données projet'!$B$12,Paramètres!$A$1:$I$89,3,0)*0.475*44/12</f>
        <v>29.387314190753099</v>
      </c>
      <c r="CM55" s="21">
        <f>EXP(-LN(2)/2)*CM54+(1-EXP(-LN(2)/2))/(LN(2)/2)*CG55*CJ55*VLOOKUP('Données projet'!$B$12,Paramètres!$A$1:$I$89,3,0)*0.475*44/12</f>
        <v>2.5782424586141142</v>
      </c>
      <c r="CN55" s="22">
        <f t="shared" si="12"/>
        <v>78.101020663240163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1">
        <f t="shared" si="32"/>
        <v>11.695876818444219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67">
        <f t="shared" si="1"/>
        <v>381.38412212545694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10.5</v>
      </c>
      <c r="N56" s="13">
        <f>IF('Données projet'!$A$36&gt;35,N55+M56-V55,IF(A56&lt;'Données projet'!$A$36,$K$205^A56,IF(A56='Données projet'!$A$36,'Données projet'!$B$36,N55+M56-V55)))</f>
        <v>283.5</v>
      </c>
      <c r="O56" s="13">
        <f>N56*VLOOKUP('Données projet'!$B$9,Paramètres!$A$1:$I$89,3,0)*VLOOKUP('Données projet'!$B$9,Paramètres!$A$1:$I$89,5,0)</f>
        <v>169.53300000000002</v>
      </c>
      <c r="P56" s="13">
        <f t="shared" si="33"/>
        <v>42.985414381129679</v>
      </c>
      <c r="Q56" s="20">
        <f t="shared" si="53"/>
        <v>370.13623838046755</v>
      </c>
      <c r="R56" s="59">
        <f t="shared" si="0"/>
        <v>663.46957171380086</v>
      </c>
      <c r="S56" s="59">
        <f ca="1">AVERAGE(OFFSET($R$3,0,0,'Données projet'!$E$9+1,1))-AVERAGE(OFFSET($H$3,0,0,'Données projet'!$E$9+1,1))</f>
        <v>125.14227069357082</v>
      </c>
      <c r="T56" s="59">
        <f t="shared" si="34"/>
        <v>193.39407925063165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10.566106215612937</v>
      </c>
      <c r="AA56" s="21">
        <f>EXP(-LN(2)/25)*AA55+(1-EXP(-LN(2)/25))/(LN(2)/25)*Calculateur!V56*Calculateur!X56*VLOOKUP('Données projet'!$B$9,Paramètres!$A$1:$I$89,3,0)*0.475*44/12</f>
        <v>12.248189812286562</v>
      </c>
      <c r="AB56" s="21">
        <f>EXP(-LN(2)/2)*AB55+(1-EXP(-LN(2)/2))/(LN(2)/2)*V56*Y56*VLOOKUP('Données projet'!$B$9,Paramètres!$A$1:$I$89,3,0)*0.475*44/12</f>
        <v>1.2302990881092712</v>
      </c>
      <c r="AC56" s="22">
        <f t="shared" si="3"/>
        <v>24.044595116008768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18.686250000000001</v>
      </c>
      <c r="AI56" s="13">
        <f>IF('Données projet'!$A$62&gt;35,AI55+AH56-AQ55,IF(A56&lt;'Données projet'!$A$62,$AF$205^A56,IF(A56='Données projet'!$A$62,'Données projet'!$B$62,AI55+AH56-AQ55)))</f>
        <v>133.49625000000003</v>
      </c>
      <c r="AJ56" s="13">
        <f>AI56*VLOOKUP('Données projet'!$B$10,Paramètres!$A$1:$I$89,3,0)*VLOOKUP('Données projet'!$B$10,Paramètres!$A$1:$I$89,5,0)</f>
        <v>62.476245000000013</v>
      </c>
      <c r="AK56" s="13">
        <f t="shared" si="35"/>
        <v>17.792860245179224</v>
      </c>
      <c r="AL56" s="20">
        <f t="shared" si="4"/>
        <v>139.80202496868716</v>
      </c>
      <c r="AM56" s="59">
        <f t="shared" si="5"/>
        <v>433.13535830202045</v>
      </c>
      <c r="AN56" s="59">
        <f ca="1">AVERAGE(OFFSET($AM$3,0,0,'Données projet'!$E$10+1,1))-AVERAGE(OFFSET($H$3,0,0,'Données projet'!$E$10+1,1))</f>
        <v>74.573470247551825</v>
      </c>
      <c r="AO56" s="59">
        <f t="shared" si="36"/>
        <v>122.43655207772224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31.916670704534866</v>
      </c>
      <c r="AV56" s="21">
        <f>EXP(-LN(2)/25)*AV55+(1-EXP(-LN(2)/25))/(LN(2)/25)*Calculateur!AQ56*Calculateur!AS56*VLOOKUP('Données projet'!$B$10,Paramètres!$A$1:$I$89,3,0)*0.475*44/12</f>
        <v>18.448654578970284</v>
      </c>
      <c r="AW56" s="21">
        <f>EXP(-LN(2)/2)*AW55+(1-EXP(-LN(2)/2))/(LN(2)/2)*AQ56*AT56*VLOOKUP('Données projet'!$B$10,Paramètres!$A$1:$I$89,3,0)*0.475*44/12</f>
        <v>15.508133065470805</v>
      </c>
      <c r="AX56" s="21">
        <f t="shared" si="6"/>
        <v>65.873458348975959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5.6</v>
      </c>
      <c r="BD56" s="12">
        <f>IF('Données projet'!$A$88&gt;35,BD55+BC56-BL55,IF(A56&lt;'Données projet'!$A$88,$BA$205^A56,IF(A56='Données projet'!$A$88,'Données projet'!$B$88,BD55+BC56-BL55)))</f>
        <v>123.79999999999995</v>
      </c>
      <c r="BE56" s="13">
        <f>BD56*VLOOKUP('Données projet'!$B$11,Paramètres!$A$1:$I$89,3,0)*VLOOKUP('Données projet'!$B$11,Paramètres!$A$1:$I$89,5,0)</f>
        <v>125.53319999999997</v>
      </c>
      <c r="BF56" s="13">
        <f t="shared" si="37"/>
        <v>32.962122082003134</v>
      </c>
      <c r="BG56" s="20">
        <f t="shared" si="7"/>
        <v>276.046019292822</v>
      </c>
      <c r="BH56" s="59">
        <f t="shared" si="8"/>
        <v>569.37935262615531</v>
      </c>
      <c r="BI56" s="59">
        <f ca="1">AVERAGE(OFFSET($BH$3,0,0,'Données projet'!$E$11+1,1))-AVERAGE(OFFSET($H$3,0,0,'Données projet'!$E$11+1,1))</f>
        <v>183.74583738362492</v>
      </c>
      <c r="BJ56" s="59">
        <f t="shared" si="38"/>
        <v>46.344307013926596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4.8472888907853573</v>
      </c>
      <c r="BQ56" s="21">
        <f>EXP(-LN(2)/25)*BQ55+(1-EXP(-LN(2)/25))/(LN(2)/25)*Calculateur!BL56*Calculateur!BN56*VLOOKUP('Données projet'!$B$11,Paramètres!$A$1:$I$89,3,0)*0.475*44/12</f>
        <v>0.92555885089674195</v>
      </c>
      <c r="BR56" s="21">
        <f>EXP(-LN(2)/2)*BR55+(1-EXP(-LN(2)/2))/(LN(2)/2)*BL56*BO56*VLOOKUP('Données projet'!$B$11,Paramètres!$A$1:$I$89,3,0)*0.475*44/12</f>
        <v>0.66872967494710989</v>
      </c>
      <c r="BS56" s="22">
        <f t="shared" si="9"/>
        <v>6.441577416629209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21</v>
      </c>
      <c r="BY56" s="12">
        <f>IF('Données projet'!$A$114&gt;35,BY55+BX56-CG55,IF(A56&lt;'Données projet'!$A$114,$BV$205^A56,IF(A56='Données projet'!$A$114,'Données projet'!$B$114,BY55+BX56-CG55)))</f>
        <v>622</v>
      </c>
      <c r="BZ56" s="13">
        <f>BY56*VLOOKUP('Données projet'!$B$12,Paramètres!$A$1:$I$89,3,0)*VLOOKUP('Données projet'!$B$12,Paramètres!$A$1:$I$89,5,0)</f>
        <v>274.92400000000004</v>
      </c>
      <c r="CA56" s="13">
        <f t="shared" si="39"/>
        <v>65.893164661595534</v>
      </c>
      <c r="CB56" s="20">
        <f t="shared" si="10"/>
        <v>593.58989511894561</v>
      </c>
      <c r="CC56" s="59">
        <f t="shared" si="11"/>
        <v>886.92322845227886</v>
      </c>
      <c r="CD56" s="59">
        <f ca="1">AVERAGE(OFFSET($CC$3,0,0,'Données projet'!$E$12+1,1))-AVERAGE(OFFSET($H$3,0,0,'Données projet'!$E$12+1,1))</f>
        <v>333.00091572040611</v>
      </c>
      <c r="CE56" s="59">
        <f t="shared" si="40"/>
        <v>267.06874181561398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45.230775704415372</v>
      </c>
      <c r="CL56" s="21">
        <f>EXP(-LN(2)/25)*CL55+(1-EXP(-LN(2)/25))/(LN(2)/25)*Calculateur!CG56*Calculateur!CI56*VLOOKUP('Données projet'!$B$12,Paramètres!$A$1:$I$89,3,0)*0.475*44/12</f>
        <v>28.583716538795269</v>
      </c>
      <c r="CM56" s="21">
        <f>EXP(-LN(2)/2)*CM55+(1-EXP(-LN(2)/2))/(LN(2)/2)*CG56*CJ56*VLOOKUP('Données projet'!$B$12,Paramètres!$A$1:$I$89,3,0)*0.475*44/12</f>
        <v>1.8230927260291168</v>
      </c>
      <c r="CN56" s="22">
        <f t="shared" si="12"/>
        <v>75.637584969239754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1">
        <f t="shared" si="32"/>
        <v>11.890654313289092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67">
        <f t="shared" si="1"/>
        <v>383.0003495956451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294</v>
      </c>
      <c r="L57" s="12">
        <f>VLOOKUP(A57,'Données projet'!$A$35:$I$55,9,0)</f>
        <v>10.5</v>
      </c>
      <c r="M57" s="12">
        <f t="array" ref="M57">INDEX(L:L,MIN(IF(ISNUMBER(L57:L253),ROW(L57:L253),"")))</f>
        <v>10.5</v>
      </c>
      <c r="N57" s="13">
        <f>IF('Données projet'!$A$36&gt;35,N56+M57-V56,IF(A57&lt;'Données projet'!$A$36,$K$205^A57,IF(A57='Données projet'!$A$36,'Données projet'!$B$36,N56+M57-V56)))</f>
        <v>294</v>
      </c>
      <c r="O57" s="13">
        <f>N57*VLOOKUP('Données projet'!$B$9,Paramètres!$A$1:$I$89,3,0)*VLOOKUP('Données projet'!$B$9,Paramètres!$A$1:$I$89,5,0)</f>
        <v>175.81200000000001</v>
      </c>
      <c r="P57" s="13">
        <f t="shared" si="33"/>
        <v>44.389160560041141</v>
      </c>
      <c r="Q57" s="20">
        <f t="shared" si="53"/>
        <v>383.51702130873832</v>
      </c>
      <c r="R57" s="59">
        <f t="shared" si="0"/>
        <v>676.85035464207158</v>
      </c>
      <c r="S57" s="59">
        <f ca="1">AVERAGE(OFFSET($R$3,0,0,'Données projet'!$E$9+1,1))-AVERAGE(OFFSET($H$3,0,0,'Données projet'!$E$9+1,1))</f>
        <v>125.14227069357082</v>
      </c>
      <c r="T57" s="59">
        <f t="shared" si="34"/>
        <v>193.39407925063165</v>
      </c>
      <c r="U57" s="15">
        <f>IF(ISNA(VLOOKUP(A57,'Données projet'!$A$35:$I$55,3,0)),0,VLOOKUP(A57,'Données projet'!$A$35:$I$55,3,0))</f>
        <v>4</v>
      </c>
      <c r="V57" s="15">
        <f>IF(ISNA(VLOOKUP(A57,'Données projet'!$A$35:$I$55,4,0)),0,VLOOKUP(A57,'Données projet'!$A$35:$I$55,4,0))</f>
        <v>65</v>
      </c>
      <c r="W57" s="16">
        <f>IF(ISNA(VLOOKUP(A57,'Données projet'!$A$35:$I$55,5,0)),0%,VLOOKUP(A57,'Données projet'!$A$35:$I$55,5,0)*VLOOKUP('Données projet'!$B$9,Paramètres!$A$1:$I$89,7,0))</f>
        <v>0.27</v>
      </c>
      <c r="X57" s="16">
        <f>IF(ISNA(VLOOKUP(A57,'Données projet'!$A$35:$I$55,6,0)),0%,VLOOKUP(A57,'Données projet'!$A$35:$I$55,6,0)*VLOOKUP('Données projet'!$B$9,Paramètres!$A$1:$I$89,7,0))</f>
        <v>6.7500000000000004E-2</v>
      </c>
      <c r="Y57" s="16">
        <f>IF(ISNA(VLOOKUP(A57,'Données projet'!$A$35:$I$55,7,0)),0%,VLOOKUP(A57,'Données projet'!$A$35:$I$55,7,0))</f>
        <v>0.25</v>
      </c>
      <c r="Z57" s="21">
        <f>EXP(-LN(2)/35)*Z56+(1-EXP(-LN(2)/35))/(LN(2)/35)*V57*W57*VLOOKUP('Données projet'!$B$9,Paramètres!$A$1:$I$89,3,0)*0.475*44/12</f>
        <v>24.281072620805631</v>
      </c>
      <c r="AA57" s="21">
        <f>EXP(-LN(2)/25)*AA56+(1-EXP(-LN(2)/25))/(LN(2)/25)*Calculateur!V57*Calculateur!X57*VLOOKUP('Données projet'!$B$9,Paramètres!$A$1:$I$89,3,0)*0.475*44/12</f>
        <v>15.380098530160685</v>
      </c>
      <c r="AB57" s="21">
        <f>EXP(-LN(2)/2)*AB56+(1-EXP(-LN(2)/2))/(LN(2)/2)*V57*Y57*VLOOKUP('Données projet'!$B$9,Paramètres!$A$1:$I$89,3,0)*0.475*44/12</f>
        <v>11.872420179303123</v>
      </c>
      <c r="AC57" s="22">
        <f t="shared" si="3"/>
        <v>51.533591330269445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18.686250000000001</v>
      </c>
      <c r="AI57" s="13">
        <f>IF('Données projet'!$A$62&gt;35,AI56+AH57-AQ56,IF(A57&lt;'Données projet'!$A$62,$AF$205^A57,IF(A57='Données projet'!$A$62,'Données projet'!$B$62,AI56+AH57-AQ56)))</f>
        <v>152.18250000000003</v>
      </c>
      <c r="AJ57" s="13">
        <f>AI57*VLOOKUP('Données projet'!$B$10,Paramètres!$A$1:$I$89,3,0)*VLOOKUP('Données projet'!$B$10,Paramètres!$A$1:$I$89,5,0)</f>
        <v>71.22141000000002</v>
      </c>
      <c r="AK57" s="13">
        <f t="shared" si="35"/>
        <v>19.976470678895758</v>
      </c>
      <c r="AL57" s="20">
        <f t="shared" si="4"/>
        <v>158.83630884907683</v>
      </c>
      <c r="AM57" s="59">
        <f t="shared" si="5"/>
        <v>452.16964218241014</v>
      </c>
      <c r="AN57" s="59">
        <f ca="1">AVERAGE(OFFSET($AM$3,0,0,'Données projet'!$E$10+1,1))-AVERAGE(OFFSET($H$3,0,0,'Données projet'!$E$10+1,1))</f>
        <v>74.573470247551825</v>
      </c>
      <c r="AO57" s="59">
        <f t="shared" si="36"/>
        <v>122.43655207772224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31.290804259265837</v>
      </c>
      <c r="AV57" s="21">
        <f>EXP(-LN(2)/25)*AV56+(1-EXP(-LN(2)/25))/(LN(2)/25)*Calculateur!AQ57*Calculateur!AS57*VLOOKUP('Données projet'!$B$10,Paramètres!$A$1:$I$89,3,0)*0.475*44/12</f>
        <v>17.944175149335763</v>
      </c>
      <c r="AW57" s="21">
        <f>EXP(-LN(2)/2)*AW56+(1-EXP(-LN(2)/2))/(LN(2)/2)*AQ57*AT57*VLOOKUP('Données projet'!$B$10,Paramètres!$A$1:$I$89,3,0)*0.475*44/12</f>
        <v>10.965906054137728</v>
      </c>
      <c r="AX57" s="21">
        <f t="shared" si="6"/>
        <v>60.200885462739329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5.6</v>
      </c>
      <c r="BD57" s="12">
        <f>IF('Données projet'!$A$88&gt;35,BD56+BC57-BL56,IF(A57&lt;'Données projet'!$A$88,$BA$205^A57,IF(A57='Données projet'!$A$88,'Données projet'!$B$88,BD56+BC57-BL56)))</f>
        <v>129.39999999999995</v>
      </c>
      <c r="BE57" s="13">
        <f>BD57*VLOOKUP('Données projet'!$B$11,Paramètres!$A$1:$I$89,3,0)*VLOOKUP('Données projet'!$B$11,Paramètres!$A$1:$I$89,5,0)</f>
        <v>131.21159999999995</v>
      </c>
      <c r="BF57" s="13">
        <f t="shared" si="37"/>
        <v>34.276173183172517</v>
      </c>
      <c r="BG57" s="20">
        <f t="shared" si="7"/>
        <v>288.22453829402536</v>
      </c>
      <c r="BH57" s="59">
        <f t="shared" si="8"/>
        <v>581.55787162735874</v>
      </c>
      <c r="BI57" s="59">
        <f ca="1">AVERAGE(OFFSET($BH$3,0,0,'Données projet'!$E$11+1,1))-AVERAGE(OFFSET($H$3,0,0,'Données projet'!$E$11+1,1))</f>
        <v>183.74583738362492</v>
      </c>
      <c r="BJ57" s="59">
        <f t="shared" si="38"/>
        <v>46.344307013926596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4.7522365121913444</v>
      </c>
      <c r="BQ57" s="21">
        <f>EXP(-LN(2)/25)*BQ56+(1-EXP(-LN(2)/25))/(LN(2)/25)*Calculateur!BL57*Calculateur!BN57*VLOOKUP('Données projet'!$B$11,Paramètres!$A$1:$I$89,3,0)*0.475*44/12</f>
        <v>0.90024939544594595</v>
      </c>
      <c r="BR57" s="21">
        <f>EXP(-LN(2)/2)*BR56+(1-EXP(-LN(2)/2))/(LN(2)/2)*BL57*BO57*VLOOKUP('Données projet'!$B$11,Paramètres!$A$1:$I$89,3,0)*0.475*44/12</f>
        <v>0.47286328793577709</v>
      </c>
      <c r="BS57" s="22">
        <f t="shared" si="9"/>
        <v>6.125349195573067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21</v>
      </c>
      <c r="BY57" s="12">
        <f>IF('Données projet'!$A$114&gt;35,BY56+BX57-CG56,IF(A57&lt;'Données projet'!$A$114,$BV$205^A57,IF(A57='Données projet'!$A$114,'Données projet'!$B$114,BY56+BX57-CG56)))</f>
        <v>643</v>
      </c>
      <c r="BZ57" s="13">
        <f>BY57*VLOOKUP('Données projet'!$B$12,Paramètres!$A$1:$I$89,3,0)*VLOOKUP('Données projet'!$B$12,Paramètres!$A$1:$I$89,5,0)</f>
        <v>284.20600000000002</v>
      </c>
      <c r="CA57" s="13">
        <f t="shared" si="39"/>
        <v>67.855084825470755</v>
      </c>
      <c r="CB57" s="20">
        <f t="shared" si="10"/>
        <v>613.17305607102821</v>
      </c>
      <c r="CC57" s="59">
        <f t="shared" si="11"/>
        <v>906.50638940436147</v>
      </c>
      <c r="CD57" s="59">
        <f ca="1">AVERAGE(OFFSET($CC$3,0,0,'Données projet'!$E$12+1,1))-AVERAGE(OFFSET($H$3,0,0,'Données projet'!$E$12+1,1))</f>
        <v>333.00091572040611</v>
      </c>
      <c r="CE57" s="59">
        <f t="shared" si="40"/>
        <v>267.06874181561398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44.343827780900874</v>
      </c>
      <c r="CL57" s="21">
        <f>EXP(-LN(2)/25)*CL56+(1-EXP(-LN(2)/25))/(LN(2)/25)*Calculateur!CG57*Calculateur!CI57*VLOOKUP('Données projet'!$B$12,Paramètres!$A$1:$I$89,3,0)*0.475*44/12</f>
        <v>27.802093306889589</v>
      </c>
      <c r="CM57" s="21">
        <f>EXP(-LN(2)/2)*CM56+(1-EXP(-LN(2)/2))/(LN(2)/2)*CG57*CJ57*VLOOKUP('Données projet'!$B$12,Paramètres!$A$1:$I$89,3,0)*0.475*44/12</f>
        <v>1.2891212293070571</v>
      </c>
      <c r="CN57" s="22">
        <f t="shared" si="12"/>
        <v>73.435042317097526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1">
        <f t="shared" si="32"/>
        <v>12.085012381264168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67">
        <f t="shared" si="1"/>
        <v>384.615846564035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229</v>
      </c>
      <c r="O58" s="13">
        <f>N58*VLOOKUP('Données projet'!$B$9,Paramètres!$A$1:$I$89,3,0)*VLOOKUP('Données projet'!$B$9,Paramètres!$A$1:$I$89,5,0)</f>
        <v>136.94200000000001</v>
      </c>
      <c r="P58" s="13">
        <f t="shared" si="33"/>
        <v>35.595562742420903</v>
      </c>
      <c r="Q58" s="20">
        <f t="shared" si="53"/>
        <v>300.50292177638306</v>
      </c>
      <c r="R58" s="59">
        <f t="shared" si="0"/>
        <v>593.83625510971638</v>
      </c>
      <c r="S58" s="59">
        <f ca="1">AVERAGE(OFFSET($R$3,0,0,'Données projet'!$E$9+1,1))-AVERAGE(OFFSET($H$3,0,0,'Données projet'!$E$9+1,1))</f>
        <v>125.14227069357082</v>
      </c>
      <c r="T58" s="59">
        <f t="shared" si="34"/>
        <v>193.39407925063165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23.804935596703565</v>
      </c>
      <c r="AA58" s="21">
        <f>EXP(-LN(2)/25)*AA57+(1-EXP(-LN(2)/25))/(LN(2)/25)*Calculateur!V58*Calculateur!X58*VLOOKUP('Données projet'!$B$9,Paramètres!$A$1:$I$89,3,0)*0.475*44/12</f>
        <v>14.959528927049211</v>
      </c>
      <c r="AB58" s="21">
        <f>EXP(-LN(2)/2)*AB57+(1-EXP(-LN(2)/2))/(LN(2)/2)*V58*Y58*VLOOKUP('Données projet'!$B$9,Paramètres!$A$1:$I$89,3,0)*0.475*44/12</f>
        <v>8.3950688178812456</v>
      </c>
      <c r="AC58" s="22">
        <f t="shared" si="3"/>
        <v>47.159533341634024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18.686250000000001</v>
      </c>
      <c r="AI58" s="13">
        <f>IF('Données projet'!$A$62&gt;35,AI57+AH58-AQ57,IF(A58&lt;'Données projet'!$A$62,$AF$205^A58,IF(A58='Données projet'!$A$62,'Données projet'!$B$62,AI57+AH58-AQ57)))</f>
        <v>170.86875000000003</v>
      </c>
      <c r="AJ58" s="13">
        <f>AI58*VLOOKUP('Données projet'!$B$10,Paramètres!$A$1:$I$89,3,0)*VLOOKUP('Données projet'!$B$10,Paramètres!$A$1:$I$89,5,0)</f>
        <v>79.96657500000002</v>
      </c>
      <c r="AK58" s="13">
        <f t="shared" si="35"/>
        <v>22.129011343633632</v>
      </c>
      <c r="AL58" s="20">
        <f t="shared" si="4"/>
        <v>177.81647954849529</v>
      </c>
      <c r="AM58" s="59">
        <f t="shared" si="5"/>
        <v>471.14981288182861</v>
      </c>
      <c r="AN58" s="59">
        <f ca="1">AVERAGE(OFFSET($AM$3,0,0,'Données projet'!$E$10+1,1))-AVERAGE(OFFSET($H$3,0,0,'Données projet'!$E$10+1,1))</f>
        <v>74.573470247551825</v>
      </c>
      <c r="AO58" s="59">
        <f t="shared" si="36"/>
        <v>122.43655207772224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30.677210673247696</v>
      </c>
      <c r="AV58" s="21">
        <f>EXP(-LN(2)/25)*AV57+(1-EXP(-LN(2)/25))/(LN(2)/25)*Calculateur!AQ58*Calculateur!AS58*VLOOKUP('Données projet'!$B$10,Paramètres!$A$1:$I$89,3,0)*0.475*44/12</f>
        <v>17.453490736234016</v>
      </c>
      <c r="AW58" s="21">
        <f>EXP(-LN(2)/2)*AW57+(1-EXP(-LN(2)/2))/(LN(2)/2)*AQ58*AT58*VLOOKUP('Données projet'!$B$10,Paramètres!$A$1:$I$89,3,0)*0.475*44/12</f>
        <v>7.7540665327354032</v>
      </c>
      <c r="AX58" s="21">
        <f t="shared" si="6"/>
        <v>55.884767942217117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>
        <f>VLOOKUP(A58,'Données projet'!$A$87:$I$107,2,0)</f>
        <v>135</v>
      </c>
      <c r="BB58" s="12">
        <f>VLOOKUP(A58,'Données projet'!$A$87:$I$107,9,0)</f>
        <v>5.6</v>
      </c>
      <c r="BC58" s="12">
        <f t="array" ref="BC58">INDEX(BB:BB,MIN(IF(ISNUMBER(BB58:BB254),ROW(BB58:BB254),"")))</f>
        <v>5.6</v>
      </c>
      <c r="BD58" s="12">
        <f>IF('Données projet'!$A$88&gt;35,BD57+BC58-BL57,IF(A58&lt;'Données projet'!$A$88,$BA$205^A58,IF(A58='Données projet'!$A$88,'Données projet'!$B$88,BD57+BC58-BL57)))</f>
        <v>134.99999999999994</v>
      </c>
      <c r="BE58" s="13">
        <f>BD58*VLOOKUP('Données projet'!$B$11,Paramètres!$A$1:$I$89,3,0)*VLOOKUP('Données projet'!$B$11,Paramètres!$A$1:$I$89,5,0)</f>
        <v>136.88999999999996</v>
      </c>
      <c r="BF58" s="13">
        <f t="shared" si="37"/>
        <v>35.583619346017713</v>
      </c>
      <c r="BG58" s="20">
        <f t="shared" si="7"/>
        <v>300.3915536943141</v>
      </c>
      <c r="BH58" s="59">
        <f t="shared" si="8"/>
        <v>593.72488702764736</v>
      </c>
      <c r="BI58" s="59">
        <f ca="1">AVERAGE(OFFSET($BH$3,0,0,'Données projet'!$E$11+1,1))-AVERAGE(OFFSET($H$3,0,0,'Données projet'!$E$11+1,1))</f>
        <v>183.74583738362492</v>
      </c>
      <c r="BJ58" s="59">
        <f t="shared" si="38"/>
        <v>46.344307013926596</v>
      </c>
      <c r="BK58" s="15">
        <f>IF(ISNA(VLOOKUP(A58,'Données projet'!$A$87:$I$107,3,0)),0,VLOOKUP(A58,'Données projet'!$A$87:$I$107,3,0))</f>
        <v>5</v>
      </c>
      <c r="BL58" s="15">
        <f>IF(ISNA(VLOOKUP(A58,'Données projet'!$A$87:$I$107,4,0)),0,VLOOKUP(A58,'Données projet'!$A$87:$I$107,4,0))</f>
        <v>14</v>
      </c>
      <c r="BM58" s="16">
        <f>IF(ISNA(VLOOKUP(A58,'Données projet'!$A$87:$I$107,5,0)),0%,VLOOKUP(A58,'Données projet'!$A$87:$I$107,5,0)*VLOOKUP('Données projet'!$B$11,Paramètres!$A$1:$I$89,7,0))</f>
        <v>0.25800000000000001</v>
      </c>
      <c r="BN58" s="16">
        <f>IF(ISNA(VLOOKUP(A58,'Données projet'!$A$87:$I$107,6,0)),0%,VLOOKUP(A58,'Données projet'!$A$87:$I$107,6,0)*VLOOKUP('Données projet'!$B$11,Paramètres!$A$1:$I$89,7,0))</f>
        <v>1.72E-2</v>
      </c>
      <c r="BO58" s="16">
        <f>IF(ISNA(VLOOKUP(A58,'Données projet'!$A$87:$I$107,7,0)),0%,VLOOKUP(A58,'Données projet'!$A$87:$I$107,7,0))</f>
        <v>0.06</v>
      </c>
      <c r="BP58" s="21">
        <f>EXP(-LN(2)/35)*BP57+(1-EXP(-LN(2)/35))/(LN(2)/35)*BL58*BM58*VLOOKUP('Données projet'!$B$11,Paramètres!$A$1:$I$89,3,0)*0.475*44/12</f>
        <v>8.7079084897905723</v>
      </c>
      <c r="BQ58" s="21">
        <f>EXP(-LN(2)/25)*BQ57+(1-EXP(-LN(2)/25))/(LN(2)/25)*Calculateur!BL58*Calculateur!BN58*VLOOKUP('Données projet'!$B$11,Paramètres!$A$1:$I$89,3,0)*0.475*44/12</f>
        <v>1.1444932637686114</v>
      </c>
      <c r="BR58" s="21">
        <f>EXP(-LN(2)/2)*BR57+(1-EXP(-LN(2)/2))/(LN(2)/2)*BL58*BO58*VLOOKUP('Données projet'!$B$11,Paramètres!$A$1:$I$89,3,0)*0.475*44/12</f>
        <v>1.1380233222578404</v>
      </c>
      <c r="BS58" s="22">
        <f t="shared" si="9"/>
        <v>10.990425075817024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664</v>
      </c>
      <c r="BW58" s="12">
        <f>VLOOKUP(A58,'Données projet'!$A$113:$I$133,9,0)</f>
        <v>21</v>
      </c>
      <c r="BX58" s="12">
        <f t="array" ref="BX58">INDEX(BW:BW,MIN(IF(ISNUMBER(BW58:BW254),ROW(BW58:BW254),"")))</f>
        <v>21</v>
      </c>
      <c r="BY58" s="12">
        <f>IF('Données projet'!$A$114&gt;35,BY57+BX58-CG57,IF(A58&lt;'Données projet'!$A$114,$BV$205^A58,IF(A58='Données projet'!$A$114,'Données projet'!$B$114,BY57+BX58-CG57)))</f>
        <v>664</v>
      </c>
      <c r="BZ58" s="13">
        <f>BY58*VLOOKUP('Données projet'!$B$12,Paramètres!$A$1:$I$89,3,0)*VLOOKUP('Données projet'!$B$12,Paramètres!$A$1:$I$89,5,0)</f>
        <v>293.48800000000006</v>
      </c>
      <c r="CA58" s="13">
        <f t="shared" si="39"/>
        <v>69.809559401879582</v>
      </c>
      <c r="CB58" s="20">
        <f t="shared" si="10"/>
        <v>632.74324929160707</v>
      </c>
      <c r="CC58" s="59">
        <f t="shared" si="11"/>
        <v>926.07658262494033</v>
      </c>
      <c r="CD58" s="59">
        <f ca="1">AVERAGE(OFFSET($CC$3,0,0,'Données projet'!$E$12+1,1))-AVERAGE(OFFSET($H$3,0,0,'Données projet'!$E$12+1,1))</f>
        <v>333.00091572040611</v>
      </c>
      <c r="CE58" s="59">
        <f t="shared" si="40"/>
        <v>267.06874181561398</v>
      </c>
      <c r="CF58" s="15">
        <f>IF(ISNA(VLOOKUP(A58,'Données projet'!$A$113:$I$133,3,0)),0,VLOOKUP(A58,'Données projet'!$A$113:$I$133,3,0))</f>
        <v>8</v>
      </c>
      <c r="CG58" s="15">
        <f>IF(ISNA(VLOOKUP(A58,'Données projet'!$A$113:$I$133,4,0)),0,VLOOKUP(A58,'Données projet'!$A$113:$I$133,4,0))</f>
        <v>44</v>
      </c>
      <c r="CH58" s="16">
        <f>IF(ISNA(VLOOKUP(A58,'Données projet'!$A$113:$I$133,5,0)),0%,VLOOKUP(A58,'Données projet'!$A$113:$I$133,5,0)*VLOOKUP('Données projet'!$B$12,Paramètres!$A$1:$I$89,7,0))</f>
        <v>0.33</v>
      </c>
      <c r="CI58" s="16">
        <f>IF(ISNA(VLOOKUP(A58,'Données projet'!$A$113:$I$133,6,0)),0%,VLOOKUP(A58,'Données projet'!$A$113:$I$133,6,0)*VLOOKUP('Données projet'!$B$12,Paramètres!$A$1:$I$89,7,0))</f>
        <v>0.13750000000000001</v>
      </c>
      <c r="CJ58" s="16">
        <f>IF(ISNA(VLOOKUP(A58,'Données projet'!$A$113:$I$133,7,0)),0%,VLOOKUP(A58,'Données projet'!$A$113:$I$133,7,0))</f>
        <v>0.15</v>
      </c>
      <c r="CK58" s="21">
        <f>EXP(-LN(2)/35)*CK57+(1-EXP(-LN(2)/35))/(LN(2)/35)*CG58*CH58*VLOOKUP('Données projet'!$B$12,Paramètres!$A$1:$I$89,3,0)*0.475*44/12</f>
        <v>51.987950789879775</v>
      </c>
      <c r="CL58" s="21">
        <f>EXP(-LN(2)/25)*CL57+(1-EXP(-LN(2)/25))/(LN(2)/25)*Calculateur!CG58*Calculateur!CI58*VLOOKUP('Données projet'!$B$12,Paramètres!$A$1:$I$89,3,0)*0.475*44/12</f>
        <v>30.575242282020092</v>
      </c>
      <c r="CM58" s="21">
        <f>EXP(-LN(2)/2)*CM57+(1-EXP(-LN(2)/2))/(LN(2)/2)*CG58*CJ58*VLOOKUP('Données projet'!$B$12,Paramètres!$A$1:$I$89,3,0)*0.475*44/12</f>
        <v>4.214494421358765</v>
      </c>
      <c r="CN58" s="22">
        <f t="shared" si="12"/>
        <v>86.777687493258625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1">
        <f t="shared" si="32"/>
        <v>12.278959527914731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67">
        <f t="shared" si="1"/>
        <v>386.23062784445136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229</v>
      </c>
      <c r="O59" s="13">
        <f>N59*VLOOKUP('Données projet'!$B$9,Paramètres!$A$1:$I$89,3,0)*VLOOKUP('Données projet'!$B$9,Paramètres!$A$1:$I$89,5,0)</f>
        <v>136.94200000000001</v>
      </c>
      <c r="P59" s="13">
        <f t="shared" si="33"/>
        <v>35.595562742420903</v>
      </c>
      <c r="Q59" s="20">
        <f t="shared" si="53"/>
        <v>300.50292177638306</v>
      </c>
      <c r="R59" s="59">
        <f t="shared" si="0"/>
        <v>593.83625510971638</v>
      </c>
      <c r="S59" s="59">
        <f ca="1">AVERAGE(OFFSET($R$3,0,0,'Données projet'!$E$9+1,1))-AVERAGE(OFFSET($H$3,0,0,'Données projet'!$E$9+1,1))</f>
        <v>125.14227069357082</v>
      </c>
      <c r="T59" s="59">
        <f t="shared" si="34"/>
        <v>193.39407925063165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23.338135329229232</v>
      </c>
      <c r="AA59" s="21">
        <f>EXP(-LN(2)/25)*AA58+(1-EXP(-LN(2)/25))/(LN(2)/25)*Calculateur!V59*Calculateur!X59*VLOOKUP('Données projet'!$B$9,Paramètres!$A$1:$I$89,3,0)*0.475*44/12</f>
        <v>14.550459821851614</v>
      </c>
      <c r="AB59" s="21">
        <f>EXP(-LN(2)/2)*AB58+(1-EXP(-LN(2)/2))/(LN(2)/2)*V59*Y59*VLOOKUP('Données projet'!$B$9,Paramètres!$A$1:$I$89,3,0)*0.475*44/12</f>
        <v>5.9362100896515626</v>
      </c>
      <c r="AC59" s="22">
        <f t="shared" si="3"/>
        <v>43.82480524073241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18.686250000000001</v>
      </c>
      <c r="AI59" s="13">
        <f>IF('Données projet'!$A$62&gt;35,AI58+AH59-AQ58,IF(A59&lt;'Données projet'!$A$62,$AF$205^A59,IF(A59='Données projet'!$A$62,'Données projet'!$B$62,AI58+AH59-AQ58)))</f>
        <v>189.55500000000004</v>
      </c>
      <c r="AJ59" s="13">
        <f>AI59*VLOOKUP('Données projet'!$B$10,Paramètres!$A$1:$I$89,3,0)*VLOOKUP('Données projet'!$B$10,Paramètres!$A$1:$I$89,5,0)</f>
        <v>88.71174000000002</v>
      </c>
      <c r="AK59" s="13">
        <f t="shared" si="35"/>
        <v>24.254267479788986</v>
      </c>
      <c r="AL59" s="20">
        <f t="shared" si="4"/>
        <v>196.74912969396584</v>
      </c>
      <c r="AM59" s="59">
        <f t="shared" si="5"/>
        <v>490.08246302729913</v>
      </c>
      <c r="AN59" s="59">
        <f ca="1">AVERAGE(OFFSET($AM$3,0,0,'Données projet'!$E$10+1,1))-AVERAGE(OFFSET($H$3,0,0,'Données projet'!$E$10+1,1))</f>
        <v>74.573470247551825</v>
      </c>
      <c r="AO59" s="59">
        <f t="shared" si="36"/>
        <v>122.43655207772224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30.075649283196238</v>
      </c>
      <c r="AV59" s="21">
        <f>EXP(-LN(2)/25)*AV58+(1-EXP(-LN(2)/25))/(LN(2)/25)*Calculateur!AQ59*Calculateur!AS59*VLOOKUP('Données projet'!$B$10,Paramètres!$A$1:$I$89,3,0)*0.475*44/12</f>
        <v>16.97622411421251</v>
      </c>
      <c r="AW59" s="21">
        <f>EXP(-LN(2)/2)*AW58+(1-EXP(-LN(2)/2))/(LN(2)/2)*AQ59*AT59*VLOOKUP('Données projet'!$B$10,Paramètres!$A$1:$I$89,3,0)*0.475*44/12</f>
        <v>5.4829530270688647</v>
      </c>
      <c r="AX59" s="21">
        <f t="shared" si="6"/>
        <v>52.534826424477615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5.4</v>
      </c>
      <c r="BD59" s="12">
        <f>IF('Données projet'!$A$88&gt;35,BD58+BC59-BL58,IF(A59&lt;'Données projet'!$A$88,$BA$205^A59,IF(A59='Données projet'!$A$88,'Données projet'!$B$88,BD58+BC59-BL58)))</f>
        <v>126.39999999999995</v>
      </c>
      <c r="BE59" s="13">
        <f>BD59*VLOOKUP('Données projet'!$B$11,Paramètres!$A$1:$I$89,3,0)*VLOOKUP('Données projet'!$B$11,Paramètres!$A$1:$I$89,5,0)</f>
        <v>128.16959999999995</v>
      </c>
      <c r="BF59" s="13">
        <f t="shared" si="37"/>
        <v>33.573059214253476</v>
      </c>
      <c r="BG59" s="20">
        <f t="shared" si="7"/>
        <v>281.70179813149139</v>
      </c>
      <c r="BH59" s="59">
        <f t="shared" si="8"/>
        <v>575.03513146482464</v>
      </c>
      <c r="BI59" s="59">
        <f ca="1">AVERAGE(OFFSET($BH$3,0,0,'Données projet'!$E$11+1,1))-AVERAGE(OFFSET($H$3,0,0,'Données projet'!$E$11+1,1))</f>
        <v>183.74583738362492</v>
      </c>
      <c r="BJ59" s="59">
        <f t="shared" si="38"/>
        <v>46.344307013926596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8.5371517156055106</v>
      </c>
      <c r="BQ59" s="21">
        <f>EXP(-LN(2)/25)*BQ58+(1-EXP(-LN(2)/25))/(LN(2)/25)*Calculateur!BL59*Calculateur!BN59*VLOOKUP('Données projet'!$B$11,Paramètres!$A$1:$I$89,3,0)*0.475*44/12</f>
        <v>1.1131970352845737</v>
      </c>
      <c r="BR59" s="21">
        <f>EXP(-LN(2)/2)*BR58+(1-EXP(-LN(2)/2))/(LN(2)/2)*BL59*BO59*VLOOKUP('Données projet'!$B$11,Paramètres!$A$1:$I$89,3,0)*0.475*44/12</f>
        <v>0.80470400831696265</v>
      </c>
      <c r="BS59" s="22">
        <f t="shared" si="9"/>
        <v>10.455052759207046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18.2</v>
      </c>
      <c r="BY59" s="12">
        <f>IF('Données projet'!$A$114&gt;35,BY58+BX59-CG58,IF(A59&lt;'Données projet'!$A$114,$BV$205^A59,IF(A59='Données projet'!$A$114,'Données projet'!$B$114,BY58+BX59-CG58)))</f>
        <v>638.20000000000005</v>
      </c>
      <c r="BZ59" s="13">
        <f>BY59*VLOOKUP('Données projet'!$B$12,Paramètres!$A$1:$I$89,3,0)*VLOOKUP('Données projet'!$B$12,Paramètres!$A$1:$I$89,5,0)</f>
        <v>282.08440000000007</v>
      </c>
      <c r="CA59" s="13">
        <f t="shared" si="39"/>
        <v>67.407312199999367</v>
      </c>
      <c r="CB59" s="20">
        <f t="shared" si="10"/>
        <v>608.69806541499895</v>
      </c>
      <c r="CC59" s="59">
        <f t="shared" si="11"/>
        <v>902.03139874833232</v>
      </c>
      <c r="CD59" s="59">
        <f ca="1">AVERAGE(OFFSET($CC$3,0,0,'Données projet'!$E$12+1,1))-AVERAGE(OFFSET($H$3,0,0,'Données projet'!$E$12+1,1))</f>
        <v>333.00091572040611</v>
      </c>
      <c r="CE59" s="59">
        <f t="shared" si="40"/>
        <v>267.06874181561398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50.968498784409157</v>
      </c>
      <c r="CL59" s="21">
        <f>EXP(-LN(2)/25)*CL58+(1-EXP(-LN(2)/25))/(LN(2)/25)*Calculateur!CG59*Calculateur!CI59*VLOOKUP('Données projet'!$B$12,Paramètres!$A$1:$I$89,3,0)*0.475*44/12</f>
        <v>29.739160673936141</v>
      </c>
      <c r="CM59" s="21">
        <f>EXP(-LN(2)/2)*CM58+(1-EXP(-LN(2)/2))/(LN(2)/2)*CG59*CJ59*VLOOKUP('Données projet'!$B$12,Paramètres!$A$1:$I$89,3,0)*0.475*44/12</f>
        <v>2.9800975846156574</v>
      </c>
      <c r="CN59" s="22">
        <f t="shared" si="12"/>
        <v>83.687757042960953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1">
        <f t="shared" si="32"/>
        <v>12.472503937619955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67">
        <f t="shared" si="1"/>
        <v>387.84470769135464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229</v>
      </c>
      <c r="O60" s="13">
        <f>N60*VLOOKUP('Données projet'!$B$9,Paramètres!$A$1:$I$89,3,0)*VLOOKUP('Données projet'!$B$9,Paramètres!$A$1:$I$89,5,0)</f>
        <v>136.94200000000001</v>
      </c>
      <c r="P60" s="13">
        <f t="shared" si="33"/>
        <v>35.595562742420903</v>
      </c>
      <c r="Q60" s="20">
        <f t="shared" si="53"/>
        <v>300.50292177638306</v>
      </c>
      <c r="R60" s="59">
        <f t="shared" si="0"/>
        <v>593.83625510971638</v>
      </c>
      <c r="S60" s="59">
        <f ca="1">AVERAGE(OFFSET($R$3,0,0,'Données projet'!$E$9+1,1))-AVERAGE(OFFSET($H$3,0,0,'Données projet'!$E$9+1,1))</f>
        <v>125.14227069357082</v>
      </c>
      <c r="T60" s="59">
        <f t="shared" si="34"/>
        <v>193.39407925063165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22.880488730280021</v>
      </c>
      <c r="AA60" s="21">
        <f>EXP(-LN(2)/25)*AA59+(1-EXP(-LN(2)/25))/(LN(2)/25)*Calculateur!V60*Calculateur!X60*VLOOKUP('Données projet'!$B$9,Paramètres!$A$1:$I$89,3,0)*0.475*44/12</f>
        <v>14.152576732847656</v>
      </c>
      <c r="AB60" s="21">
        <f>EXP(-LN(2)/2)*AB59+(1-EXP(-LN(2)/2))/(LN(2)/2)*V60*Y60*VLOOKUP('Données projet'!$B$9,Paramètres!$A$1:$I$89,3,0)*0.475*44/12</f>
        <v>4.1975344089406237</v>
      </c>
      <c r="AC60" s="22">
        <f t="shared" si="3"/>
        <v>41.230599872068304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18.686250000000001</v>
      </c>
      <c r="AI60" s="13">
        <f>IF('Données projet'!$A$62&gt;35,AI59+AH60-AQ59,IF(A60&lt;'Données projet'!$A$62,$AF$205^A60,IF(A60='Données projet'!$A$62,'Données projet'!$B$62,AI59+AH60-AQ59)))</f>
        <v>208.24125000000004</v>
      </c>
      <c r="AJ60" s="13">
        <f>AI60*VLOOKUP('Données projet'!$B$10,Paramètres!$A$1:$I$89,3,0)*VLOOKUP('Données projet'!$B$10,Paramètres!$A$1:$I$89,5,0)</f>
        <v>97.45690500000002</v>
      </c>
      <c r="AK60" s="13">
        <f t="shared" si="35"/>
        <v>26.355234912642679</v>
      </c>
      <c r="AL60" s="20">
        <f t="shared" si="4"/>
        <v>215.63947701451934</v>
      </c>
      <c r="AM60" s="59">
        <f t="shared" si="5"/>
        <v>508.97281034785266</v>
      </c>
      <c r="AN60" s="59">
        <f ca="1">AVERAGE(OFFSET($AM$3,0,0,'Données projet'!$E$10+1,1))-AVERAGE(OFFSET($H$3,0,0,'Données projet'!$E$10+1,1))</f>
        <v>74.573470247551825</v>
      </c>
      <c r="AO60" s="59">
        <f t="shared" si="36"/>
        <v>122.43655207772224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29.485884145087471</v>
      </c>
      <c r="AV60" s="21">
        <f>EXP(-LN(2)/25)*AV59+(1-EXP(-LN(2)/25))/(LN(2)/25)*Calculateur!AQ60*Calculateur!AS60*VLOOKUP('Données projet'!$B$10,Paramètres!$A$1:$I$89,3,0)*0.475*44/12</f>
        <v>16.512008373068543</v>
      </c>
      <c r="AW60" s="21">
        <f>EXP(-LN(2)/2)*AW59+(1-EXP(-LN(2)/2))/(LN(2)/2)*AQ60*AT60*VLOOKUP('Données projet'!$B$10,Paramètres!$A$1:$I$89,3,0)*0.475*44/12</f>
        <v>3.8770332663677025</v>
      </c>
      <c r="AX60" s="21">
        <f t="shared" si="6"/>
        <v>49.874925784523718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5.4</v>
      </c>
      <c r="BD60" s="12">
        <f>IF('Données projet'!$A$88&gt;35,BD59+BC60-BL59,IF(A60&lt;'Données projet'!$A$88,$BA$205^A60,IF(A60='Données projet'!$A$88,'Données projet'!$B$88,BD59+BC60-BL59)))</f>
        <v>131.79999999999995</v>
      </c>
      <c r="BE60" s="13">
        <f>BD60*VLOOKUP('Données projet'!$B$11,Paramètres!$A$1:$I$89,3,0)*VLOOKUP('Données projet'!$B$11,Paramètres!$A$1:$I$89,5,0)</f>
        <v>133.64519999999996</v>
      </c>
      <c r="BF60" s="13">
        <f t="shared" si="37"/>
        <v>34.837297589797373</v>
      </c>
      <c r="BG60" s="20">
        <f t="shared" si="7"/>
        <v>293.44034996889701</v>
      </c>
      <c r="BH60" s="59">
        <f t="shared" si="8"/>
        <v>586.77368330223032</v>
      </c>
      <c r="BI60" s="59">
        <f ca="1">AVERAGE(OFFSET($BH$3,0,0,'Données projet'!$E$11+1,1))-AVERAGE(OFFSET($H$3,0,0,'Données projet'!$E$11+1,1))</f>
        <v>183.74583738362492</v>
      </c>
      <c r="BJ60" s="59">
        <f t="shared" si="38"/>
        <v>46.344307013926596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8.3697433776108703</v>
      </c>
      <c r="BQ60" s="21">
        <f>EXP(-LN(2)/25)*BQ59+(1-EXP(-LN(2)/25))/(LN(2)/25)*Calculateur!BL60*Calculateur!BN60*VLOOKUP('Données projet'!$B$11,Paramètres!$A$1:$I$89,3,0)*0.475*44/12</f>
        <v>1.0827566038142291</v>
      </c>
      <c r="BR60" s="21">
        <f>EXP(-LN(2)/2)*BR59+(1-EXP(-LN(2)/2))/(LN(2)/2)*BL60*BO60*VLOOKUP('Données projet'!$B$11,Paramètres!$A$1:$I$89,3,0)*0.475*44/12</f>
        <v>0.56901166112892032</v>
      </c>
      <c r="BS60" s="22">
        <f t="shared" si="9"/>
        <v>10.021511642554019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18.2</v>
      </c>
      <c r="BY60" s="12">
        <f>IF('Données projet'!$A$114&gt;35,BY59+BX60-CG59,IF(A60&lt;'Données projet'!$A$114,$BV$205^A60,IF(A60='Données projet'!$A$114,'Données projet'!$B$114,BY59+BX60-CG59)))</f>
        <v>656.40000000000009</v>
      </c>
      <c r="BZ60" s="13">
        <f>BY60*VLOOKUP('Données projet'!$B$12,Paramètres!$A$1:$I$89,3,0)*VLOOKUP('Données projet'!$B$12,Paramètres!$A$1:$I$89,5,0)</f>
        <v>290.12880000000007</v>
      </c>
      <c r="CA60" s="13">
        <f t="shared" si="39"/>
        <v>69.103068517534368</v>
      </c>
      <c r="CB60" s="20">
        <f t="shared" si="10"/>
        <v>625.66217100137249</v>
      </c>
      <c r="CC60" s="59">
        <f t="shared" si="11"/>
        <v>918.99550433470586</v>
      </c>
      <c r="CD60" s="59">
        <f ca="1">AVERAGE(OFFSET($CC$3,0,0,'Données projet'!$E$12+1,1))-AVERAGE(OFFSET($H$3,0,0,'Données projet'!$E$12+1,1))</f>
        <v>333.00091572040611</v>
      </c>
      <c r="CE60" s="59">
        <f t="shared" si="40"/>
        <v>267.06874181561398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49.969037610961493</v>
      </c>
      <c r="CL60" s="21">
        <f>EXP(-LN(2)/25)*CL59+(1-EXP(-LN(2)/25))/(LN(2)/25)*Calculateur!CG60*Calculateur!CI60*VLOOKUP('Données projet'!$B$12,Paramètres!$A$1:$I$89,3,0)*0.475*44/12</f>
        <v>28.925941761392867</v>
      </c>
      <c r="CM60" s="21">
        <f>EXP(-LN(2)/2)*CM59+(1-EXP(-LN(2)/2))/(LN(2)/2)*CG60*CJ60*VLOOKUP('Données projet'!$B$12,Paramètres!$A$1:$I$89,3,0)*0.475*44/12</f>
        <v>2.1072472106793825</v>
      </c>
      <c r="CN60" s="22">
        <f t="shared" si="12"/>
        <v>81.002226583033746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1">
        <f t="shared" si="32"/>
        <v>12.665653491137919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67">
        <f t="shared" si="1"/>
        <v>389.4580998303984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229</v>
      </c>
      <c r="O61" s="13">
        <f>N61*VLOOKUP('Données projet'!$B$9,Paramètres!$A$1:$I$89,3,0)*VLOOKUP('Données projet'!$B$9,Paramètres!$A$1:$I$89,5,0)</f>
        <v>136.94200000000001</v>
      </c>
      <c r="P61" s="13">
        <f t="shared" si="33"/>
        <v>35.595562742420903</v>
      </c>
      <c r="Q61" s="20">
        <f t="shared" si="53"/>
        <v>300.50292177638306</v>
      </c>
      <c r="R61" s="59">
        <f t="shared" si="0"/>
        <v>593.83625510971638</v>
      </c>
      <c r="S61" s="59">
        <f ca="1">AVERAGE(OFFSET($R$3,0,0,'Données projet'!$E$9+1,1))-AVERAGE(OFFSET($H$3,0,0,'Données projet'!$E$9+1,1))</f>
        <v>125.14227069357082</v>
      </c>
      <c r="T61" s="59">
        <f t="shared" si="34"/>
        <v>193.39407925063165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22.431816301999344</v>
      </c>
      <c r="AA61" s="21">
        <f>EXP(-LN(2)/25)*AA60+(1-EXP(-LN(2)/25))/(LN(2)/25)*Calculateur!V61*Calculateur!X61*VLOOKUP('Données projet'!$B$9,Paramètres!$A$1:$I$89,3,0)*0.475*44/12</f>
        <v>13.765573777836273</v>
      </c>
      <c r="AB61" s="21">
        <f>EXP(-LN(2)/2)*AB60+(1-EXP(-LN(2)/2))/(LN(2)/2)*V61*Y61*VLOOKUP('Données projet'!$B$9,Paramètres!$A$1:$I$89,3,0)*0.475*44/12</f>
        <v>2.9681050448257817</v>
      </c>
      <c r="AC61" s="22">
        <f t="shared" si="3"/>
        <v>39.165495124661398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18.686250000000001</v>
      </c>
      <c r="AI61" s="13">
        <f>IF('Données projet'!$A$62&gt;35,AI60+AH61-AQ60,IF(A61&lt;'Données projet'!$A$62,$AF$205^A61,IF(A61='Données projet'!$A$62,'Données projet'!$B$62,AI60+AH61-AQ60)))</f>
        <v>226.92750000000004</v>
      </c>
      <c r="AJ61" s="13">
        <f>AI61*VLOOKUP('Données projet'!$B$10,Paramètres!$A$1:$I$89,3,0)*VLOOKUP('Données projet'!$B$10,Paramètres!$A$1:$I$89,5,0)</f>
        <v>106.20207000000002</v>
      </c>
      <c r="AK61" s="13">
        <f t="shared" si="35"/>
        <v>28.434341007399052</v>
      </c>
      <c r="AL61" s="20">
        <f t="shared" si="4"/>
        <v>234.49174917122002</v>
      </c>
      <c r="AM61" s="59">
        <f t="shared" si="5"/>
        <v>527.82508250455339</v>
      </c>
      <c r="AN61" s="59">
        <f ca="1">AVERAGE(OFFSET($AM$3,0,0,'Données projet'!$E$10+1,1))-AVERAGE(OFFSET($H$3,0,0,'Données projet'!$E$10+1,1))</f>
        <v>74.573470247551825</v>
      </c>
      <c r="AO61" s="59">
        <f t="shared" si="36"/>
        <v>122.43655207772224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28.907683941615801</v>
      </c>
      <c r="AV61" s="21">
        <f>EXP(-LN(2)/25)*AV60+(1-EXP(-LN(2)/25))/(LN(2)/25)*Calculateur!AQ61*Calculateur!AS61*VLOOKUP('Données projet'!$B$10,Paramètres!$A$1:$I$89,3,0)*0.475*44/12</f>
        <v>16.060486635778201</v>
      </c>
      <c r="AW61" s="21">
        <f>EXP(-LN(2)/2)*AW60+(1-EXP(-LN(2)/2))/(LN(2)/2)*AQ61*AT61*VLOOKUP('Données projet'!$B$10,Paramètres!$A$1:$I$89,3,0)*0.475*44/12</f>
        <v>2.7414765135344328</v>
      </c>
      <c r="AX61" s="21">
        <f t="shared" si="6"/>
        <v>47.709647090928435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5.4</v>
      </c>
      <c r="BD61" s="12">
        <f>IF('Données projet'!$A$88&gt;35,BD60+BC61-BL60,IF(A61&lt;'Données projet'!$A$88,$BA$205^A61,IF(A61='Données projet'!$A$88,'Données projet'!$B$88,BD60+BC61-BL60)))</f>
        <v>137.19999999999996</v>
      </c>
      <c r="BE61" s="13">
        <f>BD61*VLOOKUP('Données projet'!$B$11,Paramètres!$A$1:$I$89,3,0)*VLOOKUP('Données projet'!$B$11,Paramètres!$A$1:$I$89,5,0)</f>
        <v>139.12079999999997</v>
      </c>
      <c r="BF61" s="13">
        <f t="shared" si="37"/>
        <v>36.095519333110218</v>
      </c>
      <c r="BG61" s="20">
        <f t="shared" si="7"/>
        <v>305.16842283850025</v>
      </c>
      <c r="BH61" s="59">
        <f t="shared" si="8"/>
        <v>598.50175617183356</v>
      </c>
      <c r="BI61" s="59">
        <f ca="1">AVERAGE(OFFSET($BH$3,0,0,'Données projet'!$E$11+1,1))-AVERAGE(OFFSET($H$3,0,0,'Données projet'!$E$11+1,1))</f>
        <v>183.74583738362492</v>
      </c>
      <c r="BJ61" s="59">
        <f t="shared" si="38"/>
        <v>46.344307013926596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8.2056178150152999</v>
      </c>
      <c r="BQ61" s="21">
        <f>EXP(-LN(2)/25)*BQ60+(1-EXP(-LN(2)/25))/(LN(2)/25)*Calculateur!BL61*Calculateur!BN61*VLOOKUP('Données projet'!$B$11,Paramètres!$A$1:$I$89,3,0)*0.475*44/12</f>
        <v>1.0531485675432339</v>
      </c>
      <c r="BR61" s="21">
        <f>EXP(-LN(2)/2)*BR60+(1-EXP(-LN(2)/2))/(LN(2)/2)*BL61*BO61*VLOOKUP('Données projet'!$B$11,Paramètres!$A$1:$I$89,3,0)*0.475*44/12</f>
        <v>0.40235200415848144</v>
      </c>
      <c r="BS61" s="22">
        <f t="shared" si="9"/>
        <v>9.6611183867170158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18.2</v>
      </c>
      <c r="BY61" s="12">
        <f>IF('Données projet'!$A$114&gt;35,BY60+BX61-CG60,IF(A61&lt;'Données projet'!$A$114,$BV$205^A61,IF(A61='Données projet'!$A$114,'Données projet'!$B$114,BY60+BX61-CG60)))</f>
        <v>674.60000000000014</v>
      </c>
      <c r="BZ61" s="13">
        <f>BY61*VLOOKUP('Données projet'!$B$12,Paramètres!$A$1:$I$89,3,0)*VLOOKUP('Données projet'!$B$12,Paramètres!$A$1:$I$89,5,0)</f>
        <v>298.17320000000007</v>
      </c>
      <c r="CA61" s="13">
        <f t="shared" si="39"/>
        <v>70.793359995619255</v>
      </c>
      <c r="CB61" s="20">
        <f t="shared" si="10"/>
        <v>642.61675865903692</v>
      </c>
      <c r="CC61" s="59">
        <f t="shared" si="11"/>
        <v>935.95009199237029</v>
      </c>
      <c r="CD61" s="59">
        <f ca="1">AVERAGE(OFFSET($CC$3,0,0,'Données projet'!$E$12+1,1))-AVERAGE(OFFSET($H$3,0,0,'Données projet'!$E$12+1,1))</f>
        <v>333.00091572040611</v>
      </c>
      <c r="CE61" s="59">
        <f t="shared" si="40"/>
        <v>267.06874181561398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48.989175261514021</v>
      </c>
      <c r="CL61" s="21">
        <f>EXP(-LN(2)/25)*CL60+(1-EXP(-LN(2)/25))/(LN(2)/25)*Calculateur!CG61*Calculateur!CI61*VLOOKUP('Données projet'!$B$12,Paramètres!$A$1:$I$89,3,0)*0.475*44/12</f>
        <v>28.134960362778411</v>
      </c>
      <c r="CM61" s="21">
        <f>EXP(-LN(2)/2)*CM60+(1-EXP(-LN(2)/2))/(LN(2)/2)*CG61*CJ61*VLOOKUP('Données projet'!$B$12,Paramètres!$A$1:$I$89,3,0)*0.475*44/12</f>
        <v>1.4900487923078287</v>
      </c>
      <c r="CN61" s="22">
        <f t="shared" si="12"/>
        <v>78.614184416600267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1">
        <f t="shared" si="32"/>
        <v>12.858415781906336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67">
        <f t="shared" si="1"/>
        <v>391.07081748682009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229</v>
      </c>
      <c r="O62" s="13">
        <f>N62*VLOOKUP('Données projet'!$B$9,Paramètres!$A$1:$I$89,3,0)*VLOOKUP('Données projet'!$B$9,Paramètres!$A$1:$I$89,5,0)</f>
        <v>136.94200000000001</v>
      </c>
      <c r="P62" s="13">
        <f t="shared" si="33"/>
        <v>35.595562742420903</v>
      </c>
      <c r="Q62" s="20">
        <f t="shared" si="53"/>
        <v>300.50292177638306</v>
      </c>
      <c r="R62" s="59">
        <f t="shared" si="0"/>
        <v>593.83625510971638</v>
      </c>
      <c r="S62" s="59">
        <f ca="1">AVERAGE(OFFSET($R$3,0,0,'Données projet'!$E$9+1,1))-AVERAGE(OFFSET($H$3,0,0,'Données projet'!$E$9+1,1))</f>
        <v>125.14227069357082</v>
      </c>
      <c r="T62" s="59">
        <f t="shared" si="34"/>
        <v>193.39407925063165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21.99194206637409</v>
      </c>
      <c r="AA62" s="21">
        <f>EXP(-LN(2)/25)*AA61+(1-EXP(-LN(2)/25))/(LN(2)/25)*Calculateur!V62*Calculateur!X62*VLOOKUP('Données projet'!$B$9,Paramètres!$A$1:$I$89,3,0)*0.475*44/12</f>
        <v>13.389153438981277</v>
      </c>
      <c r="AB62" s="21">
        <f>EXP(-LN(2)/2)*AB61+(1-EXP(-LN(2)/2))/(LN(2)/2)*V62*Y62*VLOOKUP('Données projet'!$B$9,Paramètres!$A$1:$I$89,3,0)*0.475*44/12</f>
        <v>2.0987672044703118</v>
      </c>
      <c r="AC62" s="22">
        <f t="shared" si="3"/>
        <v>37.479862709825682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18.686250000000001</v>
      </c>
      <c r="AI62" s="13">
        <f>IF('Données projet'!$A$62&gt;35,AI61+AH62-AQ61,IF(A62&lt;'Données projet'!$A$62,$AF$205^A62,IF(A62='Données projet'!$A$62,'Données projet'!$B$62,AI61+AH62-AQ61)))</f>
        <v>245.61375000000004</v>
      </c>
      <c r="AJ62" s="13">
        <f>AI62*VLOOKUP('Données projet'!$B$10,Paramètres!$A$1:$I$89,3,0)*VLOOKUP('Données projet'!$B$10,Paramètres!$A$1:$I$89,5,0)</f>
        <v>114.94723500000001</v>
      </c>
      <c r="AK62" s="13">
        <f t="shared" si="35"/>
        <v>30.493590587401801</v>
      </c>
      <c r="AL62" s="20">
        <f t="shared" si="4"/>
        <v>253.30943789805815</v>
      </c>
      <c r="AM62" s="59">
        <f t="shared" si="5"/>
        <v>546.64277123139141</v>
      </c>
      <c r="AN62" s="59">
        <f ca="1">AVERAGE(OFFSET($AM$3,0,0,'Données projet'!$E$10+1,1))-AVERAGE(OFFSET($H$3,0,0,'Données projet'!$E$10+1,1))</f>
        <v>74.573470247551825</v>
      </c>
      <c r="AO62" s="59">
        <f t="shared" si="36"/>
        <v>122.43655207772224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28.340821891466909</v>
      </c>
      <c r="AV62" s="21">
        <f>EXP(-LN(2)/25)*AV61+(1-EXP(-LN(2)/25))/(LN(2)/25)*Calculateur!AQ62*Calculateur!AS62*VLOOKUP('Données projet'!$B$10,Paramètres!$A$1:$I$89,3,0)*0.475*44/12</f>
        <v>15.621311784138561</v>
      </c>
      <c r="AW62" s="21">
        <f>EXP(-LN(2)/2)*AW61+(1-EXP(-LN(2)/2))/(LN(2)/2)*AQ62*AT62*VLOOKUP('Données projet'!$B$10,Paramètres!$A$1:$I$89,3,0)*0.475*44/12</f>
        <v>1.9385166331838515</v>
      </c>
      <c r="AX62" s="21">
        <f t="shared" si="6"/>
        <v>45.900650308789324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5.4</v>
      </c>
      <c r="BD62" s="12">
        <f>IF('Données projet'!$A$88&gt;35,BD61+BC62-BL61,IF(A62&lt;'Données projet'!$A$88,$BA$205^A62,IF(A62='Données projet'!$A$88,'Données projet'!$B$88,BD61+BC62-BL61)))</f>
        <v>142.59999999999997</v>
      </c>
      <c r="BE62" s="13">
        <f>BD62*VLOOKUP('Données projet'!$B$11,Paramètres!$A$1:$I$89,3,0)*VLOOKUP('Données projet'!$B$11,Paramètres!$A$1:$I$89,5,0)</f>
        <v>144.59639999999999</v>
      </c>
      <c r="BF62" s="13">
        <f t="shared" si="37"/>
        <v>37.347988348805522</v>
      </c>
      <c r="BG62" s="20">
        <f t="shared" si="7"/>
        <v>316.8864763741696</v>
      </c>
      <c r="BH62" s="59">
        <f t="shared" si="8"/>
        <v>610.21980970750292</v>
      </c>
      <c r="BI62" s="59">
        <f ca="1">AVERAGE(OFFSET($BH$3,0,0,'Données projet'!$E$11+1,1))-AVERAGE(OFFSET($H$3,0,0,'Données projet'!$E$11+1,1))</f>
        <v>183.74583738362492</v>
      </c>
      <c r="BJ62" s="59">
        <f t="shared" si="38"/>
        <v>46.344307013926596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8.0447106545955211</v>
      </c>
      <c r="BQ62" s="21">
        <f>EXP(-LN(2)/25)*BQ61+(1-EXP(-LN(2)/25))/(LN(2)/25)*Calculateur!BL62*Calculateur!BN62*VLOOKUP('Données projet'!$B$11,Paramètres!$A$1:$I$89,3,0)*0.475*44/12</f>
        <v>1.024350164581088</v>
      </c>
      <c r="BR62" s="21">
        <f>EXP(-LN(2)/2)*BR61+(1-EXP(-LN(2)/2))/(LN(2)/2)*BL62*BO62*VLOOKUP('Données projet'!$B$11,Paramètres!$A$1:$I$89,3,0)*0.475*44/12</f>
        <v>0.28450583056446022</v>
      </c>
      <c r="BS62" s="22">
        <f t="shared" si="9"/>
        <v>9.3535666497410705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18.2</v>
      </c>
      <c r="BY62" s="12">
        <f>IF('Données projet'!$A$114&gt;35,BY61+BX62-CG61,IF(A62&lt;'Données projet'!$A$114,$BV$205^A62,IF(A62='Données projet'!$A$114,'Données projet'!$B$114,BY61+BX62-CG61)))</f>
        <v>692.80000000000018</v>
      </c>
      <c r="BZ62" s="13">
        <f>BY62*VLOOKUP('Données projet'!$B$12,Paramètres!$A$1:$I$89,3,0)*VLOOKUP('Données projet'!$B$12,Paramètres!$A$1:$I$89,5,0)</f>
        <v>306.21760000000012</v>
      </c>
      <c r="CA62" s="13">
        <f t="shared" si="39"/>
        <v>72.478351013597631</v>
      </c>
      <c r="CB62" s="20">
        <f t="shared" si="10"/>
        <v>659.56211468201616</v>
      </c>
      <c r="CC62" s="59">
        <f t="shared" si="11"/>
        <v>952.89544801534953</v>
      </c>
      <c r="CD62" s="59">
        <f ca="1">AVERAGE(OFFSET($CC$3,0,0,'Données projet'!$E$12+1,1))-AVERAGE(OFFSET($H$3,0,0,'Données projet'!$E$12+1,1))</f>
        <v>333.00091572040611</v>
      </c>
      <c r="CE62" s="59">
        <f t="shared" si="40"/>
        <v>267.06874181561398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48.028527415082188</v>
      </c>
      <c r="CL62" s="21">
        <f>EXP(-LN(2)/25)*CL61+(1-EXP(-LN(2)/25))/(LN(2)/25)*Calculateur!CG62*Calculateur!CI62*VLOOKUP('Données projet'!$B$12,Paramètres!$A$1:$I$89,3,0)*0.475*44/12</f>
        <v>27.365608392104974</v>
      </c>
      <c r="CM62" s="21">
        <f>EXP(-LN(2)/2)*CM61+(1-EXP(-LN(2)/2))/(LN(2)/2)*CG62*CJ62*VLOOKUP('Données projet'!$B$12,Paramètres!$A$1:$I$89,3,0)*0.475*44/12</f>
        <v>1.0536236053396912</v>
      </c>
      <c r="CN62" s="22">
        <f t="shared" si="12"/>
        <v>76.44775941252685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1">
        <f t="shared" si="32"/>
        <v>13.050798131206863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67">
        <f t="shared" si="1"/>
        <v>392.6828734118518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229</v>
      </c>
      <c r="O63" s="13">
        <f>N63*VLOOKUP('Données projet'!$B$9,Paramètres!$A$1:$I$89,3,0)*VLOOKUP('Données projet'!$B$9,Paramètres!$A$1:$I$89,5,0)</f>
        <v>136.94200000000001</v>
      </c>
      <c r="P63" s="13">
        <f t="shared" si="33"/>
        <v>35.595562742420903</v>
      </c>
      <c r="Q63" s="20">
        <f t="shared" si="53"/>
        <v>300.50292177638306</v>
      </c>
      <c r="R63" s="59">
        <f t="shared" si="0"/>
        <v>593.83625510971638</v>
      </c>
      <c r="S63" s="59">
        <f ca="1">AVERAGE(OFFSET($R$3,0,0,'Données projet'!$E$9+1,1))-AVERAGE(OFFSET($H$3,0,0,'Données projet'!$E$9+1,1))</f>
        <v>125.14227069357082</v>
      </c>
      <c r="T63" s="59">
        <f t="shared" si="34"/>
        <v>193.39407925063165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21.560693496212657</v>
      </c>
      <c r="AA63" s="21">
        <f>EXP(-LN(2)/25)*AA62+(1-EXP(-LN(2)/25))/(LN(2)/25)*Calculateur!V63*Calculateur!X63*VLOOKUP('Données projet'!$B$9,Paramètres!$A$1:$I$89,3,0)*0.475*44/12</f>
        <v>13.023026334087355</v>
      </c>
      <c r="AB63" s="21">
        <f>EXP(-LN(2)/2)*AB62+(1-EXP(-LN(2)/2))/(LN(2)/2)*V63*Y63*VLOOKUP('Données projet'!$B$9,Paramètres!$A$1:$I$89,3,0)*0.475*44/12</f>
        <v>1.4840525224128909</v>
      </c>
      <c r="AC63" s="22">
        <f t="shared" si="3"/>
        <v>36.0677723527129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264.3</v>
      </c>
      <c r="AG63" s="12">
        <f>VLOOKUP(A63,'Données projet'!$A$61:$I$81,9,0)</f>
        <v>18.686250000000001</v>
      </c>
      <c r="AH63" s="12">
        <f t="array" ref="AH63">INDEX(AG:AG,MIN(IF(ISNUMBER(AG63:AG259),ROW(AG63:AG259),"")))</f>
        <v>18.686250000000001</v>
      </c>
      <c r="AI63" s="13">
        <f>IF('Données projet'!$A$62&gt;35,AI62+AH63-AQ62,IF(A63&lt;'Données projet'!$A$62,$AF$205^A63,IF(A63='Données projet'!$A$62,'Données projet'!$B$62,AI62+AH63-AQ62)))</f>
        <v>264.30000000000007</v>
      </c>
      <c r="AJ63" s="13">
        <f>AI63*VLOOKUP('Données projet'!$B$10,Paramètres!$A$1:$I$89,3,0)*VLOOKUP('Données projet'!$B$10,Paramètres!$A$1:$I$89,5,0)</f>
        <v>123.69240000000003</v>
      </c>
      <c r="AK63" s="13">
        <f t="shared" si="35"/>
        <v>32.534666101257706</v>
      </c>
      <c r="AL63" s="20">
        <f t="shared" si="4"/>
        <v>272.0954734596906</v>
      </c>
      <c r="AM63" s="59">
        <f t="shared" si="5"/>
        <v>565.42880679302391</v>
      </c>
      <c r="AN63" s="59">
        <f ca="1">AVERAGE(OFFSET($AM$3,0,0,'Données projet'!$E$10+1,1))-AVERAGE(OFFSET($H$3,0,0,'Données projet'!$E$10+1,1))</f>
        <v>74.573470247551825</v>
      </c>
      <c r="AO63" s="59">
        <f t="shared" si="36"/>
        <v>122.43655207772224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264.36</v>
      </c>
      <c r="AR63" s="16">
        <f>IF(ISNA(VLOOKUP(A63,'Données projet'!$A$61:$I$81,5,0)),0%,VLOOKUP(A63,'Données projet'!$A$61:$I$81,5,0)*VLOOKUP('Données projet'!$B$10,Paramètres!$A$1:$I$89,7,0))</f>
        <v>0.27500000000000002</v>
      </c>
      <c r="AS63" s="16">
        <f>IF(ISNA(VLOOKUP(A63,'Données projet'!$A$61:$I$81,6,0)),0%,VLOOKUP(A63,'Données projet'!$A$61:$I$81,6,0)*VLOOKUP('Données projet'!$B$10,Paramètres!$A$1:$I$89,7,0))</f>
        <v>0.11000000000000001</v>
      </c>
      <c r="AT63" s="16">
        <f>IF(ISNA(VLOOKUP(A63,'Données projet'!$A$61:$I$81,7,0)),0%,VLOOKUP(A63,'Données projet'!$A$61:$I$81,7,0))</f>
        <v>0.3</v>
      </c>
      <c r="AU63" s="21">
        <f>EXP(-LN(2)/35)*AU62+(1-EXP(-LN(2)/35))/(LN(2)/35)*AQ63*AR63*VLOOKUP('Données projet'!$B$10,Paramètres!$A$1:$I$89,3,0)*0.475*44/12</f>
        <v>72.918953234297334</v>
      </c>
      <c r="AV63" s="21">
        <f>EXP(-LN(2)/25)*AV62+(1-EXP(-LN(2)/25))/(LN(2)/25)*Calculateur!AQ63*Calculateur!AS63*VLOOKUP('Données projet'!$B$10,Paramètres!$A$1:$I$89,3,0)*0.475*44/12</f>
        <v>33.176613512137585</v>
      </c>
      <c r="AW63" s="21">
        <f>EXP(-LN(2)/2)*AW62+(1-EXP(-LN(2)/2))/(LN(2)/2)*AQ63*AT63*VLOOKUP('Données projet'!$B$10,Paramètres!$A$1:$I$89,3,0)*0.475*44/12</f>
        <v>43.394835253210367</v>
      </c>
      <c r="AX63" s="21">
        <f t="shared" si="6"/>
        <v>149.49040199964529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148</v>
      </c>
      <c r="BB63" s="12">
        <f>VLOOKUP(A63,'Données projet'!$A$87:$I$107,9,0)</f>
        <v>5.4</v>
      </c>
      <c r="BC63" s="12">
        <f t="array" ref="BC63">INDEX(BB:BB,MIN(IF(ISNUMBER(BB63:BB259),ROW(BB63:BB259),"")))</f>
        <v>5.4</v>
      </c>
      <c r="BD63" s="12">
        <f>IF('Données projet'!$A$88&gt;35,BD62+BC63-BL62,IF(A63&lt;'Données projet'!$A$88,$BA$205^A63,IF(A63='Données projet'!$A$88,'Données projet'!$B$88,BD62+BC63-BL62)))</f>
        <v>147.99999999999997</v>
      </c>
      <c r="BE63" s="13">
        <f>BD63*VLOOKUP('Données projet'!$B$11,Paramètres!$A$1:$I$89,3,0)*VLOOKUP('Données projet'!$B$11,Paramètres!$A$1:$I$89,5,0)</f>
        <v>150.07199999999997</v>
      </c>
      <c r="BF63" s="13">
        <f t="shared" si="37"/>
        <v>38.594947422201457</v>
      </c>
      <c r="BG63" s="20">
        <f t="shared" si="7"/>
        <v>328.5949334270008</v>
      </c>
      <c r="BH63" s="59">
        <f t="shared" si="8"/>
        <v>621.92826676033405</v>
      </c>
      <c r="BI63" s="59">
        <f ca="1">AVERAGE(OFFSET($BH$3,0,0,'Données projet'!$E$11+1,1))-AVERAGE(OFFSET($H$3,0,0,'Données projet'!$E$11+1,1))</f>
        <v>183.74583738362492</v>
      </c>
      <c r="BJ63" s="59">
        <f t="shared" si="38"/>
        <v>46.344307013926596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14</v>
      </c>
      <c r="BM63" s="16">
        <f>IF(ISNA(VLOOKUP(A63,'Données projet'!$A$87:$I$107,5,0)),0%,VLOOKUP(A63,'Données projet'!$A$87:$I$107,5,0)*VLOOKUP('Données projet'!$B$11,Paramètres!$A$1:$I$89,7,0))</f>
        <v>0.25800000000000001</v>
      </c>
      <c r="BN63" s="16">
        <f>IF(ISNA(VLOOKUP(A63,'Données projet'!$A$87:$I$107,6,0)),0%,VLOOKUP(A63,'Données projet'!$A$87:$I$107,6,0)*VLOOKUP('Données projet'!$B$11,Paramètres!$A$1:$I$89,7,0))</f>
        <v>1.72E-2</v>
      </c>
      <c r="BO63" s="16">
        <f>IF(ISNA(VLOOKUP(A63,'Données projet'!$A$87:$I$107,7,0)),0%,VLOOKUP(A63,'Données projet'!$A$87:$I$107,7,0))</f>
        <v>0.06</v>
      </c>
      <c r="BP63" s="21">
        <f>EXP(-LN(2)/35)*BP62+(1-EXP(-LN(2)/35))/(LN(2)/35)*BL63*BM63*VLOOKUP('Données projet'!$B$11,Paramètres!$A$1:$I$89,3,0)*0.475*44/12</f>
        <v>11.935819222473135</v>
      </c>
      <c r="BQ63" s="21">
        <f>EXP(-LN(2)/25)*BQ62+(1-EXP(-LN(2)/25))/(LN(2)/25)*Calculateur!BL63*Calculateur!BN63*VLOOKUP('Données projet'!$B$11,Paramètres!$A$1:$I$89,3,0)*0.475*44/12</f>
        <v>1.2652004908455772</v>
      </c>
      <c r="BR63" s="21">
        <f>EXP(-LN(2)/2)*BR62+(1-EXP(-LN(2)/2))/(LN(2)/2)*BL63*BO63*VLOOKUP('Données projet'!$B$11,Paramètres!$A$1:$I$89,3,0)*0.475*44/12</f>
        <v>1.0048344868635262</v>
      </c>
      <c r="BS63" s="22">
        <f t="shared" si="9"/>
        <v>14.205854200182239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711</v>
      </c>
      <c r="BW63" s="12">
        <f>VLOOKUP(A63,'Données projet'!$A$113:$I$133,9,0)</f>
        <v>18.2</v>
      </c>
      <c r="BX63" s="12">
        <f t="array" ref="BX63">INDEX(BW:BW,MIN(IF(ISNUMBER(BW63:BW259),ROW(BW63:BW259),"")))</f>
        <v>18.2</v>
      </c>
      <c r="BY63" s="12">
        <f>IF('Données projet'!$A$114&gt;35,BY62+BX63-CG62,IF(A63&lt;'Données projet'!$A$114,$BV$205^A63,IF(A63='Données projet'!$A$114,'Données projet'!$B$114,BY62+BX63-CG62)))</f>
        <v>711.00000000000023</v>
      </c>
      <c r="BZ63" s="13">
        <f>BY63*VLOOKUP('Données projet'!$B$12,Paramètres!$A$1:$I$89,3,0)*VLOOKUP('Données projet'!$B$12,Paramètres!$A$1:$I$89,5,0)</f>
        <v>314.26200000000011</v>
      </c>
      <c r="CA63" s="13">
        <f t="shared" si="39"/>
        <v>74.158196822395979</v>
      </c>
      <c r="CB63" s="20">
        <f t="shared" si="10"/>
        <v>676.49850946567312</v>
      </c>
      <c r="CC63" s="59">
        <f t="shared" si="11"/>
        <v>969.83184279900638</v>
      </c>
      <c r="CD63" s="59">
        <f ca="1">AVERAGE(OFFSET($CC$3,0,0,'Données projet'!$E$12+1,1))-AVERAGE(OFFSET($H$3,0,0,'Données projet'!$E$12+1,1))</f>
        <v>333.00091572040611</v>
      </c>
      <c r="CE63" s="59">
        <f t="shared" si="40"/>
        <v>267.06874181561398</v>
      </c>
      <c r="CF63" s="15">
        <f>IF(ISNA(VLOOKUP(A63,'Données projet'!$A$113:$I$133,3,0)),0,VLOOKUP(A63,'Données projet'!$A$113:$I$133,3,0))</f>
        <v>9</v>
      </c>
      <c r="CG63" s="15">
        <f>IF(ISNA(VLOOKUP(A63,'Données projet'!$A$113:$I$133,4,0)),0,VLOOKUP(A63,'Données projet'!$A$113:$I$133,4,0))</f>
        <v>39</v>
      </c>
      <c r="CH63" s="16">
        <f>IF(ISNA(VLOOKUP(A63,'Données projet'!$A$113:$I$133,5,0)),0%,VLOOKUP(A63,'Données projet'!$A$113:$I$133,5,0)*VLOOKUP('Données projet'!$B$12,Paramètres!$A$1:$I$89,7,0))</f>
        <v>0.33</v>
      </c>
      <c r="CI63" s="16">
        <f>IF(ISNA(VLOOKUP(A63,'Données projet'!$A$113:$I$133,6,0)),0%,VLOOKUP(A63,'Données projet'!$A$113:$I$133,6,0)*VLOOKUP('Données projet'!$B$12,Paramètres!$A$1:$I$89,7,0))</f>
        <v>0.13750000000000001</v>
      </c>
      <c r="CJ63" s="16">
        <f>IF(ISNA(VLOOKUP(A63,'Données projet'!$A$113:$I$133,7,0)),0%,VLOOKUP(A63,'Données projet'!$A$113:$I$133,7,0))</f>
        <v>0.15</v>
      </c>
      <c r="CK63" s="21">
        <f>EXP(-LN(2)/35)*CK62+(1-EXP(-LN(2)/35))/(LN(2)/35)*CG63*CH63*VLOOKUP('Données projet'!$B$12,Paramètres!$A$1:$I$89,3,0)*0.475*44/12</f>
        <v>54.632932254327599</v>
      </c>
      <c r="CL63" s="21">
        <f>EXP(-LN(2)/25)*CL62+(1-EXP(-LN(2)/25))/(LN(2)/25)*Calculateur!CG63*Calculateur!CI63*VLOOKUP('Données projet'!$B$12,Paramètres!$A$1:$I$89,3,0)*0.475*44/12</f>
        <v>29.74917049306401</v>
      </c>
      <c r="CM63" s="21">
        <f>EXP(-LN(2)/2)*CM62+(1-EXP(-LN(2)/2))/(LN(2)/2)*CG63*CJ63*VLOOKUP('Données projet'!$B$12,Paramètres!$A$1:$I$89,3,0)*0.475*44/12</f>
        <v>3.6726374478680972</v>
      </c>
      <c r="CN63" s="22">
        <f t="shared" si="12"/>
        <v>88.054740195259711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1">
        <f t="shared" si="32"/>
        <v>13.24280760228976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67">
        <f t="shared" si="1"/>
        <v>394.2942799073212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229</v>
      </c>
      <c r="O64" s="13">
        <f>N64*VLOOKUP('Données projet'!$B$9,Paramètres!$A$1:$I$89,3,0)*VLOOKUP('Données projet'!$B$9,Paramètres!$A$1:$I$89,5,0)</f>
        <v>136.94200000000001</v>
      </c>
      <c r="P64" s="13">
        <f t="shared" si="33"/>
        <v>35.595562742420903</v>
      </c>
      <c r="Q64" s="20">
        <f t="shared" si="53"/>
        <v>300.50292177638306</v>
      </c>
      <c r="R64" s="59">
        <f t="shared" si="0"/>
        <v>593.83625510971638</v>
      </c>
      <c r="S64" s="59">
        <f ca="1">AVERAGE(OFFSET($R$3,0,0,'Données projet'!$E$9+1,1))-AVERAGE(OFFSET($H$3,0,0,'Données projet'!$E$9+1,1))</f>
        <v>125.14227069357082</v>
      </c>
      <c r="T64" s="59">
        <f t="shared" si="34"/>
        <v>193.39407925063165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21.137901447476434</v>
      </c>
      <c r="AA64" s="21">
        <f>EXP(-LN(2)/25)*AA63+(1-EXP(-LN(2)/25))/(LN(2)/25)*Calculateur!V64*Calculateur!X64*VLOOKUP('Données projet'!$B$9,Paramètres!$A$1:$I$89,3,0)*0.475*44/12</f>
        <v>12.666910994130546</v>
      </c>
      <c r="AB64" s="21">
        <f>EXP(-LN(2)/2)*AB63+(1-EXP(-LN(2)/2))/(LN(2)/2)*V64*Y64*VLOOKUP('Données projet'!$B$9,Paramètres!$A$1:$I$89,3,0)*0.475*44/12</f>
        <v>1.0493836022351559</v>
      </c>
      <c r="AC64" s="22">
        <f t="shared" si="3"/>
        <v>34.854196043842137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-5.999999999994543E-2</v>
      </c>
      <c r="AJ64" s="13">
        <f>AI64*VLOOKUP('Données projet'!$B$10,Paramètres!$A$1:$I$89,3,0)*VLOOKUP('Données projet'!$B$10,Paramètres!$A$1:$I$89,5,0)</f>
        <v>-2.8079999999974462E-2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74.573470247551825</v>
      </c>
      <c r="AO64" s="59">
        <f t="shared" si="36"/>
        <v>122.43655207772224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71.48905703754258</v>
      </c>
      <c r="AV64" s="21">
        <f>EXP(-LN(2)/25)*AV63+(1-EXP(-LN(2)/25))/(LN(2)/25)*Calculateur!AQ64*Calculateur!AS64*VLOOKUP('Données projet'!$B$10,Paramètres!$A$1:$I$89,3,0)*0.475*44/12</f>
        <v>32.269397270965904</v>
      </c>
      <c r="AW64" s="21">
        <f>EXP(-LN(2)/2)*AW63+(1-EXP(-LN(2)/2))/(LN(2)/2)*AQ64*AT64*VLOOKUP('Données projet'!$B$10,Paramètres!$A$1:$I$89,3,0)*0.475*44/12</f>
        <v>30.684782276018105</v>
      </c>
      <c r="AX64" s="21">
        <f t="shared" si="6"/>
        <v>134.44323658452657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5.4</v>
      </c>
      <c r="BD64" s="12">
        <f>IF('Données projet'!$A$88&gt;35,BD63+BC64-BL63,IF(A64&lt;'Données projet'!$A$88,$BA$205^A64,IF(A64='Données projet'!$A$88,'Données projet'!$B$88,BD63+BC64-BL63)))</f>
        <v>139.39999999999998</v>
      </c>
      <c r="BE64" s="13">
        <f>BD64*VLOOKUP('Données projet'!$B$11,Paramètres!$A$1:$I$89,3,0)*VLOOKUP('Données projet'!$B$11,Paramètres!$A$1:$I$89,5,0)</f>
        <v>141.35159999999999</v>
      </c>
      <c r="BF64" s="13">
        <f t="shared" si="37"/>
        <v>36.606464720907098</v>
      </c>
      <c r="BG64" s="20">
        <f t="shared" si="7"/>
        <v>309.94362938891317</v>
      </c>
      <c r="BH64" s="59">
        <f t="shared" si="8"/>
        <v>603.27696272224648</v>
      </c>
      <c r="BI64" s="59">
        <f ca="1">AVERAGE(OFFSET($BH$3,0,0,'Données projet'!$E$11+1,1))-AVERAGE(OFFSET($H$3,0,0,'Données projet'!$E$11+1,1))</f>
        <v>183.74583738362492</v>
      </c>
      <c r="BJ64" s="59">
        <f t="shared" si="38"/>
        <v>46.344307013926596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11.70176508765131</v>
      </c>
      <c r="BQ64" s="21">
        <f>EXP(-LN(2)/25)*BQ63+(1-EXP(-LN(2)/25))/(LN(2)/25)*Calculateur!BL64*Calculateur!BN64*VLOOKUP('Données projet'!$B$11,Paramètres!$A$1:$I$89,3,0)*0.475*44/12</f>
        <v>1.2306035168894027</v>
      </c>
      <c r="BR64" s="21">
        <f>EXP(-LN(2)/2)*BR63+(1-EXP(-LN(2)/2))/(LN(2)/2)*BL64*BO64*VLOOKUP('Données projet'!$B$11,Paramètres!$A$1:$I$89,3,0)*0.475*44/12</f>
        <v>0.71052527963130419</v>
      </c>
      <c r="BS64" s="22">
        <f t="shared" si="9"/>
        <v>13.642893884172016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15.2</v>
      </c>
      <c r="BY64" s="12">
        <f>IF('Données projet'!$A$114&gt;35,BY63+BX64-CG63,IF(A64&lt;'Données projet'!$A$114,$BV$205^A64,IF(A64='Données projet'!$A$114,'Données projet'!$B$114,BY63+BX64-CG63)))</f>
        <v>687.20000000000027</v>
      </c>
      <c r="BZ64" s="13">
        <f>BY64*VLOOKUP('Données projet'!$B$12,Paramètres!$A$1:$I$89,3,0)*VLOOKUP('Données projet'!$B$12,Paramètres!$A$1:$I$89,5,0)</f>
        <v>303.74240000000015</v>
      </c>
      <c r="CA64" s="13">
        <f t="shared" si="39"/>
        <v>71.960447285821616</v>
      </c>
      <c r="CB64" s="20">
        <f t="shared" si="10"/>
        <v>654.34912568947277</v>
      </c>
      <c r="CC64" s="59">
        <f t="shared" si="11"/>
        <v>947.68245902280614</v>
      </c>
      <c r="CD64" s="59">
        <f ca="1">AVERAGE(OFFSET($CC$3,0,0,'Données projet'!$E$12+1,1))-AVERAGE(OFFSET($H$3,0,0,'Données projet'!$E$12+1,1))</f>
        <v>333.00091572040611</v>
      </c>
      <c r="CE64" s="59">
        <f t="shared" si="40"/>
        <v>267.06874181561398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53.561613775618554</v>
      </c>
      <c r="CL64" s="21">
        <f>EXP(-LN(2)/25)*CL63+(1-EXP(-LN(2)/25))/(LN(2)/25)*Calculateur!CG64*Calculateur!CI64*VLOOKUP('Données projet'!$B$12,Paramètres!$A$1:$I$89,3,0)*0.475*44/12</f>
        <v>28.935677861490291</v>
      </c>
      <c r="CM64" s="21">
        <f>EXP(-LN(2)/2)*CM63+(1-EXP(-LN(2)/2))/(LN(2)/2)*CG64*CJ64*VLOOKUP('Données projet'!$B$12,Paramètres!$A$1:$I$89,3,0)*0.475*44/12</f>
        <v>2.5969468442271872</v>
      </c>
      <c r="CN64" s="22">
        <f t="shared" si="12"/>
        <v>85.094238481336035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1">
        <f t="shared" si="32"/>
        <v>13.434451013546127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67">
        <f t="shared" si="1"/>
        <v>395.90504884859268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229</v>
      </c>
      <c r="O65" s="13">
        <f>N65*VLOOKUP('Données projet'!$B$9,Paramètres!$A$1:$I$89,3,0)*VLOOKUP('Données projet'!$B$9,Paramètres!$A$1:$I$89,5,0)</f>
        <v>136.94200000000001</v>
      </c>
      <c r="P65" s="13">
        <f t="shared" si="33"/>
        <v>35.595562742420903</v>
      </c>
      <c r="Q65" s="20">
        <f t="shared" si="53"/>
        <v>300.50292177638306</v>
      </c>
      <c r="R65" s="59">
        <f t="shared" si="0"/>
        <v>593.83625510971638</v>
      </c>
      <c r="S65" s="59">
        <f ca="1">AVERAGE(OFFSET($R$3,0,0,'Données projet'!$E$9+1,1))-AVERAGE(OFFSET($H$3,0,0,'Données projet'!$E$9+1,1))</f>
        <v>125.14227069357082</v>
      </c>
      <c r="T65" s="59">
        <f t="shared" si="34"/>
        <v>193.39407925063165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20.723400092938242</v>
      </c>
      <c r="AA65" s="21">
        <f>EXP(-LN(2)/25)*AA64+(1-EXP(-LN(2)/25))/(LN(2)/25)*Calculateur!V65*Calculateur!X65*VLOOKUP('Données projet'!$B$9,Paramètres!$A$1:$I$89,3,0)*0.475*44/12</f>
        <v>12.320533646872148</v>
      </c>
      <c r="AB65" s="21">
        <f>EXP(-LN(2)/2)*AB64+(1-EXP(-LN(2)/2))/(LN(2)/2)*V65*Y65*VLOOKUP('Données projet'!$B$9,Paramètres!$A$1:$I$89,3,0)*0.475*44/12</f>
        <v>0.74202626120644544</v>
      </c>
      <c r="AC65" s="22">
        <f t="shared" si="3"/>
        <v>33.785960001016839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-5.999999999994543E-2</v>
      </c>
      <c r="AJ65" s="13">
        <f>AI65*VLOOKUP('Données projet'!$B$10,Paramètres!$A$1:$I$89,3,0)*VLOOKUP('Données projet'!$B$10,Paramètres!$A$1:$I$89,5,0)</f>
        <v>-2.8079999999974462E-2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74.573470247551825</v>
      </c>
      <c r="AO65" s="59">
        <f t="shared" si="36"/>
        <v>122.43655207772224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70.087200233055626</v>
      </c>
      <c r="AV65" s="21">
        <f>EXP(-LN(2)/25)*AV64+(1-EXP(-LN(2)/25))/(LN(2)/25)*Calculateur!AQ65*Calculateur!AS65*VLOOKUP('Données projet'!$B$10,Paramètres!$A$1:$I$89,3,0)*0.475*44/12</f>
        <v>31.386988905617493</v>
      </c>
      <c r="AW65" s="21">
        <f>EXP(-LN(2)/2)*AW64+(1-EXP(-LN(2)/2))/(LN(2)/2)*AQ65*AT65*VLOOKUP('Données projet'!$B$10,Paramètres!$A$1:$I$89,3,0)*0.475*44/12</f>
        <v>21.697417626605187</v>
      </c>
      <c r="AX65" s="21">
        <f t="shared" si="6"/>
        <v>123.17160676527831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5.4</v>
      </c>
      <c r="BD65" s="12">
        <f>IF('Données projet'!$A$88&gt;35,BD64+BC65-BL64,IF(A65&lt;'Données projet'!$A$88,$BA$205^A65,IF(A65='Données projet'!$A$88,'Données projet'!$B$88,BD64+BC65-BL64)))</f>
        <v>144.79999999999998</v>
      </c>
      <c r="BE65" s="13">
        <f>BD65*VLOOKUP('Données projet'!$B$11,Paramètres!$A$1:$I$89,3,0)*VLOOKUP('Données projet'!$B$11,Paramètres!$A$1:$I$89,5,0)</f>
        <v>146.82719999999998</v>
      </c>
      <c r="BF65" s="13">
        <f t="shared" si="37"/>
        <v>37.856660748046984</v>
      </c>
      <c r="BG65" s="20">
        <f t="shared" si="7"/>
        <v>321.6577241361818</v>
      </c>
      <c r="BH65" s="59">
        <f t="shared" si="8"/>
        <v>614.99105746951511</v>
      </c>
      <c r="BI65" s="59">
        <f ca="1">AVERAGE(OFFSET($BH$3,0,0,'Données projet'!$E$11+1,1))-AVERAGE(OFFSET($H$3,0,0,'Données projet'!$E$11+1,1))</f>
        <v>183.74583738362492</v>
      </c>
      <c r="BJ65" s="59">
        <f t="shared" si="38"/>
        <v>46.344307013926596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11.472300611654415</v>
      </c>
      <c r="BQ65" s="21">
        <f>EXP(-LN(2)/25)*BQ64+(1-EXP(-LN(2)/25))/(LN(2)/25)*Calculateur!BL65*Calculateur!BN65*VLOOKUP('Données projet'!$B$11,Paramètres!$A$1:$I$89,3,0)*0.475*44/12</f>
        <v>1.1969525990054357</v>
      </c>
      <c r="BR65" s="21">
        <f>EXP(-LN(2)/2)*BR64+(1-EXP(-LN(2)/2))/(LN(2)/2)*BL65*BO65*VLOOKUP('Données projet'!$B$11,Paramètres!$A$1:$I$89,3,0)*0.475*44/12</f>
        <v>0.50241724343176308</v>
      </c>
      <c r="BS65" s="22">
        <f t="shared" si="9"/>
        <v>13.171670454091613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15.2</v>
      </c>
      <c r="BY65" s="12">
        <f>IF('Données projet'!$A$114&gt;35,BY64+BX65-CG64,IF(A65&lt;'Données projet'!$A$114,$BV$205^A65,IF(A65='Données projet'!$A$114,'Données projet'!$B$114,BY64+BX65-CG64)))</f>
        <v>702.40000000000032</v>
      </c>
      <c r="BZ65" s="13">
        <f>BY65*VLOOKUP('Données projet'!$B$12,Paramètres!$A$1:$I$89,3,0)*VLOOKUP('Données projet'!$B$12,Paramètres!$A$1:$I$89,5,0)</f>
        <v>310.46080000000018</v>
      </c>
      <c r="CA65" s="13">
        <f t="shared" si="39"/>
        <v>73.365055231434937</v>
      </c>
      <c r="CB65" s="20">
        <f t="shared" si="10"/>
        <v>668.49669786141612</v>
      </c>
      <c r="CC65" s="59">
        <f t="shared" si="11"/>
        <v>961.83003119474938</v>
      </c>
      <c r="CD65" s="59">
        <f ca="1">AVERAGE(OFFSET($CC$3,0,0,'Données projet'!$E$12+1,1))-AVERAGE(OFFSET($H$3,0,0,'Données projet'!$E$12+1,1))</f>
        <v>333.00091572040611</v>
      </c>
      <c r="CE65" s="59">
        <f t="shared" si="40"/>
        <v>267.06874181561398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52.511303198837247</v>
      </c>
      <c r="CL65" s="21">
        <f>EXP(-LN(2)/25)*CL64+(1-EXP(-LN(2)/25))/(LN(2)/25)*Calculateur!CG65*Calculateur!CI65*VLOOKUP('Données projet'!$B$12,Paramètres!$A$1:$I$89,3,0)*0.475*44/12</f>
        <v>28.144430228706675</v>
      </c>
      <c r="CM65" s="21">
        <f>EXP(-LN(2)/2)*CM64+(1-EXP(-LN(2)/2))/(LN(2)/2)*CG65*CJ65*VLOOKUP('Données projet'!$B$12,Paramètres!$A$1:$I$89,3,0)*0.475*44/12</f>
        <v>1.836318723934049</v>
      </c>
      <c r="CN65" s="22">
        <f t="shared" si="12"/>
        <v>82.492052151477964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1">
        <f t="shared" si="32"/>
        <v>13.625734950806207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67">
        <f t="shared" si="1"/>
        <v>397.51519170598732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229</v>
      </c>
      <c r="O66" s="13">
        <f>N66*VLOOKUP('Données projet'!$B$9,Paramètres!$A$1:$I$89,3,0)*VLOOKUP('Données projet'!$B$9,Paramètres!$A$1:$I$89,5,0)</f>
        <v>136.94200000000001</v>
      </c>
      <c r="P66" s="13">
        <f t="shared" si="33"/>
        <v>35.595562742420903</v>
      </c>
      <c r="Q66" s="20">
        <f t="shared" si="53"/>
        <v>300.50292177638306</v>
      </c>
      <c r="R66" s="59">
        <f t="shared" si="0"/>
        <v>593.83625510971638</v>
      </c>
      <c r="S66" s="59">
        <f ca="1">AVERAGE(OFFSET($R$3,0,0,'Données projet'!$E$9+1,1))-AVERAGE(OFFSET($H$3,0,0,'Données projet'!$E$9+1,1))</f>
        <v>125.14227069357082</v>
      </c>
      <c r="T66" s="59">
        <f t="shared" si="34"/>
        <v>193.39407925063165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20.317026857141681</v>
      </c>
      <c r="AA66" s="21">
        <f>EXP(-LN(2)/25)*AA65+(1-EXP(-LN(2)/25))/(LN(2)/25)*Calculateur!V66*Calculateur!X66*VLOOKUP('Données projet'!$B$9,Paramètres!$A$1:$I$89,3,0)*0.475*44/12</f>
        <v>11.983628006389724</v>
      </c>
      <c r="AB66" s="21">
        <f>EXP(-LN(2)/2)*AB65+(1-EXP(-LN(2)/2))/(LN(2)/2)*V66*Y66*VLOOKUP('Données projet'!$B$9,Paramètres!$A$1:$I$89,3,0)*0.475*44/12</f>
        <v>0.52469180111757796</v>
      </c>
      <c r="AC66" s="22">
        <f t="shared" si="3"/>
        <v>32.825346664648983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-5.999999999994543E-2</v>
      </c>
      <c r="AJ66" s="13">
        <f>AI66*VLOOKUP('Données projet'!$B$10,Paramètres!$A$1:$I$89,3,0)*VLOOKUP('Données projet'!$B$10,Paramètres!$A$1:$I$89,5,0)</f>
        <v>-2.8079999999974462E-2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74.573470247551825</v>
      </c>
      <c r="AO66" s="59">
        <f t="shared" si="36"/>
        <v>122.43655207772224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68.71283298545643</v>
      </c>
      <c r="AV66" s="21">
        <f>EXP(-LN(2)/25)*AV65+(1-EXP(-LN(2)/25))/(LN(2)/25)*Calculateur!AQ66*Calculateur!AS66*VLOOKUP('Données projet'!$B$10,Paramètres!$A$1:$I$89,3,0)*0.475*44/12</f>
        <v>30.52871004342337</v>
      </c>
      <c r="AW66" s="21">
        <f>EXP(-LN(2)/2)*AW65+(1-EXP(-LN(2)/2))/(LN(2)/2)*AQ66*AT66*VLOOKUP('Données projet'!$B$10,Paramètres!$A$1:$I$89,3,0)*0.475*44/12</f>
        <v>15.342391138009054</v>
      </c>
      <c r="AX66" s="21">
        <f t="shared" si="6"/>
        <v>114.58393416688885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5.4</v>
      </c>
      <c r="BD66" s="12">
        <f>IF('Données projet'!$A$88&gt;35,BD65+BC66-BL65,IF(A66&lt;'Données projet'!$A$88,$BA$205^A66,IF(A66='Données projet'!$A$88,'Données projet'!$B$88,BD65+BC66-BL65)))</f>
        <v>150.19999999999999</v>
      </c>
      <c r="BE66" s="13">
        <f>BD66*VLOOKUP('Données projet'!$B$11,Paramètres!$A$1:$I$89,3,0)*VLOOKUP('Données projet'!$B$11,Paramètres!$A$1:$I$89,5,0)</f>
        <v>152.30279999999999</v>
      </c>
      <c r="BF66" s="13">
        <f t="shared" si="37"/>
        <v>39.101440255006928</v>
      </c>
      <c r="BG66" s="20">
        <f t="shared" si="7"/>
        <v>333.3623851108037</v>
      </c>
      <c r="BH66" s="59">
        <f t="shared" si="8"/>
        <v>626.69571844413701</v>
      </c>
      <c r="BI66" s="59">
        <f ca="1">AVERAGE(OFFSET($BH$3,0,0,'Données projet'!$E$11+1,1))-AVERAGE(OFFSET($H$3,0,0,'Données projet'!$E$11+1,1))</f>
        <v>183.74583738362492</v>
      </c>
      <c r="BJ66" s="59">
        <f t="shared" si="38"/>
        <v>46.344307013926596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11.247335794072308</v>
      </c>
      <c r="BQ66" s="21">
        <f>EXP(-LN(2)/25)*BQ65+(1-EXP(-LN(2)/25))/(LN(2)/25)*Calculateur!BL66*Calculateur!BN66*VLOOKUP('Données projet'!$B$11,Paramètres!$A$1:$I$89,3,0)*0.475*44/12</f>
        <v>1.1642218672406306</v>
      </c>
      <c r="BR66" s="21">
        <f>EXP(-LN(2)/2)*BR65+(1-EXP(-LN(2)/2))/(LN(2)/2)*BL66*BO66*VLOOKUP('Données projet'!$B$11,Paramètres!$A$1:$I$89,3,0)*0.475*44/12</f>
        <v>0.35526263981565209</v>
      </c>
      <c r="BS66" s="22">
        <f t="shared" si="9"/>
        <v>12.766820301128591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15.2</v>
      </c>
      <c r="BY66" s="12">
        <f>IF('Données projet'!$A$114&gt;35,BY65+BX66-CG65,IF(A66&lt;'Données projet'!$A$114,$BV$205^A66,IF(A66='Données projet'!$A$114,'Données projet'!$B$114,BY65+BX66-CG65)))</f>
        <v>717.60000000000036</v>
      </c>
      <c r="BZ66" s="13">
        <f>BY66*VLOOKUP('Données projet'!$B$12,Paramètres!$A$1:$I$89,3,0)*VLOOKUP('Données projet'!$B$12,Paramètres!$A$1:$I$89,5,0)</f>
        <v>317.17920000000021</v>
      </c>
      <c r="CA66" s="13">
        <f t="shared" si="39"/>
        <v>74.766129261581426</v>
      </c>
      <c r="CB66" s="20">
        <f t="shared" si="10"/>
        <v>682.63811513058783</v>
      </c>
      <c r="CC66" s="59">
        <f t="shared" si="11"/>
        <v>975.97144846392121</v>
      </c>
      <c r="CD66" s="59">
        <f ca="1">AVERAGE(OFFSET($CC$3,0,0,'Données projet'!$E$12+1,1))-AVERAGE(OFFSET($H$3,0,0,'Données projet'!$E$12+1,1))</f>
        <v>333.00091572040611</v>
      </c>
      <c r="CE66" s="59">
        <f t="shared" si="40"/>
        <v>267.06874181561398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51.481588571840426</v>
      </c>
      <c r="CL66" s="21">
        <f>EXP(-LN(2)/25)*CL65+(1-EXP(-LN(2)/25))/(LN(2)/25)*Calculateur!CG66*Calculateur!CI66*VLOOKUP('Données projet'!$B$12,Paramètres!$A$1:$I$89,3,0)*0.475*44/12</f>
        <v>27.374819304051432</v>
      </c>
      <c r="CM66" s="21">
        <f>EXP(-LN(2)/2)*CM65+(1-EXP(-LN(2)/2))/(LN(2)/2)*CG66*CJ66*VLOOKUP('Données projet'!$B$12,Paramètres!$A$1:$I$89,3,0)*0.475*44/12</f>
        <v>1.2984734221135938</v>
      </c>
      <c r="CN66" s="22">
        <f t="shared" si="12"/>
        <v>80.154881298005449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1">
        <f t="shared" si="32"/>
        <v>13.816665778834693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67">
        <f t="shared" si="1"/>
        <v>399.12471956480363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229</v>
      </c>
      <c r="O67" s="13">
        <f>N67*VLOOKUP('Données projet'!$B$9,Paramètres!$A$1:$I$89,3,0)*VLOOKUP('Données projet'!$B$9,Paramètres!$A$1:$I$89,5,0)</f>
        <v>136.94200000000001</v>
      </c>
      <c r="P67" s="13">
        <f t="shared" si="33"/>
        <v>35.595562742420903</v>
      </c>
      <c r="Q67" s="20">
        <f t="shared" ref="Q67:Q98" si="54">(O67+P67)*0.475*44/12</f>
        <v>300.50292177638306</v>
      </c>
      <c r="R67" s="59">
        <f t="shared" ref="R67:R130" si="55">Q67+(I67+J67)*44/12</f>
        <v>593.83625510971638</v>
      </c>
      <c r="S67" s="59">
        <f ca="1">AVERAGE(OFFSET($R$3,0,0,'Données projet'!$E$9+1,1))-AVERAGE(OFFSET($H$3,0,0,'Données projet'!$E$9+1,1))</f>
        <v>125.14227069357082</v>
      </c>
      <c r="T67" s="59">
        <f t="shared" si="34"/>
        <v>193.39407925063165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19.918622352635889</v>
      </c>
      <c r="AA67" s="21">
        <f>EXP(-LN(2)/25)*AA66+(1-EXP(-LN(2)/25))/(LN(2)/25)*Calculateur!V67*Calculateur!X67*VLOOKUP('Données projet'!$B$9,Paramètres!$A$1:$I$89,3,0)*0.475*44/12</f>
        <v>11.655935068363389</v>
      </c>
      <c r="AB67" s="21">
        <f>EXP(-LN(2)/2)*AB66+(1-EXP(-LN(2)/2))/(LN(2)/2)*V67*Y67*VLOOKUP('Données projet'!$B$9,Paramètres!$A$1:$I$89,3,0)*0.475*44/12</f>
        <v>0.37101313060322272</v>
      </c>
      <c r="AC67" s="22">
        <f t="shared" si="3"/>
        <v>31.945570551602501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-5.999999999994543E-2</v>
      </c>
      <c r="AJ67" s="13">
        <f>AI67*VLOOKUP('Données projet'!$B$10,Paramètres!$A$1:$I$89,3,0)*VLOOKUP('Données projet'!$B$10,Paramètres!$A$1:$I$89,5,0)</f>
        <v>-2.8079999999974462E-2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74.573470247551825</v>
      </c>
      <c r="AO67" s="59">
        <f t="shared" si="36"/>
        <v>122.43655207772224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67.365416241301418</v>
      </c>
      <c r="AV67" s="21">
        <f>EXP(-LN(2)/25)*AV66+(1-EXP(-LN(2)/25))/(LN(2)/25)*Calculateur!AQ67*Calculateur!AS67*VLOOKUP('Données projet'!$B$10,Paramètres!$A$1:$I$89,3,0)*0.475*44/12</f>
        <v>29.693900861850871</v>
      </c>
      <c r="AW67" s="21">
        <f>EXP(-LN(2)/2)*AW66+(1-EXP(-LN(2)/2))/(LN(2)/2)*AQ67*AT67*VLOOKUP('Données projet'!$B$10,Paramètres!$A$1:$I$89,3,0)*0.475*44/12</f>
        <v>10.848708813302595</v>
      </c>
      <c r="AX67" s="21">
        <f t="shared" si="6"/>
        <v>107.90802591645489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5.4</v>
      </c>
      <c r="BD67" s="12">
        <f>IF('Données projet'!$A$88&gt;35,BD66+BC67-BL66,IF(A67&lt;'Données projet'!$A$88,$BA$205^A67,IF(A67='Données projet'!$A$88,'Données projet'!$B$88,BD66+BC67-BL66)))</f>
        <v>155.6</v>
      </c>
      <c r="BE67" s="13">
        <f>BD67*VLOOKUP('Données projet'!$B$11,Paramètres!$A$1:$I$89,3,0)*VLOOKUP('Données projet'!$B$11,Paramètres!$A$1:$I$89,5,0)</f>
        <v>157.7784</v>
      </c>
      <c r="BF67" s="13">
        <f t="shared" si="37"/>
        <v>40.341020284861102</v>
      </c>
      <c r="BG67" s="20">
        <f t="shared" si="7"/>
        <v>345.05799032946646</v>
      </c>
      <c r="BH67" s="59">
        <f t="shared" si="8"/>
        <v>638.39132366279978</v>
      </c>
      <c r="BI67" s="59">
        <f ca="1">AVERAGE(OFFSET($BH$3,0,0,'Données projet'!$E$11+1,1))-AVERAGE(OFFSET($H$3,0,0,'Données projet'!$E$11+1,1))</f>
        <v>183.74583738362492</v>
      </c>
      <c r="BJ67" s="59">
        <f t="shared" si="38"/>
        <v>46.344307013926596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11.026782399347995</v>
      </c>
      <c r="BQ67" s="21">
        <f>EXP(-LN(2)/25)*BQ66+(1-EXP(-LN(2)/25))/(LN(2)/25)*Calculateur!BL67*Calculateur!BN67*VLOOKUP('Données projet'!$B$11,Paramètres!$A$1:$I$89,3,0)*0.475*44/12</f>
        <v>1.1323861590571684</v>
      </c>
      <c r="BR67" s="21">
        <f>EXP(-LN(2)/2)*BR66+(1-EXP(-LN(2)/2))/(LN(2)/2)*BL67*BO67*VLOOKUP('Données projet'!$B$11,Paramètres!$A$1:$I$89,3,0)*0.475*44/12</f>
        <v>0.25120862171588154</v>
      </c>
      <c r="BS67" s="22">
        <f t="shared" si="9"/>
        <v>12.410377180121046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15.2</v>
      </c>
      <c r="BY67" s="12">
        <f>IF('Données projet'!$A$114&gt;35,BY66+BX67-CG66,IF(A67&lt;'Données projet'!$A$114,$BV$205^A67,IF(A67='Données projet'!$A$114,'Données projet'!$B$114,BY66+BX67-CG66)))</f>
        <v>732.80000000000041</v>
      </c>
      <c r="BZ67" s="13">
        <f>BY67*VLOOKUP('Données projet'!$B$12,Paramètres!$A$1:$I$89,3,0)*VLOOKUP('Données projet'!$B$12,Paramètres!$A$1:$I$89,5,0)</f>
        <v>323.89760000000024</v>
      </c>
      <c r="CA67" s="13">
        <f t="shared" si="39"/>
        <v>76.16375285337962</v>
      </c>
      <c r="CB67" s="20">
        <f t="shared" si="10"/>
        <v>696.77352288630311</v>
      </c>
      <c r="CC67" s="59">
        <f t="shared" si="11"/>
        <v>990.10685621963648</v>
      </c>
      <c r="CD67" s="59">
        <f ca="1">AVERAGE(OFFSET($CC$3,0,0,'Données projet'!$E$12+1,1))-AVERAGE(OFFSET($H$3,0,0,'Données projet'!$E$12+1,1))</f>
        <v>333.00091572040611</v>
      </c>
      <c r="CE67" s="59">
        <f t="shared" si="40"/>
        <v>267.06874181561398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50.472066020615102</v>
      </c>
      <c r="CL67" s="21">
        <f>EXP(-LN(2)/25)*CL66+(1-EXP(-LN(2)/25))/(LN(2)/25)*Calculateur!CG67*Calculateur!CI67*VLOOKUP('Données projet'!$B$12,Paramètres!$A$1:$I$89,3,0)*0.475*44/12</f>
        <v>26.626253430602965</v>
      </c>
      <c r="CM67" s="21">
        <f>EXP(-LN(2)/2)*CM66+(1-EXP(-LN(2)/2))/(LN(2)/2)*CG67*CJ67*VLOOKUP('Données projet'!$B$12,Paramètres!$A$1:$I$89,3,0)*0.475*44/12</f>
        <v>0.91815936196702463</v>
      </c>
      <c r="CN67" s="22">
        <f t="shared" si="12"/>
        <v>78.016478813185088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1">
        <f t="shared" si="32"/>
        <v>14.007249652087188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67">
        <f t="shared" ref="H68:H131" si="56">(B68+E68+F68)*44/12+(C68+D68)*0.475*44/12</f>
        <v>400.73364314405171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229</v>
      </c>
      <c r="O68" s="13">
        <f>N68*VLOOKUP('Données projet'!$B$9,Paramètres!$A$1:$I$89,3,0)*VLOOKUP('Données projet'!$B$9,Paramètres!$A$1:$I$89,5,0)</f>
        <v>136.94200000000001</v>
      </c>
      <c r="P68" s="13">
        <f t="shared" si="33"/>
        <v>35.595562742420903</v>
      </c>
      <c r="Q68" s="20">
        <f t="shared" si="54"/>
        <v>300.50292177638306</v>
      </c>
      <c r="R68" s="59">
        <f t="shared" si="55"/>
        <v>593.83625510971638</v>
      </c>
      <c r="S68" s="59">
        <f ca="1">AVERAGE(OFFSET($R$3,0,0,'Données projet'!$E$9+1,1))-AVERAGE(OFFSET($H$3,0,0,'Données projet'!$E$9+1,1))</f>
        <v>125.14227069357082</v>
      </c>
      <c r="T68" s="59">
        <f t="shared" si="34"/>
        <v>193.39407925063165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19.528030317460704</v>
      </c>
      <c r="AA68" s="21">
        <f>EXP(-LN(2)/25)*AA67+(1-EXP(-LN(2)/25))/(LN(2)/25)*Calculateur!V68*Calculateur!X68*VLOOKUP('Données projet'!$B$9,Paramètres!$A$1:$I$89,3,0)*0.475*44/12</f>
        <v>11.337202910960007</v>
      </c>
      <c r="AB68" s="21">
        <f>EXP(-LN(2)/2)*AB67+(1-EXP(-LN(2)/2))/(LN(2)/2)*V68*Y68*VLOOKUP('Données projet'!$B$9,Paramètres!$A$1:$I$89,3,0)*0.475*44/12</f>
        <v>0.26234590055878898</v>
      </c>
      <c r="AC68" s="22">
        <f t="shared" ref="AC68:AC131" si="57">SUM(Z68:AB68)</f>
        <v>31.127579128979502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-5.999999999994543E-2</v>
      </c>
      <c r="AJ68" s="13">
        <f>AI68*VLOOKUP('Données projet'!$B$10,Paramètres!$A$1:$I$89,3,0)*VLOOKUP('Données projet'!$B$10,Paramètres!$A$1:$I$89,5,0)</f>
        <v>-2.8079999999974462E-2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74.573470247551825</v>
      </c>
      <c r="AO68" s="59">
        <f t="shared" si="36"/>
        <v>122.43655207772224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66.044421517656218</v>
      </c>
      <c r="AV68" s="21">
        <f>EXP(-LN(2)/25)*AV67+(1-EXP(-LN(2)/25))/(LN(2)/25)*Calculateur!AQ68*Calculateur!AS68*VLOOKUP('Données projet'!$B$10,Paramètres!$A$1:$I$89,3,0)*0.475*44/12</f>
        <v>28.881919581249178</v>
      </c>
      <c r="AW68" s="21">
        <f>EXP(-LN(2)/2)*AW67+(1-EXP(-LN(2)/2))/(LN(2)/2)*AQ68*AT68*VLOOKUP('Données projet'!$B$10,Paramètres!$A$1:$I$89,3,0)*0.475*44/12</f>
        <v>7.6711955690045288</v>
      </c>
      <c r="AX68" s="21">
        <f t="shared" ref="AX68:AX131" si="60">SUM(AU68:AW68)</f>
        <v>102.59753666790992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>
        <f>VLOOKUP(A68,'Données projet'!$A$87:$I$107,2,0)</f>
        <v>161</v>
      </c>
      <c r="BB68" s="12">
        <f>VLOOKUP(A68,'Données projet'!$A$87:$I$107,9,0)</f>
        <v>5.4</v>
      </c>
      <c r="BC68" s="12">
        <f t="array" ref="BC68">INDEX(BB:BB,MIN(IF(ISNUMBER(BB68:BB264),ROW(BB68:BB264),"")))</f>
        <v>5.4</v>
      </c>
      <c r="BD68" s="12">
        <f>IF('Données projet'!$A$88&gt;35,BD67+BC68-BL67,IF(A68&lt;'Données projet'!$A$88,$BA$205^A68,IF(A68='Données projet'!$A$88,'Données projet'!$B$88,BD67+BC68-BL67)))</f>
        <v>161</v>
      </c>
      <c r="BE68" s="13">
        <f>BD68*VLOOKUP('Données projet'!$B$11,Paramètres!$A$1:$I$89,3,0)*VLOOKUP('Données projet'!$B$11,Paramètres!$A$1:$I$89,5,0)</f>
        <v>163.25400000000002</v>
      </c>
      <c r="BF68" s="13">
        <f t="shared" si="37"/>
        <v>41.575601961656915</v>
      </c>
      <c r="BG68" s="20">
        <f t="shared" ref="BG68:BG131" si="61">(BE68+BF68)*0.475*44/12</f>
        <v>356.7448900832191</v>
      </c>
      <c r="BH68" s="59">
        <f t="shared" ref="BH68:BH131" si="62">BG68+(AY68+AZ68)*44/12</f>
        <v>650.07822341655242</v>
      </c>
      <c r="BI68" s="59">
        <f ca="1">AVERAGE(OFFSET($BH$3,0,0,'Données projet'!$E$11+1,1))-AVERAGE(OFFSET($H$3,0,0,'Données projet'!$E$11+1,1))</f>
        <v>183.74583738362492</v>
      </c>
      <c r="BJ68" s="59">
        <f t="shared" si="38"/>
        <v>46.344307013926596</v>
      </c>
      <c r="BK68" s="15">
        <f>IF(ISNA(VLOOKUP(A68,'Données projet'!$A$87:$I$107,3,0)),0,VLOOKUP(A68,'Données projet'!$A$87:$I$107,3,0))</f>
        <v>7</v>
      </c>
      <c r="BL68" s="15">
        <f>IF(ISNA(VLOOKUP(A68,'Données projet'!$A$87:$I$107,4,0)),0,VLOOKUP(A68,'Données projet'!$A$87:$I$107,4,0))</f>
        <v>14</v>
      </c>
      <c r="BM68" s="16">
        <f>IF(ISNA(VLOOKUP(A68,'Données projet'!$A$87:$I$107,5,0)),0%,VLOOKUP(A68,'Données projet'!$A$87:$I$107,5,0)*VLOOKUP('Données projet'!$B$11,Paramètres!$A$1:$I$89,7,0))</f>
        <v>0.34400000000000003</v>
      </c>
      <c r="BN68" s="16">
        <f>IF(ISNA(VLOOKUP(A68,'Données projet'!$A$87:$I$107,6,0)),0%,VLOOKUP(A68,'Données projet'!$A$87:$I$107,6,0)*VLOOKUP('Données projet'!$B$11,Paramètres!$A$1:$I$89,7,0))</f>
        <v>1.72E-2</v>
      </c>
      <c r="BO68" s="16">
        <f>IF(ISNA(VLOOKUP(A68,'Données projet'!$A$87:$I$107,7,0)),0%,VLOOKUP(A68,'Données projet'!$A$87:$I$107,7,0))</f>
        <v>0.06</v>
      </c>
      <c r="BP68" s="21">
        <f>EXP(-LN(2)/35)*BP67+(1-EXP(-LN(2)/35))/(LN(2)/35)*BL68*BM68*VLOOKUP('Données projet'!$B$11,Paramètres!$A$1:$I$89,3,0)*0.475*44/12</f>
        <v>16.209034504870257</v>
      </c>
      <c r="BQ68" s="21">
        <f>EXP(-LN(2)/25)*BQ67+(1-EXP(-LN(2)/25))/(LN(2)/25)*Calculateur!BL68*Calculateur!BN68*VLOOKUP('Données projet'!$B$11,Paramètres!$A$1:$I$89,3,0)*0.475*44/12</f>
        <v>1.3702822353713431</v>
      </c>
      <c r="BR68" s="21">
        <f>EXP(-LN(2)/2)*BR67+(1-EXP(-LN(2)/2))/(LN(2)/2)*BL68*BO68*VLOOKUP('Données projet'!$B$11,Paramètres!$A$1:$I$89,3,0)*0.475*44/12</f>
        <v>0.98128980469211147</v>
      </c>
      <c r="BS68" s="22">
        <f t="shared" ref="BS68:BS131" si="63">SUM(BP68:BR68)</f>
        <v>18.560606544933709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748</v>
      </c>
      <c r="BW68" s="12">
        <f>VLOOKUP(A68,'Données projet'!$A$113:$I$133,9,0)</f>
        <v>15.2</v>
      </c>
      <c r="BX68" s="12">
        <f t="array" ref="BX68">INDEX(BW:BW,MIN(IF(ISNUMBER(BW68:BW264),ROW(BW68:BW264),"")))</f>
        <v>15.2</v>
      </c>
      <c r="BY68" s="12">
        <f>IF('Données projet'!$A$114&gt;35,BY67+BX68-CG67,IF(A68&lt;'Données projet'!$A$114,$BV$205^A68,IF(A68='Données projet'!$A$114,'Données projet'!$B$114,BY67+BX68-CG67)))</f>
        <v>748.00000000000045</v>
      </c>
      <c r="BZ68" s="13">
        <f>BY68*VLOOKUP('Données projet'!$B$12,Paramètres!$A$1:$I$89,3,0)*VLOOKUP('Données projet'!$B$12,Paramètres!$A$1:$I$89,5,0)</f>
        <v>330.61600000000021</v>
      </c>
      <c r="CA68" s="13">
        <f t="shared" si="39"/>
        <v>77.558005823007761</v>
      </c>
      <c r="CB68" s="20">
        <f t="shared" ref="CB68:CB131" si="64">(BZ68+CA68)*0.475*44/12</f>
        <v>710.90306014173893</v>
      </c>
      <c r="CC68" s="59">
        <f t="shared" ref="CC68:CC131" si="65">CB68+(BT68+BU68)*44/12</f>
        <v>1004.2363934750722</v>
      </c>
      <c r="CD68" s="59">
        <f ca="1">AVERAGE(OFFSET($CC$3,0,0,'Données projet'!$E$12+1,1))-AVERAGE(OFFSET($H$3,0,0,'Données projet'!$E$12+1,1))</f>
        <v>333.00091572040611</v>
      </c>
      <c r="CE68" s="59">
        <f t="shared" si="40"/>
        <v>267.06874181561398</v>
      </c>
      <c r="CF68" s="15">
        <f>IF(ISNA(VLOOKUP(A68,'Données projet'!$A$113:$I$133,3,0)),0,VLOOKUP(A68,'Données projet'!$A$113:$I$133,3,0))</f>
        <v>10</v>
      </c>
      <c r="CG68" s="15">
        <f>IF(ISNA(VLOOKUP(A68,'Données projet'!$A$113:$I$133,4,0)),0,VLOOKUP(A68,'Données projet'!$A$113:$I$133,4,0))</f>
        <v>34</v>
      </c>
      <c r="CH68" s="16">
        <f>IF(ISNA(VLOOKUP(A68,'Données projet'!$A$113:$I$133,5,0)),0%,VLOOKUP(A68,'Données projet'!$A$113:$I$133,5,0)*VLOOKUP('Données projet'!$B$12,Paramètres!$A$1:$I$89,7,0))</f>
        <v>0.38500000000000001</v>
      </c>
      <c r="CI68" s="16">
        <f>IF(ISNA(VLOOKUP(A68,'Données projet'!$A$113:$I$133,6,0)),0%,VLOOKUP(A68,'Données projet'!$A$113:$I$133,6,0)*VLOOKUP('Données projet'!$B$12,Paramètres!$A$1:$I$89,7,0))</f>
        <v>0.13750000000000001</v>
      </c>
      <c r="CJ68" s="16">
        <f>IF(ISNA(VLOOKUP(A68,'Données projet'!$A$113:$I$133,7,0)),0%,VLOOKUP(A68,'Données projet'!$A$113:$I$133,7,0))</f>
        <v>0.15</v>
      </c>
      <c r="CK68" s="21">
        <f>EXP(-LN(2)/35)*CK67+(1-EXP(-LN(2)/35))/(LN(2)/35)*CG68*CH68*VLOOKUP('Données projet'!$B$12,Paramètres!$A$1:$I$89,3,0)*0.475*44/12</f>
        <v>57.157549685864339</v>
      </c>
      <c r="CL68" s="21">
        <f>EXP(-LN(2)/25)*CL67+(1-EXP(-LN(2)/25))/(LN(2)/25)*Calculateur!CG68*Calculateur!CI68*VLOOKUP('Données projet'!$B$12,Paramètres!$A$1:$I$89,3,0)*0.475*44/12</f>
        <v>28.62851065474527</v>
      </c>
      <c r="CM68" s="21">
        <f>EXP(-LN(2)/2)*CM67+(1-EXP(-LN(2)/2))/(LN(2)/2)*CG68*CJ68*VLOOKUP('Données projet'!$B$12,Paramètres!$A$1:$I$89,3,0)*0.475*44/12</f>
        <v>3.2015147561409565</v>
      </c>
      <c r="CN68" s="22">
        <f t="shared" ref="CN68:CN131" si="66">SUM(CK68:CM68)</f>
        <v>88.987575096750561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1">
        <f t="shared" ref="D69:D132" si="86">IFERROR(EXP(-1.0587+0.8836*LN(C69)+0.284),0)</f>
        <v>14.197492524785963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67">
        <f t="shared" si="56"/>
        <v>402.34197281400208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229</v>
      </c>
      <c r="O69" s="13">
        <f>N69*VLOOKUP('Données projet'!$B$9,Paramètres!$A$1:$I$89,3,0)*VLOOKUP('Données projet'!$B$9,Paramètres!$A$1:$I$89,5,0)</f>
        <v>136.94200000000001</v>
      </c>
      <c r="P69" s="13">
        <f t="shared" ref="P69:P132" si="87">EXP(-1.0587+0.8836*LN(O69)+0.284)</f>
        <v>35.595562742420903</v>
      </c>
      <c r="Q69" s="20">
        <f t="shared" si="54"/>
        <v>300.50292177638306</v>
      </c>
      <c r="R69" s="59">
        <f t="shared" si="55"/>
        <v>593.83625510971638</v>
      </c>
      <c r="S69" s="59">
        <f ca="1">AVERAGE(OFFSET($R$3,0,0,'Données projet'!$E$9+1,1))-AVERAGE(OFFSET($H$3,0,0,'Données projet'!$E$9+1,1))</f>
        <v>125.14227069357082</v>
      </c>
      <c r="T69" s="59">
        <f t="shared" ref="T69:T132" si="88">$T$3</f>
        <v>193.39407925063165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19.145097553857688</v>
      </c>
      <c r="AA69" s="21">
        <f>EXP(-LN(2)/25)*AA68+(1-EXP(-LN(2)/25))/(LN(2)/25)*Calculateur!V69*Calculateur!X69*VLOOKUP('Données projet'!$B$9,Paramètres!$A$1:$I$89,3,0)*0.475*44/12</f>
        <v>11.027186501162216</v>
      </c>
      <c r="AB69" s="21">
        <f>EXP(-LN(2)/2)*AB68+(1-EXP(-LN(2)/2))/(LN(2)/2)*V69*Y69*VLOOKUP('Données projet'!$B$9,Paramètres!$A$1:$I$89,3,0)*0.475*44/12</f>
        <v>0.18550656530161136</v>
      </c>
      <c r="AC69" s="22">
        <f t="shared" si="57"/>
        <v>30.357790620321516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-5.999999999994543E-2</v>
      </c>
      <c r="AJ69" s="13">
        <f>AI69*VLOOKUP('Données projet'!$B$10,Paramètres!$A$1:$I$89,3,0)*VLOOKUP('Données projet'!$B$10,Paramètres!$A$1:$I$89,5,0)</f>
        <v>-2.8079999999974462E-2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74.573470247551825</v>
      </c>
      <c r="AO69" s="59">
        <f t="shared" ref="AO69:AO132" si="90">$AO$3</f>
        <v>122.43655207772224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64.749330694814475</v>
      </c>
      <c r="AV69" s="21">
        <f>EXP(-LN(2)/25)*AV68+(1-EXP(-LN(2)/25))/(LN(2)/25)*Calculateur!AQ69*Calculateur!AS69*VLOOKUP('Données projet'!$B$10,Paramètres!$A$1:$I$89,3,0)*0.475*44/12</f>
        <v>28.092141971465779</v>
      </c>
      <c r="AW69" s="21">
        <f>EXP(-LN(2)/2)*AW68+(1-EXP(-LN(2)/2))/(LN(2)/2)*AQ69*AT69*VLOOKUP('Données projet'!$B$10,Paramètres!$A$1:$I$89,3,0)*0.475*44/12</f>
        <v>5.4243544066512985</v>
      </c>
      <c r="AX69" s="21">
        <f t="shared" si="60"/>
        <v>98.265827072931557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</v>
      </c>
      <c r="BD69" s="12">
        <f>IF('Données projet'!$A$88&gt;35,BD68+BC69-BL68,IF(A69&lt;'Données projet'!$A$88,$BA$205^A69,IF(A69='Données projet'!$A$88,'Données projet'!$B$88,BD68+BC69-BL68)))</f>
        <v>152</v>
      </c>
      <c r="BE69" s="13">
        <f>BD69*VLOOKUP('Données projet'!$B$11,Paramètres!$A$1:$I$89,3,0)*VLOOKUP('Données projet'!$B$11,Paramètres!$A$1:$I$89,5,0)</f>
        <v>154.12800000000001</v>
      </c>
      <c r="BF69" s="13">
        <f t="shared" ref="BF69:BF132" si="91">EXP(-1.0587+0.8836*LN(BE69)+0.284)</f>
        <v>39.515201075361155</v>
      </c>
      <c r="BG69" s="20">
        <f t="shared" si="61"/>
        <v>337.26190853958735</v>
      </c>
      <c r="BH69" s="59">
        <f t="shared" si="62"/>
        <v>630.59524187292072</v>
      </c>
      <c r="BI69" s="59">
        <f ca="1">AVERAGE(OFFSET($BH$3,0,0,'Données projet'!$E$11+1,1))-AVERAGE(OFFSET($H$3,0,0,'Données projet'!$E$11+1,1))</f>
        <v>183.74583738362492</v>
      </c>
      <c r="BJ69" s="59">
        <f t="shared" ref="BJ69:BJ132" si="92">$BJ$3</f>
        <v>46.344307013926596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15.891185224764584</v>
      </c>
      <c r="BQ69" s="21">
        <f>EXP(-LN(2)/25)*BQ68+(1-EXP(-LN(2)/25))/(LN(2)/25)*Calculateur!BL69*Calculateur!BN69*VLOOKUP('Données projet'!$B$11,Paramètres!$A$1:$I$89,3,0)*0.475*44/12</f>
        <v>1.3328117955851029</v>
      </c>
      <c r="BR69" s="21">
        <f>EXP(-LN(2)/2)*BR68+(1-EXP(-LN(2)/2))/(LN(2)/2)*BL69*BO69*VLOOKUP('Données projet'!$B$11,Paramètres!$A$1:$I$89,3,0)*0.475*44/12</f>
        <v>0.6938766752070149</v>
      </c>
      <c r="BS69" s="22">
        <f t="shared" si="63"/>
        <v>17.9178736955567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12.2</v>
      </c>
      <c r="BY69" s="12">
        <f>IF('Données projet'!$A$114&gt;35,BY68+BX69-CG68,IF(A69&lt;'Données projet'!$A$114,$BV$205^A69,IF(A69='Données projet'!$A$114,'Données projet'!$B$114,BY68+BX69-CG68)))</f>
        <v>726.2000000000005</v>
      </c>
      <c r="BZ69" s="13">
        <f>BY69*VLOOKUP('Données projet'!$B$12,Paramètres!$A$1:$I$89,3,0)*VLOOKUP('Données projet'!$B$12,Paramètres!$A$1:$I$89,5,0)</f>
        <v>320.98040000000026</v>
      </c>
      <c r="CA69" s="13">
        <f t="shared" ref="CA69:CA132" si="93">EXP(-1.0587+0.8836*LN(BZ69)+0.284)</f>
        <v>75.557308617119887</v>
      </c>
      <c r="CB69" s="20">
        <f t="shared" si="64"/>
        <v>690.63650917481755</v>
      </c>
      <c r="CC69" s="59">
        <f t="shared" si="65"/>
        <v>983.9698425081508</v>
      </c>
      <c r="CD69" s="59">
        <f ca="1">AVERAGE(OFFSET($CC$3,0,0,'Données projet'!$E$12+1,1))-AVERAGE(OFFSET($H$3,0,0,'Données projet'!$E$12+1,1))</f>
        <v>333.00091572040611</v>
      </c>
      <c r="CE69" s="59">
        <f t="shared" ref="CE69:CE132" si="94">$CE$3</f>
        <v>267.06874181561398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56.036724999187449</v>
      </c>
      <c r="CL69" s="21">
        <f>EXP(-LN(2)/25)*CL68+(1-EXP(-LN(2)/25))/(LN(2)/25)*Calculateur!CG69*Calculateur!CI69*VLOOKUP('Données projet'!$B$12,Paramètres!$A$1:$I$89,3,0)*0.475*44/12</f>
        <v>27.845662525383318</v>
      </c>
      <c r="CM69" s="21">
        <f>EXP(-LN(2)/2)*CM68+(1-EXP(-LN(2)/2))/(LN(2)/2)*CG69*CJ69*VLOOKUP('Données projet'!$B$12,Paramètres!$A$1:$I$89,3,0)*0.475*44/12</f>
        <v>2.2638127941360664</v>
      </c>
      <c r="CN69" s="22">
        <f t="shared" si="66"/>
        <v>86.146200318706832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1">
        <f t="shared" si="86"/>
        <v>14.387400160367701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67">
        <f t="shared" si="56"/>
        <v>403.94971861264025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229</v>
      </c>
      <c r="O70" s="13">
        <f>N70*VLOOKUP('Données projet'!$B$9,Paramètres!$A$1:$I$89,3,0)*VLOOKUP('Données projet'!$B$9,Paramètres!$A$1:$I$89,5,0)</f>
        <v>136.94200000000001</v>
      </c>
      <c r="P70" s="13">
        <f t="shared" si="87"/>
        <v>35.595562742420903</v>
      </c>
      <c r="Q70" s="20">
        <f t="shared" si="54"/>
        <v>300.50292177638306</v>
      </c>
      <c r="R70" s="59">
        <f t="shared" si="55"/>
        <v>593.83625510971638</v>
      </c>
      <c r="S70" s="59">
        <f ca="1">AVERAGE(OFFSET($R$3,0,0,'Données projet'!$E$9+1,1))-AVERAGE(OFFSET($H$3,0,0,'Données projet'!$E$9+1,1))</f>
        <v>125.14227069357082</v>
      </c>
      <c r="T70" s="59">
        <f t="shared" si="88"/>
        <v>193.39407925063165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18.769673868183006</v>
      </c>
      <c r="AA70" s="21">
        <f>EXP(-LN(2)/25)*AA69+(1-EXP(-LN(2)/25))/(LN(2)/25)*Calculateur!V70*Calculateur!X70*VLOOKUP('Données projet'!$B$9,Paramètres!$A$1:$I$89,3,0)*0.475*44/12</f>
        <v>10.7256475063934</v>
      </c>
      <c r="AB70" s="21">
        <f>EXP(-LN(2)/2)*AB69+(1-EXP(-LN(2)/2))/(LN(2)/2)*V70*Y70*VLOOKUP('Données projet'!$B$9,Paramètres!$A$1:$I$89,3,0)*0.475*44/12</f>
        <v>0.13117295027939449</v>
      </c>
      <c r="AC70" s="22">
        <f t="shared" si="57"/>
        <v>29.626494324855802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-5.999999999994543E-2</v>
      </c>
      <c r="AJ70" s="13">
        <f>AI70*VLOOKUP('Données projet'!$B$10,Paramètres!$A$1:$I$89,3,0)*VLOOKUP('Données projet'!$B$10,Paramètres!$A$1:$I$89,5,0)</f>
        <v>-2.8079999999974462E-2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74.573470247551825</v>
      </c>
      <c r="AO70" s="59">
        <f t="shared" si="90"/>
        <v>122.43655207772224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63.479635813081259</v>
      </c>
      <c r="AV70" s="21">
        <f>EXP(-LN(2)/25)*AV69+(1-EXP(-LN(2)/25))/(LN(2)/25)*Calculateur!AQ70*Calculateur!AS70*VLOOKUP('Données projet'!$B$10,Paramètres!$A$1:$I$89,3,0)*0.475*44/12</f>
        <v>27.323960871954505</v>
      </c>
      <c r="AW70" s="21">
        <f>EXP(-LN(2)/2)*AW69+(1-EXP(-LN(2)/2))/(LN(2)/2)*AQ70*AT70*VLOOKUP('Données projet'!$B$10,Paramètres!$A$1:$I$89,3,0)*0.475*44/12</f>
        <v>3.8355977845022649</v>
      </c>
      <c r="AX70" s="21">
        <f t="shared" si="60"/>
        <v>94.639194469538026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</v>
      </c>
      <c r="BD70" s="12">
        <f>IF('Données projet'!$A$88&gt;35,BD69+BC70-BL69,IF(A70&lt;'Données projet'!$A$88,$BA$205^A70,IF(A70='Données projet'!$A$88,'Données projet'!$B$88,BD69+BC70-BL69)))</f>
        <v>157</v>
      </c>
      <c r="BE70" s="13">
        <f>BD70*VLOOKUP('Données projet'!$B$11,Paramètres!$A$1:$I$89,3,0)*VLOOKUP('Données projet'!$B$11,Paramètres!$A$1:$I$89,5,0)</f>
        <v>159.19800000000001</v>
      </c>
      <c r="BF70" s="13">
        <f t="shared" si="91"/>
        <v>40.661569197787308</v>
      </c>
      <c r="BG70" s="20">
        <f t="shared" si="61"/>
        <v>348.08874968614623</v>
      </c>
      <c r="BH70" s="59">
        <f t="shared" si="62"/>
        <v>641.42208301947949</v>
      </c>
      <c r="BI70" s="59">
        <f ca="1">AVERAGE(OFFSET($BH$3,0,0,'Données projet'!$E$11+1,1))-AVERAGE(OFFSET($H$3,0,0,'Données projet'!$E$11+1,1))</f>
        <v>183.74583738362492</v>
      </c>
      <c r="BJ70" s="59">
        <f t="shared" si="92"/>
        <v>46.344307013926596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15.579568775172866</v>
      </c>
      <c r="BQ70" s="21">
        <f>EXP(-LN(2)/25)*BQ69+(1-EXP(-LN(2)/25))/(LN(2)/25)*Calculateur!BL70*Calculateur!BN70*VLOOKUP('Données projet'!$B$11,Paramètres!$A$1:$I$89,3,0)*0.475*44/12</f>
        <v>1.2963659869453021</v>
      </c>
      <c r="BR70" s="21">
        <f>EXP(-LN(2)/2)*BR69+(1-EXP(-LN(2)/2))/(LN(2)/2)*BL70*BO70*VLOOKUP('Données projet'!$B$11,Paramètres!$A$1:$I$89,3,0)*0.475*44/12</f>
        <v>0.49064490234605584</v>
      </c>
      <c r="BS70" s="22">
        <f t="shared" si="63"/>
        <v>17.366579664464226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12.2</v>
      </c>
      <c r="BY70" s="12">
        <f>IF('Données projet'!$A$114&gt;35,BY69+BX70-CG69,IF(A70&lt;'Données projet'!$A$114,$BV$205^A70,IF(A70='Données projet'!$A$114,'Données projet'!$B$114,BY69+BX70-CG69)))</f>
        <v>738.40000000000055</v>
      </c>
      <c r="BZ70" s="13">
        <f>BY70*VLOOKUP('Données projet'!$B$12,Paramètres!$A$1:$I$89,3,0)*VLOOKUP('Données projet'!$B$12,Paramètres!$A$1:$I$89,5,0)</f>
        <v>326.37280000000027</v>
      </c>
      <c r="CA70" s="13">
        <f t="shared" si="93"/>
        <v>76.677813024289591</v>
      </c>
      <c r="CB70" s="20">
        <f t="shared" si="64"/>
        <v>701.97981768397142</v>
      </c>
      <c r="CC70" s="59">
        <f t="shared" si="65"/>
        <v>995.31315101730479</v>
      </c>
      <c r="CD70" s="59">
        <f ca="1">AVERAGE(OFFSET($CC$3,0,0,'Données projet'!$E$12+1,1))-AVERAGE(OFFSET($H$3,0,0,'Données projet'!$E$12+1,1))</f>
        <v>333.00091572040611</v>
      </c>
      <c r="CE70" s="59">
        <f t="shared" si="94"/>
        <v>267.06874181561398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54.937879000980736</v>
      </c>
      <c r="CL70" s="21">
        <f>EXP(-LN(2)/25)*CL69+(1-EXP(-LN(2)/25))/(LN(2)/25)*Calculateur!CG70*Calculateur!CI70*VLOOKUP('Données projet'!$B$12,Paramètres!$A$1:$I$89,3,0)*0.475*44/12</f>
        <v>27.084221419286962</v>
      </c>
      <c r="CM70" s="21">
        <f>EXP(-LN(2)/2)*CM69+(1-EXP(-LN(2)/2))/(LN(2)/2)*CG70*CJ70*VLOOKUP('Données projet'!$B$12,Paramètres!$A$1:$I$89,3,0)*0.475*44/12</f>
        <v>1.6007573780704785</v>
      </c>
      <c r="CN70" s="22">
        <f t="shared" si="66"/>
        <v>83.622857798338174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1">
        <f t="shared" si="86"/>
        <v>14.576978140351192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67">
        <f t="shared" si="56"/>
        <v>405.5568902611115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229</v>
      </c>
      <c r="O71" s="13">
        <f>N71*VLOOKUP('Données projet'!$B$9,Paramètres!$A$1:$I$89,3,0)*VLOOKUP('Données projet'!$B$9,Paramètres!$A$1:$I$89,5,0)</f>
        <v>136.94200000000001</v>
      </c>
      <c r="P71" s="13">
        <f t="shared" si="87"/>
        <v>35.595562742420903</v>
      </c>
      <c r="Q71" s="20">
        <f t="shared" si="54"/>
        <v>300.50292177638306</v>
      </c>
      <c r="R71" s="59">
        <f t="shared" si="55"/>
        <v>593.83625510971638</v>
      </c>
      <c r="S71" s="59">
        <f ca="1">AVERAGE(OFFSET($R$3,0,0,'Données projet'!$E$9+1,1))-AVERAGE(OFFSET($H$3,0,0,'Données projet'!$E$9+1,1))</f>
        <v>125.14227069357082</v>
      </c>
      <c r="T71" s="59">
        <f t="shared" si="88"/>
        <v>193.39407925063165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18.401612011998562</v>
      </c>
      <c r="AA71" s="21">
        <f>EXP(-LN(2)/25)*AA70+(1-EXP(-LN(2)/25))/(LN(2)/25)*Calculateur!V71*Calculateur!X71*VLOOKUP('Données projet'!$B$9,Paramètres!$A$1:$I$89,3,0)*0.475*44/12</f>
        <v>10.432354111293785</v>
      </c>
      <c r="AB71" s="21">
        <f>EXP(-LN(2)/2)*AB70+(1-EXP(-LN(2)/2))/(LN(2)/2)*V71*Y71*VLOOKUP('Données projet'!$B$9,Paramètres!$A$1:$I$89,3,0)*0.475*44/12</f>
        <v>9.275328265080568E-2</v>
      </c>
      <c r="AC71" s="22">
        <f t="shared" si="57"/>
        <v>28.926719405943153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-5.999999999994543E-2</v>
      </c>
      <c r="AJ71" s="13">
        <f>AI71*VLOOKUP('Données projet'!$B$10,Paramètres!$A$1:$I$89,3,0)*VLOOKUP('Données projet'!$B$10,Paramètres!$A$1:$I$89,5,0)</f>
        <v>-2.8079999999974462E-2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74.573470247551825</v>
      </c>
      <c r="AO71" s="59">
        <f t="shared" si="90"/>
        <v>122.43655207772224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62.23483887354142</v>
      </c>
      <c r="AV71" s="21">
        <f>EXP(-LN(2)/25)*AV70+(1-EXP(-LN(2)/25))/(LN(2)/25)*Calculateur!AQ71*Calculateur!AS71*VLOOKUP('Données projet'!$B$10,Paramètres!$A$1:$I$89,3,0)*0.475*44/12</f>
        <v>26.576785725006257</v>
      </c>
      <c r="AW71" s="21">
        <f>EXP(-LN(2)/2)*AW70+(1-EXP(-LN(2)/2))/(LN(2)/2)*AQ71*AT71*VLOOKUP('Données projet'!$B$10,Paramètres!$A$1:$I$89,3,0)*0.475*44/12</f>
        <v>2.7121772033256497</v>
      </c>
      <c r="AX71" s="21">
        <f t="shared" si="60"/>
        <v>91.523801801873333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</v>
      </c>
      <c r="BD71" s="12">
        <f>IF('Données projet'!$A$88&gt;35,BD70+BC71-BL70,IF(A71&lt;'Données projet'!$A$88,$BA$205^A71,IF(A71='Données projet'!$A$88,'Données projet'!$B$88,BD70+BC71-BL70)))</f>
        <v>162</v>
      </c>
      <c r="BE71" s="13">
        <f>BD71*VLOOKUP('Données projet'!$B$11,Paramètres!$A$1:$I$89,3,0)*VLOOKUP('Données projet'!$B$11,Paramètres!$A$1:$I$89,5,0)</f>
        <v>164.268</v>
      </c>
      <c r="BF71" s="13">
        <f t="shared" si="91"/>
        <v>41.803694835525619</v>
      </c>
      <c r="BG71" s="20">
        <f t="shared" si="61"/>
        <v>358.90820183854044</v>
      </c>
      <c r="BH71" s="59">
        <f t="shared" si="62"/>
        <v>652.24153517187369</v>
      </c>
      <c r="BI71" s="59">
        <f ca="1">AVERAGE(OFFSET($BH$3,0,0,'Données projet'!$E$11+1,1))-AVERAGE(OFFSET($H$3,0,0,'Données projet'!$E$11+1,1))</f>
        <v>183.74583738362492</v>
      </c>
      <c r="BJ71" s="59">
        <f t="shared" si="92"/>
        <v>46.344307013926596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15.274062934090376</v>
      </c>
      <c r="BQ71" s="21">
        <f>EXP(-LN(2)/25)*BQ70+(1-EXP(-LN(2)/25))/(LN(2)/25)*Calculateur!BL71*Calculateur!BN71*VLOOKUP('Données projet'!$B$11,Paramètres!$A$1:$I$89,3,0)*0.475*44/12</f>
        <v>1.2609167908593586</v>
      </c>
      <c r="BR71" s="21">
        <f>EXP(-LN(2)/2)*BR70+(1-EXP(-LN(2)/2))/(LN(2)/2)*BL71*BO71*VLOOKUP('Données projet'!$B$11,Paramètres!$A$1:$I$89,3,0)*0.475*44/12</f>
        <v>0.34693833760350751</v>
      </c>
      <c r="BS71" s="22">
        <f t="shared" si="63"/>
        <v>16.881918062553243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12.2</v>
      </c>
      <c r="BY71" s="12">
        <f>IF('Données projet'!$A$114&gt;35,BY70+BX71-CG70,IF(A71&lt;'Données projet'!$A$114,$BV$205^A71,IF(A71='Données projet'!$A$114,'Données projet'!$B$114,BY70+BX71-CG70)))</f>
        <v>750.60000000000059</v>
      </c>
      <c r="BZ71" s="13">
        <f>BY71*VLOOKUP('Données projet'!$B$12,Paramètres!$A$1:$I$89,3,0)*VLOOKUP('Données projet'!$B$12,Paramètres!$A$1:$I$89,5,0)</f>
        <v>331.76520000000028</v>
      </c>
      <c r="CA71" s="13">
        <f t="shared" si="93"/>
        <v>77.796164461175536</v>
      </c>
      <c r="CB71" s="20">
        <f t="shared" si="64"/>
        <v>713.31937643654783</v>
      </c>
      <c r="CC71" s="59">
        <f t="shared" si="65"/>
        <v>1006.6527097698811</v>
      </c>
      <c r="CD71" s="59">
        <f ca="1">AVERAGE(OFFSET($CC$3,0,0,'Données projet'!$E$12+1,1))-AVERAGE(OFFSET($H$3,0,0,'Données projet'!$E$12+1,1))</f>
        <v>333.00091572040611</v>
      </c>
      <c r="CE71" s="59">
        <f t="shared" si="94"/>
        <v>267.06874181561398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53.860580702568974</v>
      </c>
      <c r="CL71" s="21">
        <f>EXP(-LN(2)/25)*CL70+(1-EXP(-LN(2)/25))/(LN(2)/25)*Calculateur!CG71*Calculateur!CI71*VLOOKUP('Données projet'!$B$12,Paramètres!$A$1:$I$89,3,0)*0.475*44/12</f>
        <v>26.343601960279258</v>
      </c>
      <c r="CM71" s="21">
        <f>EXP(-LN(2)/2)*CM70+(1-EXP(-LN(2)/2))/(LN(2)/2)*CG71*CJ71*VLOOKUP('Données projet'!$B$12,Paramètres!$A$1:$I$89,3,0)*0.475*44/12</f>
        <v>1.1319063970680334</v>
      </c>
      <c r="CN71" s="22">
        <f t="shared" si="66"/>
        <v>81.336089059916276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1">
        <f t="shared" si="86"/>
        <v>14.766231872668596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67">
        <f t="shared" si="56"/>
        <v>407.16349717823095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229</v>
      </c>
      <c r="O72" s="13">
        <f>N72*VLOOKUP('Données projet'!$B$9,Paramètres!$A$1:$I$89,3,0)*VLOOKUP('Données projet'!$B$9,Paramètres!$A$1:$I$89,5,0)</f>
        <v>136.94200000000001</v>
      </c>
      <c r="P72" s="13">
        <f t="shared" si="87"/>
        <v>35.595562742420903</v>
      </c>
      <c r="Q72" s="20">
        <f t="shared" si="54"/>
        <v>300.50292177638306</v>
      </c>
      <c r="R72" s="59">
        <f t="shared" si="55"/>
        <v>593.83625510971638</v>
      </c>
      <c r="S72" s="59">
        <f ca="1">AVERAGE(OFFSET($R$3,0,0,'Données projet'!$E$9+1,1))-AVERAGE(OFFSET($H$3,0,0,'Données projet'!$E$9+1,1))</f>
        <v>125.14227069357082</v>
      </c>
      <c r="T72" s="59">
        <f t="shared" si="88"/>
        <v>193.39407925063165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18.040767624318331</v>
      </c>
      <c r="AA72" s="21">
        <f>EXP(-LN(2)/25)*AA71+(1-EXP(-LN(2)/25))/(LN(2)/25)*Calculateur!V72*Calculateur!X72*VLOOKUP('Données projet'!$B$9,Paramètres!$A$1:$I$89,3,0)*0.475*44/12</f>
        <v>10.147080839506797</v>
      </c>
      <c r="AB72" s="21">
        <f>EXP(-LN(2)/2)*AB71+(1-EXP(-LN(2)/2))/(LN(2)/2)*V72*Y72*VLOOKUP('Données projet'!$B$9,Paramètres!$A$1:$I$89,3,0)*0.475*44/12</f>
        <v>6.5586475139697245E-2</v>
      </c>
      <c r="AC72" s="22">
        <f t="shared" si="57"/>
        <v>28.253434938964823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-5.999999999994543E-2</v>
      </c>
      <c r="AJ72" s="13">
        <f>AI72*VLOOKUP('Données projet'!$B$10,Paramètres!$A$1:$I$89,3,0)*VLOOKUP('Données projet'!$B$10,Paramètres!$A$1:$I$89,5,0)</f>
        <v>-2.8079999999974462E-2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74.573470247551825</v>
      </c>
      <c r="AO72" s="59">
        <f t="shared" si="90"/>
        <v>122.43655207772224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61.014451642734798</v>
      </c>
      <c r="AV72" s="21">
        <f>EXP(-LN(2)/25)*AV71+(1-EXP(-LN(2)/25))/(LN(2)/25)*Calculateur!AQ72*Calculateur!AS72*VLOOKUP('Données projet'!$B$10,Paramètres!$A$1:$I$89,3,0)*0.475*44/12</f>
        <v>25.850042121743542</v>
      </c>
      <c r="AW72" s="21">
        <f>EXP(-LN(2)/2)*AW71+(1-EXP(-LN(2)/2))/(LN(2)/2)*AQ72*AT72*VLOOKUP('Données projet'!$B$10,Paramètres!$A$1:$I$89,3,0)*0.475*44/12</f>
        <v>1.9177988922511326</v>
      </c>
      <c r="AX72" s="21">
        <f t="shared" si="60"/>
        <v>88.782292656729467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</v>
      </c>
      <c r="BD72" s="12">
        <f>IF('Données projet'!$A$88&gt;35,BD71+BC72-BL71,IF(A72&lt;'Données projet'!$A$88,$BA$205^A72,IF(A72='Données projet'!$A$88,'Données projet'!$B$88,BD71+BC72-BL71)))</f>
        <v>167</v>
      </c>
      <c r="BE72" s="13">
        <f>BD72*VLOOKUP('Données projet'!$B$11,Paramètres!$A$1:$I$89,3,0)*VLOOKUP('Données projet'!$B$11,Paramètres!$A$1:$I$89,5,0)</f>
        <v>169.33799999999999</v>
      </c>
      <c r="BF72" s="13">
        <f t="shared" si="91"/>
        <v>42.941723955722921</v>
      </c>
      <c r="BG72" s="20">
        <f t="shared" si="61"/>
        <v>369.72051922288409</v>
      </c>
      <c r="BH72" s="59">
        <f t="shared" si="62"/>
        <v>663.05385255621741</v>
      </c>
      <c r="BI72" s="59">
        <f ca="1">AVERAGE(OFFSET($BH$3,0,0,'Données projet'!$E$11+1,1))-AVERAGE(OFFSET($H$3,0,0,'Données projet'!$E$11+1,1))</f>
        <v>183.74583738362492</v>
      </c>
      <c r="BJ72" s="59">
        <f t="shared" si="92"/>
        <v>46.344307013926596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14.974547876211348</v>
      </c>
      <c r="BQ72" s="21">
        <f>EXP(-LN(2)/25)*BQ71+(1-EXP(-LN(2)/25))/(LN(2)/25)*Calculateur!BL72*Calculateur!BN72*VLOOKUP('Données projet'!$B$11,Paramètres!$A$1:$I$89,3,0)*0.475*44/12</f>
        <v>1.2264369549045773</v>
      </c>
      <c r="BR72" s="21">
        <f>EXP(-LN(2)/2)*BR71+(1-EXP(-LN(2)/2))/(LN(2)/2)*BL72*BO72*VLOOKUP('Données projet'!$B$11,Paramètres!$A$1:$I$89,3,0)*0.475*44/12</f>
        <v>0.24532245117302795</v>
      </c>
      <c r="BS72" s="22">
        <f t="shared" si="63"/>
        <v>16.446307282288952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12.2</v>
      </c>
      <c r="BY72" s="12">
        <f>IF('Données projet'!$A$114&gt;35,BY71+BX72-CG71,IF(A72&lt;'Données projet'!$A$114,$BV$205^A72,IF(A72='Données projet'!$A$114,'Données projet'!$B$114,BY71+BX72-CG71)))</f>
        <v>762.80000000000064</v>
      </c>
      <c r="BZ72" s="13">
        <f>BY72*VLOOKUP('Données projet'!$B$12,Paramètres!$A$1:$I$89,3,0)*VLOOKUP('Données projet'!$B$12,Paramètres!$A$1:$I$89,5,0)</f>
        <v>337.15760000000034</v>
      </c>
      <c r="CA72" s="13">
        <f t="shared" si="93"/>
        <v>78.912401961224319</v>
      </c>
      <c r="CB72" s="20">
        <f t="shared" si="64"/>
        <v>724.65525341579951</v>
      </c>
      <c r="CC72" s="59">
        <f t="shared" si="65"/>
        <v>1017.9885867491328</v>
      </c>
      <c r="CD72" s="59">
        <f ca="1">AVERAGE(OFFSET($CC$3,0,0,'Données projet'!$E$12+1,1))-AVERAGE(OFFSET($H$3,0,0,'Données projet'!$E$12+1,1))</f>
        <v>333.00091572040611</v>
      </c>
      <c r="CE72" s="59">
        <f t="shared" si="94"/>
        <v>267.06874181561398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52.80440756670199</v>
      </c>
      <c r="CL72" s="21">
        <f>EXP(-LN(2)/25)*CL71+(1-EXP(-LN(2)/25))/(LN(2)/25)*Calculateur!CG72*Calculateur!CI72*VLOOKUP('Données projet'!$B$12,Paramètres!$A$1:$I$89,3,0)*0.475*44/12</f>
        <v>25.623234779325603</v>
      </c>
      <c r="CM72" s="21">
        <f>EXP(-LN(2)/2)*CM71+(1-EXP(-LN(2)/2))/(LN(2)/2)*CG72*CJ72*VLOOKUP('Données projet'!$B$12,Paramètres!$A$1:$I$89,3,0)*0.475*44/12</f>
        <v>0.80037868903523934</v>
      </c>
      <c r="CN72" s="22">
        <f t="shared" si="66"/>
        <v>79.228021035062838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1">
        <f t="shared" si="86"/>
        <v>14.955166599500004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67">
        <f t="shared" si="56"/>
        <v>408.76954849412897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229</v>
      </c>
      <c r="O73" s="13">
        <f>N73*VLOOKUP('Données projet'!$B$9,Paramètres!$A$1:$I$89,3,0)*VLOOKUP('Données projet'!$B$9,Paramètres!$A$1:$I$89,5,0)</f>
        <v>136.94200000000001</v>
      </c>
      <c r="P73" s="13">
        <f t="shared" si="87"/>
        <v>35.595562742420903</v>
      </c>
      <c r="Q73" s="20">
        <f t="shared" si="54"/>
        <v>300.50292177638306</v>
      </c>
      <c r="R73" s="59">
        <f t="shared" si="55"/>
        <v>593.83625510971638</v>
      </c>
      <c r="S73" s="59">
        <f ca="1">AVERAGE(OFFSET($R$3,0,0,'Données projet'!$E$9+1,1))-AVERAGE(OFFSET($H$3,0,0,'Données projet'!$E$9+1,1))</f>
        <v>125.14227069357082</v>
      </c>
      <c r="T73" s="59">
        <f t="shared" si="88"/>
        <v>193.39407925063165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17.686999174987164</v>
      </c>
      <c r="AA73" s="21">
        <f>EXP(-LN(2)/25)*AA72+(1-EXP(-LN(2)/25))/(LN(2)/25)*Calculateur!V73*Calculateur!X73*VLOOKUP('Données projet'!$B$9,Paramètres!$A$1:$I$89,3,0)*0.475*44/12</f>
        <v>9.8696083803386934</v>
      </c>
      <c r="AB73" s="21">
        <f>EXP(-LN(2)/2)*AB72+(1-EXP(-LN(2)/2))/(LN(2)/2)*V73*Y73*VLOOKUP('Données projet'!$B$9,Paramètres!$A$1:$I$89,3,0)*0.475*44/12</f>
        <v>4.637664132540284E-2</v>
      </c>
      <c r="AC73" s="22">
        <f t="shared" si="57"/>
        <v>27.60298419665126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-5.999999999994543E-2</v>
      </c>
      <c r="AJ73" s="13">
        <f>AI73*VLOOKUP('Données projet'!$B$10,Paramètres!$A$1:$I$89,3,0)*VLOOKUP('Données projet'!$B$10,Paramètres!$A$1:$I$89,5,0)</f>
        <v>-2.8079999999974462E-2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74.573470247551825</v>
      </c>
      <c r="AO73" s="59">
        <f t="shared" si="90"/>
        <v>122.43655207772224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59.81799546116158</v>
      </c>
      <c r="AV73" s="21">
        <f>EXP(-LN(2)/25)*AV72+(1-EXP(-LN(2)/25))/(LN(2)/25)*Calculateur!AQ73*Calculateur!AS73*VLOOKUP('Données projet'!$B$10,Paramètres!$A$1:$I$89,3,0)*0.475*44/12</f>
        <v>25.143171360529831</v>
      </c>
      <c r="AW73" s="21">
        <f>EXP(-LN(2)/2)*AW72+(1-EXP(-LN(2)/2))/(LN(2)/2)*AQ73*AT73*VLOOKUP('Données projet'!$B$10,Paramètres!$A$1:$I$89,3,0)*0.475*44/12</f>
        <v>1.3560886016628251</v>
      </c>
      <c r="AX73" s="21">
        <f t="shared" si="60"/>
        <v>86.317255423354226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172</v>
      </c>
      <c r="BB73" s="12">
        <f>VLOOKUP(A73,'Données projet'!$A$87:$I$107,9,0)</f>
        <v>5</v>
      </c>
      <c r="BC73" s="12">
        <f t="array" ref="BC73">INDEX(BB:BB,MIN(IF(ISNUMBER(BB73:BB269),ROW(BB73:BB269),"")))</f>
        <v>5</v>
      </c>
      <c r="BD73" s="12">
        <f>IF('Données projet'!$A$88&gt;35,BD72+BC73-BL72,IF(A73&lt;'Données projet'!$A$88,$BA$205^A73,IF(A73='Données projet'!$A$88,'Données projet'!$B$88,BD72+BC73-BL72)))</f>
        <v>172</v>
      </c>
      <c r="BE73" s="13">
        <f>BD73*VLOOKUP('Données projet'!$B$11,Paramètres!$A$1:$I$89,3,0)*VLOOKUP('Données projet'!$B$11,Paramètres!$A$1:$I$89,5,0)</f>
        <v>174.40800000000002</v>
      </c>
      <c r="BF73" s="13">
        <f t="shared" si="91"/>
        <v>44.075793288194824</v>
      </c>
      <c r="BG73" s="20">
        <f t="shared" si="61"/>
        <v>380.52593997693936</v>
      </c>
      <c r="BH73" s="59">
        <f t="shared" si="62"/>
        <v>673.85927331027267</v>
      </c>
      <c r="BI73" s="59">
        <f ca="1">AVERAGE(OFFSET($BH$3,0,0,'Données projet'!$E$11+1,1))-AVERAGE(OFFSET($H$3,0,0,'Données projet'!$E$11+1,1))</f>
        <v>183.74583738362492</v>
      </c>
      <c r="BJ73" s="59">
        <f t="shared" si="92"/>
        <v>46.344307013926596</v>
      </c>
      <c r="BK73" s="15">
        <f>IF(ISNA(VLOOKUP(A73,'Données projet'!$A$87:$I$107,3,0)),0,VLOOKUP(A73,'Données projet'!$A$87:$I$107,3,0))</f>
        <v>8</v>
      </c>
      <c r="BL73" s="15">
        <f>IF(ISNA(VLOOKUP(A73,'Données projet'!$A$87:$I$107,4,0)),0,VLOOKUP(A73,'Données projet'!$A$87:$I$107,4,0))</f>
        <v>14</v>
      </c>
      <c r="BM73" s="16">
        <f>IF(ISNA(VLOOKUP(A73,'Données projet'!$A$87:$I$107,5,0)),0%,VLOOKUP(A73,'Données projet'!$A$87:$I$107,5,0)*VLOOKUP('Données projet'!$B$11,Paramètres!$A$1:$I$89,7,0))</f>
        <v>0.34400000000000003</v>
      </c>
      <c r="BN73" s="16">
        <f>IF(ISNA(VLOOKUP(A73,'Données projet'!$A$87:$I$107,6,0)),0%,VLOOKUP(A73,'Données projet'!$A$87:$I$107,6,0)*VLOOKUP('Données projet'!$B$11,Paramètres!$A$1:$I$89,7,0))</f>
        <v>1.72E-2</v>
      </c>
      <c r="BO73" s="16">
        <f>IF(ISNA(VLOOKUP(A73,'Données projet'!$A$87:$I$107,7,0)),0%,VLOOKUP(A73,'Données projet'!$A$87:$I$107,7,0))</f>
        <v>0.06</v>
      </c>
      <c r="BP73" s="21">
        <f>EXP(-LN(2)/35)*BP72+(1-EXP(-LN(2)/35))/(LN(2)/35)*BL73*BM73*VLOOKUP('Données projet'!$B$11,Paramètres!$A$1:$I$89,3,0)*0.475*44/12</f>
        <v>20.0793867086315</v>
      </c>
      <c r="BQ73" s="21">
        <f>EXP(-LN(2)/25)*BQ72+(1-EXP(-LN(2)/25))/(LN(2)/25)*Calculateur!BL73*Calculateur!BN73*VLOOKUP('Données projet'!$B$11,Paramètres!$A$1:$I$89,3,0)*0.475*44/12</f>
        <v>1.4617612072603881</v>
      </c>
      <c r="BR73" s="21">
        <f>EXP(-LN(2)/2)*BR72+(1-EXP(-LN(2)/2))/(LN(2)/2)*BL73*BO73*VLOOKUP('Données projet'!$B$11,Paramètres!$A$1:$I$89,3,0)*0.475*44/12</f>
        <v>0.97712765358603926</v>
      </c>
      <c r="BS73" s="22">
        <f t="shared" si="63"/>
        <v>22.518275569477925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775</v>
      </c>
      <c r="BW73" s="12">
        <f>VLOOKUP(A73,'Données projet'!$A$113:$I$133,9,0)</f>
        <v>12.2</v>
      </c>
      <c r="BX73" s="12">
        <f t="array" ref="BX73">INDEX(BW:BW,MIN(IF(ISNUMBER(BW73:BW269),ROW(BW73:BW269),"")))</f>
        <v>12.2</v>
      </c>
      <c r="BY73" s="12">
        <f>IF('Données projet'!$A$114&gt;35,BY72+BX73-CG72,IF(A73&lt;'Données projet'!$A$114,$BV$205^A73,IF(A73='Données projet'!$A$114,'Données projet'!$B$114,BY72+BX73-CG72)))</f>
        <v>775.00000000000068</v>
      </c>
      <c r="BZ73" s="13">
        <f>BY73*VLOOKUP('Données projet'!$B$12,Paramètres!$A$1:$I$89,3,0)*VLOOKUP('Données projet'!$B$12,Paramètres!$A$1:$I$89,5,0)</f>
        <v>342.5500000000003</v>
      </c>
      <c r="CA73" s="13">
        <f t="shared" si="93"/>
        <v>80.026563237696976</v>
      </c>
      <c r="CB73" s="20">
        <f t="shared" si="64"/>
        <v>735.98751430565608</v>
      </c>
      <c r="CC73" s="59">
        <f t="shared" si="65"/>
        <v>1029.3208476389893</v>
      </c>
      <c r="CD73" s="59">
        <f ca="1">AVERAGE(OFFSET($CC$3,0,0,'Données projet'!$E$12+1,1))-AVERAGE(OFFSET($H$3,0,0,'Données projet'!$E$12+1,1))</f>
        <v>333.00091572040611</v>
      </c>
      <c r="CE73" s="59">
        <f t="shared" si="94"/>
        <v>267.06874181561398</v>
      </c>
      <c r="CF73" s="15">
        <f>IF(ISNA(VLOOKUP(A73,'Données projet'!$A$113:$I$133,3,0)),0,VLOOKUP(A73,'Données projet'!$A$113:$I$133,3,0))</f>
        <v>11</v>
      </c>
      <c r="CG73" s="15">
        <f>IF(ISNA(VLOOKUP(A73,'Données projet'!$A$113:$I$133,4,0)),0,VLOOKUP(A73,'Données projet'!$A$113:$I$133,4,0))</f>
        <v>29</v>
      </c>
      <c r="CH73" s="16">
        <f>IF(ISNA(VLOOKUP(A73,'Données projet'!$A$113:$I$133,5,0)),0%,VLOOKUP(A73,'Données projet'!$A$113:$I$133,5,0)*VLOOKUP('Données projet'!$B$12,Paramètres!$A$1:$I$89,7,0))</f>
        <v>0.38500000000000001</v>
      </c>
      <c r="CI73" s="16">
        <f>IF(ISNA(VLOOKUP(A73,'Données projet'!$A$113:$I$133,6,0)),0%,VLOOKUP(A73,'Données projet'!$A$113:$I$133,6,0)*VLOOKUP('Données projet'!$B$12,Paramètres!$A$1:$I$89,7,0))</f>
        <v>0.13750000000000001</v>
      </c>
      <c r="CJ73" s="16">
        <f>IF(ISNA(VLOOKUP(A73,'Données projet'!$A$113:$I$133,7,0)),0%,VLOOKUP(A73,'Données projet'!$A$113:$I$133,7,0))</f>
        <v>0.15</v>
      </c>
      <c r="CK73" s="21">
        <f>EXP(-LN(2)/35)*CK72+(1-EXP(-LN(2)/35))/(LN(2)/35)*CG73*CH73*VLOOKUP('Données projet'!$B$12,Paramètres!$A$1:$I$89,3,0)*0.475*44/12</f>
        <v>58.315448069909607</v>
      </c>
      <c r="CL73" s="21">
        <f>EXP(-LN(2)/25)*CL72+(1-EXP(-LN(2)/25))/(LN(2)/25)*Calculateur!CG73*Calculateur!CI73*VLOOKUP('Données projet'!$B$12,Paramètres!$A$1:$I$89,3,0)*0.475*44/12</f>
        <v>27.251397024113551</v>
      </c>
      <c r="CM73" s="21">
        <f>EXP(-LN(2)/2)*CM72+(1-EXP(-LN(2)/2))/(LN(2)/2)*CG73*CJ73*VLOOKUP('Données projet'!$B$12,Paramètres!$A$1:$I$89,3,0)*0.475*44/12</f>
        <v>2.7428962369881527</v>
      </c>
      <c r="CN73" s="22">
        <f t="shared" si="66"/>
        <v>88.309741331011324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1">
        <f t="shared" si="86"/>
        <v>15.14378740464756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67">
        <f t="shared" si="56"/>
        <v>410.3750530630943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229</v>
      </c>
      <c r="O74" s="13">
        <f>N74*VLOOKUP('Données projet'!$B$9,Paramètres!$A$1:$I$89,3,0)*VLOOKUP('Données projet'!$B$9,Paramètres!$A$1:$I$89,5,0)</f>
        <v>136.94200000000001</v>
      </c>
      <c r="P74" s="13">
        <f t="shared" si="87"/>
        <v>35.595562742420903</v>
      </c>
      <c r="Q74" s="20">
        <f t="shared" si="54"/>
        <v>300.50292177638306</v>
      </c>
      <c r="R74" s="59">
        <f t="shared" si="55"/>
        <v>593.83625510971638</v>
      </c>
      <c r="S74" s="59">
        <f ca="1">AVERAGE(OFFSET($R$3,0,0,'Données projet'!$E$9+1,1))-AVERAGE(OFFSET($H$3,0,0,'Données projet'!$E$9+1,1))</f>
        <v>125.14227069357082</v>
      </c>
      <c r="T74" s="59">
        <f t="shared" si="88"/>
        <v>193.39407925063165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17.340167909169935</v>
      </c>
      <c r="AA74" s="21">
        <f>EXP(-LN(2)/25)*AA73+(1-EXP(-LN(2)/25))/(LN(2)/25)*Calculateur!V74*Calculateur!X74*VLOOKUP('Données projet'!$B$9,Paramètres!$A$1:$I$89,3,0)*0.475*44/12</f>
        <v>9.5997234201581847</v>
      </c>
      <c r="AB74" s="21">
        <f>EXP(-LN(2)/2)*AB73+(1-EXP(-LN(2)/2))/(LN(2)/2)*V74*Y74*VLOOKUP('Données projet'!$B$9,Paramètres!$A$1:$I$89,3,0)*0.475*44/12</f>
        <v>3.2793237569848623E-2</v>
      </c>
      <c r="AC74" s="22">
        <f t="shared" si="57"/>
        <v>26.972684566897968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-5.999999999994543E-2</v>
      </c>
      <c r="AJ74" s="13">
        <f>AI74*VLOOKUP('Données projet'!$B$10,Paramètres!$A$1:$I$89,3,0)*VLOOKUP('Données projet'!$B$10,Paramètres!$A$1:$I$89,5,0)</f>
        <v>-2.8079999999974462E-2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74.573470247551825</v>
      </c>
      <c r="AO74" s="59">
        <f t="shared" si="90"/>
        <v>122.43655207772224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58.645001055542799</v>
      </c>
      <c r="AV74" s="21">
        <f>EXP(-LN(2)/25)*AV73+(1-EXP(-LN(2)/25))/(LN(2)/25)*Calculateur!AQ74*Calculateur!AS74*VLOOKUP('Données projet'!$B$10,Paramètres!$A$1:$I$89,3,0)*0.475*44/12</f>
        <v>24.455630017454226</v>
      </c>
      <c r="AW74" s="21">
        <f>EXP(-LN(2)/2)*AW73+(1-EXP(-LN(2)/2))/(LN(2)/2)*AQ74*AT74*VLOOKUP('Données projet'!$B$10,Paramètres!$A$1:$I$89,3,0)*0.475*44/12</f>
        <v>0.95889944612556655</v>
      </c>
      <c r="AX74" s="21">
        <f t="shared" si="60"/>
        <v>84.059530519122603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</v>
      </c>
      <c r="BD74" s="12">
        <f>IF('Données projet'!$A$88&gt;35,BD73+BC74-BL73,IF(A74&lt;'Données projet'!$A$88,$BA$205^A74,IF(A74='Données projet'!$A$88,'Données projet'!$B$88,BD73+BC74-BL73)))</f>
        <v>163</v>
      </c>
      <c r="BE74" s="13">
        <f>BD74*VLOOKUP('Données projet'!$B$11,Paramètres!$A$1:$I$89,3,0)*VLOOKUP('Données projet'!$B$11,Paramètres!$A$1:$I$89,5,0)</f>
        <v>165.28200000000001</v>
      </c>
      <c r="BF74" s="13">
        <f t="shared" si="91"/>
        <v>42.031623878204442</v>
      </c>
      <c r="BG74" s="20">
        <f t="shared" si="61"/>
        <v>361.07122825453939</v>
      </c>
      <c r="BH74" s="59">
        <f t="shared" si="62"/>
        <v>654.40456158787265</v>
      </c>
      <c r="BI74" s="59">
        <f ca="1">AVERAGE(OFFSET($BH$3,0,0,'Données projet'!$E$11+1,1))-AVERAGE(OFFSET($H$3,0,0,'Données projet'!$E$11+1,1))</f>
        <v>183.74583738362492</v>
      </c>
      <c r="BJ74" s="59">
        <f t="shared" si="92"/>
        <v>46.344307013926596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19.685642182491815</v>
      </c>
      <c r="BQ74" s="21">
        <f>EXP(-LN(2)/25)*BQ73+(1-EXP(-LN(2)/25))/(LN(2)/25)*Calculateur!BL74*Calculateur!BN74*VLOOKUP('Données projet'!$B$11,Paramètres!$A$1:$I$89,3,0)*0.475*44/12</f>
        <v>1.4217892701771717</v>
      </c>
      <c r="BR74" s="21">
        <f>EXP(-LN(2)/2)*BR73+(1-EXP(-LN(2)/2))/(LN(2)/2)*BL74*BO74*VLOOKUP('Données projet'!$B$11,Paramètres!$A$1:$I$89,3,0)*0.475*44/12</f>
        <v>0.69093358993558807</v>
      </c>
      <c r="BS74" s="22">
        <f t="shared" si="63"/>
        <v>21.798365042604576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10.4</v>
      </c>
      <c r="BY74" s="12">
        <f>IF('Données projet'!$A$114&gt;35,BY73+BX74-CG73,IF(A74&lt;'Données projet'!$A$114,$BV$205^A74,IF(A74='Données projet'!$A$114,'Données projet'!$B$114,BY73+BX74-CG73)))</f>
        <v>756.40000000000066</v>
      </c>
      <c r="BZ74" s="13">
        <f>BY74*VLOOKUP('Données projet'!$B$12,Paramètres!$A$1:$I$89,3,0)*VLOOKUP('Données projet'!$B$12,Paramètres!$A$1:$I$89,5,0)</f>
        <v>334.32880000000029</v>
      </c>
      <c r="CA74" s="13">
        <f t="shared" si="93"/>
        <v>78.327096008145631</v>
      </c>
      <c r="CB74" s="20">
        <f t="shared" si="64"/>
        <v>718.70901888085416</v>
      </c>
      <c r="CC74" s="59">
        <f t="shared" si="65"/>
        <v>1012.0423522141875</v>
      </c>
      <c r="CD74" s="59">
        <f ca="1">AVERAGE(OFFSET($CC$3,0,0,'Données projet'!$E$12+1,1))-AVERAGE(OFFSET($H$3,0,0,'Données projet'!$E$12+1,1))</f>
        <v>333.00091572040611</v>
      </c>
      <c r="CE74" s="59">
        <f t="shared" si="94"/>
        <v>267.06874181561398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57.171917702169864</v>
      </c>
      <c r="CL74" s="21">
        <f>EXP(-LN(2)/25)*CL73+(1-EXP(-LN(2)/25))/(LN(2)/25)*Calculateur!CG74*Calculateur!CI74*VLOOKUP('Données projet'!$B$12,Paramètres!$A$1:$I$89,3,0)*0.475*44/12</f>
        <v>26.506206139400479</v>
      </c>
      <c r="CM74" s="21">
        <f>EXP(-LN(2)/2)*CM73+(1-EXP(-LN(2)/2))/(LN(2)/2)*CG74*CJ74*VLOOKUP('Données projet'!$B$12,Paramètres!$A$1:$I$89,3,0)*0.475*44/12</f>
        <v>1.9395205292653863</v>
      </c>
      <c r="CN74" s="22">
        <f t="shared" si="66"/>
        <v>85.61764437083572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1">
        <f t="shared" si="86"/>
        <v>15.332099220482363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67">
        <f t="shared" si="56"/>
        <v>411.98001947567326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229</v>
      </c>
      <c r="O75" s="13">
        <f>N75*VLOOKUP('Données projet'!$B$9,Paramètres!$A$1:$I$89,3,0)*VLOOKUP('Données projet'!$B$9,Paramètres!$A$1:$I$89,5,0)</f>
        <v>136.94200000000001</v>
      </c>
      <c r="P75" s="13">
        <f t="shared" si="87"/>
        <v>35.595562742420903</v>
      </c>
      <c r="Q75" s="20">
        <f t="shared" si="54"/>
        <v>300.50292177638306</v>
      </c>
      <c r="R75" s="59">
        <f t="shared" si="55"/>
        <v>593.83625510971638</v>
      </c>
      <c r="S75" s="59">
        <f ca="1">AVERAGE(OFFSET($R$3,0,0,'Données projet'!$E$9+1,1))-AVERAGE(OFFSET($H$3,0,0,'Données projet'!$E$9+1,1))</f>
        <v>125.14227069357082</v>
      </c>
      <c r="T75" s="59">
        <f t="shared" si="88"/>
        <v>193.39407925063165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17.000137792929198</v>
      </c>
      <c r="AA75" s="21">
        <f>EXP(-LN(2)/25)*AA74+(1-EXP(-LN(2)/25))/(LN(2)/25)*Calculateur!V75*Calculateur!X75*VLOOKUP('Données projet'!$B$9,Paramètres!$A$1:$I$89,3,0)*0.475*44/12</f>
        <v>9.3372184784064451</v>
      </c>
      <c r="AB75" s="21">
        <f>EXP(-LN(2)/2)*AB74+(1-EXP(-LN(2)/2))/(LN(2)/2)*V75*Y75*VLOOKUP('Données projet'!$B$9,Paramètres!$A$1:$I$89,3,0)*0.475*44/12</f>
        <v>2.318832066270142E-2</v>
      </c>
      <c r="AC75" s="22">
        <f t="shared" si="57"/>
        <v>26.360544591998345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-5.999999999994543E-2</v>
      </c>
      <c r="AJ75" s="13">
        <f>AI75*VLOOKUP('Données projet'!$B$10,Paramètres!$A$1:$I$89,3,0)*VLOOKUP('Données projet'!$B$10,Paramètres!$A$1:$I$89,5,0)</f>
        <v>-2.8079999999974462E-2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74.573470247551825</v>
      </c>
      <c r="AO75" s="59">
        <f t="shared" si="90"/>
        <v>122.43655207772224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57.495008354762263</v>
      </c>
      <c r="AV75" s="21">
        <f>EXP(-LN(2)/25)*AV74+(1-EXP(-LN(2)/25))/(LN(2)/25)*Calculateur!AQ75*Calculateur!AS75*VLOOKUP('Données projet'!$B$10,Paramètres!$A$1:$I$89,3,0)*0.475*44/12</f>
        <v>23.78688952856125</v>
      </c>
      <c r="AW75" s="21">
        <f>EXP(-LN(2)/2)*AW74+(1-EXP(-LN(2)/2))/(LN(2)/2)*AQ75*AT75*VLOOKUP('Données projet'!$B$10,Paramètres!$A$1:$I$89,3,0)*0.475*44/12</f>
        <v>0.67804430083141265</v>
      </c>
      <c r="AX75" s="21">
        <f t="shared" si="60"/>
        <v>81.959942184154926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</v>
      </c>
      <c r="BD75" s="12">
        <f>IF('Données projet'!$A$88&gt;35,BD74+BC75-BL74,IF(A75&lt;'Données projet'!$A$88,$BA$205^A75,IF(A75='Données projet'!$A$88,'Données projet'!$B$88,BD74+BC75-BL74)))</f>
        <v>168</v>
      </c>
      <c r="BE75" s="13">
        <f>BD75*VLOOKUP('Données projet'!$B$11,Paramètres!$A$1:$I$89,3,0)*VLOOKUP('Données projet'!$B$11,Paramètres!$A$1:$I$89,5,0)</f>
        <v>170.352</v>
      </c>
      <c r="BF75" s="13">
        <f t="shared" si="91"/>
        <v>43.168850382694451</v>
      </c>
      <c r="BG75" s="20">
        <f t="shared" si="61"/>
        <v>371.88214774985948</v>
      </c>
      <c r="BH75" s="59">
        <f t="shared" si="62"/>
        <v>665.2154810831928</v>
      </c>
      <c r="BI75" s="59">
        <f ca="1">AVERAGE(OFFSET($BH$3,0,0,'Données projet'!$E$11+1,1))-AVERAGE(OFFSET($H$3,0,0,'Données projet'!$E$11+1,1))</f>
        <v>183.74583738362492</v>
      </c>
      <c r="BJ75" s="59">
        <f t="shared" si="92"/>
        <v>46.344307013926596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19.299618746349285</v>
      </c>
      <c r="BQ75" s="21">
        <f>EXP(-LN(2)/25)*BQ74+(1-EXP(-LN(2)/25))/(LN(2)/25)*Calculateur!BL75*Calculateur!BN75*VLOOKUP('Données projet'!$B$11,Paramètres!$A$1:$I$89,3,0)*0.475*44/12</f>
        <v>1.3829103678155288</v>
      </c>
      <c r="BR75" s="21">
        <f>EXP(-LN(2)/2)*BR74+(1-EXP(-LN(2)/2))/(LN(2)/2)*BL75*BO75*VLOOKUP('Données projet'!$B$11,Paramètres!$A$1:$I$89,3,0)*0.475*44/12</f>
        <v>0.48856382679301968</v>
      </c>
      <c r="BS75" s="22">
        <f t="shared" si="63"/>
        <v>21.171092940957834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10.4</v>
      </c>
      <c r="BY75" s="12">
        <f>IF('Données projet'!$A$114&gt;35,BY74+BX75-CG74,IF(A75&lt;'Données projet'!$A$114,$BV$205^A75,IF(A75='Données projet'!$A$114,'Données projet'!$B$114,BY74+BX75-CG74)))</f>
        <v>766.80000000000064</v>
      </c>
      <c r="BZ75" s="13">
        <f>BY75*VLOOKUP('Données projet'!$B$12,Paramètres!$A$1:$I$89,3,0)*VLOOKUP('Données projet'!$B$12,Paramètres!$A$1:$I$89,5,0)</f>
        <v>338.92560000000032</v>
      </c>
      <c r="CA75" s="13">
        <f t="shared" si="93"/>
        <v>79.277927706918845</v>
      </c>
      <c r="CB75" s="20">
        <f t="shared" si="64"/>
        <v>728.37114408955085</v>
      </c>
      <c r="CC75" s="59">
        <f t="shared" si="65"/>
        <v>1021.7044774228841</v>
      </c>
      <c r="CD75" s="59">
        <f ca="1">AVERAGE(OFFSET($CC$3,0,0,'Données projet'!$E$12+1,1))-AVERAGE(OFFSET($H$3,0,0,'Données projet'!$E$12+1,1))</f>
        <v>333.00091572040611</v>
      </c>
      <c r="CE75" s="59">
        <f t="shared" si="94"/>
        <v>267.06874181561398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56.050811267456844</v>
      </c>
      <c r="CL75" s="21">
        <f>EXP(-LN(2)/25)*CL74+(1-EXP(-LN(2)/25))/(LN(2)/25)*Calculateur!CG75*Calculateur!CI75*VLOOKUP('Données projet'!$B$12,Paramètres!$A$1:$I$89,3,0)*0.475*44/12</f>
        <v>25.781392538617773</v>
      </c>
      <c r="CM75" s="21">
        <f>EXP(-LN(2)/2)*CM74+(1-EXP(-LN(2)/2))/(LN(2)/2)*CG75*CJ75*VLOOKUP('Données projet'!$B$12,Paramètres!$A$1:$I$89,3,0)*0.475*44/12</f>
        <v>1.3714481184940766</v>
      </c>
      <c r="CN75" s="22">
        <f t="shared" si="66"/>
        <v>83.203651924568689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1">
        <f t="shared" si="86"/>
        <v>15.520106834494458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67">
        <f t="shared" si="56"/>
        <v>413.58445607007764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229</v>
      </c>
      <c r="O76" s="13">
        <f>N76*VLOOKUP('Données projet'!$B$9,Paramètres!$A$1:$I$89,3,0)*VLOOKUP('Données projet'!$B$9,Paramètres!$A$1:$I$89,5,0)</f>
        <v>136.94200000000001</v>
      </c>
      <c r="P76" s="13">
        <f t="shared" si="87"/>
        <v>35.595562742420903</v>
      </c>
      <c r="Q76" s="20">
        <f t="shared" si="54"/>
        <v>300.50292177638306</v>
      </c>
      <c r="R76" s="59">
        <f t="shared" si="55"/>
        <v>593.83625510971638</v>
      </c>
      <c r="S76" s="59">
        <f ca="1">AVERAGE(OFFSET($R$3,0,0,'Données projet'!$E$9+1,1))-AVERAGE(OFFSET($H$3,0,0,'Données projet'!$E$9+1,1))</f>
        <v>125.14227069357082</v>
      </c>
      <c r="T76" s="59">
        <f t="shared" si="88"/>
        <v>193.39407925063165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16.666775459870049</v>
      </c>
      <c r="AA76" s="21">
        <f>EXP(-LN(2)/25)*AA75+(1-EXP(-LN(2)/25))/(LN(2)/25)*Calculateur!V76*Calculateur!X76*VLOOKUP('Données projet'!$B$9,Paramètres!$A$1:$I$89,3,0)*0.475*44/12</f>
        <v>9.0818917480914418</v>
      </c>
      <c r="AB76" s="21">
        <f>EXP(-LN(2)/2)*AB75+(1-EXP(-LN(2)/2))/(LN(2)/2)*V76*Y76*VLOOKUP('Données projet'!$B$9,Paramètres!$A$1:$I$89,3,0)*0.475*44/12</f>
        <v>1.6396618784924311E-2</v>
      </c>
      <c r="AC76" s="22">
        <f t="shared" si="57"/>
        <v>25.765063826746413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-5.999999999994543E-2</v>
      </c>
      <c r="AJ76" s="13">
        <f>AI76*VLOOKUP('Données projet'!$B$10,Paramètres!$A$1:$I$89,3,0)*VLOOKUP('Données projet'!$B$10,Paramètres!$A$1:$I$89,5,0)</f>
        <v>-2.8079999999974462E-2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74.573470247551825</v>
      </c>
      <c r="AO76" s="59">
        <f t="shared" si="90"/>
        <v>122.43655207772224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56.367566309417747</v>
      </c>
      <c r="AV76" s="21">
        <f>EXP(-LN(2)/25)*AV75+(1-EXP(-LN(2)/25))/(LN(2)/25)*Calculateur!AQ76*Calculateur!AS76*VLOOKUP('Données projet'!$B$10,Paramètres!$A$1:$I$89,3,0)*0.475*44/12</f>
        <v>23.136435783504588</v>
      </c>
      <c r="AW76" s="21">
        <f>EXP(-LN(2)/2)*AW75+(1-EXP(-LN(2)/2))/(LN(2)/2)*AQ76*AT76*VLOOKUP('Données projet'!$B$10,Paramètres!$A$1:$I$89,3,0)*0.475*44/12</f>
        <v>0.47944972306278333</v>
      </c>
      <c r="AX76" s="21">
        <f t="shared" si="60"/>
        <v>79.98345181598512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</v>
      </c>
      <c r="BD76" s="12">
        <f>IF('Données projet'!$A$88&gt;35,BD75+BC76-BL75,IF(A76&lt;'Données projet'!$A$88,$BA$205^A76,IF(A76='Données projet'!$A$88,'Données projet'!$B$88,BD75+BC76-BL75)))</f>
        <v>173</v>
      </c>
      <c r="BE76" s="13">
        <f>BD76*VLOOKUP('Données projet'!$B$11,Paramètres!$A$1:$I$89,3,0)*VLOOKUP('Données projet'!$B$11,Paramètres!$A$1:$I$89,5,0)</f>
        <v>175.422</v>
      </c>
      <c r="BF76" s="13">
        <f t="shared" si="91"/>
        <v>44.302143412304737</v>
      </c>
      <c r="BG76" s="20">
        <f t="shared" si="61"/>
        <v>382.68621644309741</v>
      </c>
      <c r="BH76" s="59">
        <f t="shared" si="62"/>
        <v>676.01954977643072</v>
      </c>
      <c r="BI76" s="59">
        <f ca="1">AVERAGE(OFFSET($BH$3,0,0,'Données projet'!$E$11+1,1))-AVERAGE(OFFSET($H$3,0,0,'Données projet'!$E$11+1,1))</f>
        <v>183.74583738362492</v>
      </c>
      <c r="BJ76" s="59">
        <f t="shared" si="92"/>
        <v>46.344307013926596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18.921164994338461</v>
      </c>
      <c r="BQ76" s="21">
        <f>EXP(-LN(2)/25)*BQ75+(1-EXP(-LN(2)/25))/(LN(2)/25)*Calculateur!BL76*Calculateur!BN76*VLOOKUP('Données projet'!$B$11,Paramètres!$A$1:$I$89,3,0)*0.475*44/12</f>
        <v>1.3450946110835176</v>
      </c>
      <c r="BR76" s="21">
        <f>EXP(-LN(2)/2)*BR75+(1-EXP(-LN(2)/2))/(LN(2)/2)*BL76*BO76*VLOOKUP('Données projet'!$B$11,Paramètres!$A$1:$I$89,3,0)*0.475*44/12</f>
        <v>0.34546679496779409</v>
      </c>
      <c r="BS76" s="22">
        <f t="shared" si="63"/>
        <v>20.611726400389774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10.4</v>
      </c>
      <c r="BY76" s="12">
        <f>IF('Données projet'!$A$114&gt;35,BY75+BX76-CG75,IF(A76&lt;'Données projet'!$A$114,$BV$205^A76,IF(A76='Données projet'!$A$114,'Données projet'!$B$114,BY75+BX76-CG75)))</f>
        <v>777.20000000000061</v>
      </c>
      <c r="BZ76" s="13">
        <f>BY76*VLOOKUP('Données projet'!$B$12,Paramètres!$A$1:$I$89,3,0)*VLOOKUP('Données projet'!$B$12,Paramètres!$A$1:$I$89,5,0)</f>
        <v>343.52240000000029</v>
      </c>
      <c r="CA76" s="13">
        <f t="shared" si="93"/>
        <v>80.227259447418632</v>
      </c>
      <c r="CB76" s="20">
        <f t="shared" si="64"/>
        <v>738.03065687092123</v>
      </c>
      <c r="CC76" s="59">
        <f t="shared" si="65"/>
        <v>1031.3639902042546</v>
      </c>
      <c r="CD76" s="59">
        <f ca="1">AVERAGE(OFFSET($CC$3,0,0,'Données projet'!$E$12+1,1))-AVERAGE(OFFSET($H$3,0,0,'Données projet'!$E$12+1,1))</f>
        <v>333.00091572040611</v>
      </c>
      <c r="CE76" s="59">
        <f t="shared" si="94"/>
        <v>267.06874181561398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54.951689046121139</v>
      </c>
      <c r="CL76" s="21">
        <f>EXP(-LN(2)/25)*CL75+(1-EXP(-LN(2)/25))/(LN(2)/25)*Calculateur!CG76*Calculateur!CI76*VLOOKUP('Données projet'!$B$12,Paramètres!$A$1:$I$89,3,0)*0.475*44/12</f>
        <v>25.076399003864761</v>
      </c>
      <c r="CM76" s="21">
        <f>EXP(-LN(2)/2)*CM75+(1-EXP(-LN(2)/2))/(LN(2)/2)*CG76*CJ76*VLOOKUP('Données projet'!$B$12,Paramètres!$A$1:$I$89,3,0)*0.475*44/12</f>
        <v>0.96976026463269338</v>
      </c>
      <c r="CN76" s="22">
        <f t="shared" si="66"/>
        <v>80.997848314618594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1">
        <f t="shared" si="86"/>
        <v>15.707814895473696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67">
        <f t="shared" si="56"/>
        <v>415.1883709429498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229</v>
      </c>
      <c r="O77" s="13">
        <f>N77*VLOOKUP('Données projet'!$B$9,Paramètres!$A$1:$I$89,3,0)*VLOOKUP('Données projet'!$B$9,Paramètres!$A$1:$I$89,5,0)</f>
        <v>136.94200000000001</v>
      </c>
      <c r="P77" s="13">
        <f t="shared" si="87"/>
        <v>35.595562742420903</v>
      </c>
      <c r="Q77" s="20">
        <f t="shared" si="54"/>
        <v>300.50292177638306</v>
      </c>
      <c r="R77" s="59">
        <f t="shared" si="55"/>
        <v>593.83625510971638</v>
      </c>
      <c r="S77" s="59">
        <f ca="1">AVERAGE(OFFSET($R$3,0,0,'Données projet'!$E$9+1,1))-AVERAGE(OFFSET($H$3,0,0,'Données projet'!$E$9+1,1))</f>
        <v>125.14227069357082</v>
      </c>
      <c r="T77" s="59">
        <f t="shared" si="88"/>
        <v>193.39407925063165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16.339950158831247</v>
      </c>
      <c r="AA77" s="21">
        <f>EXP(-LN(2)/25)*AA76+(1-EXP(-LN(2)/25))/(LN(2)/25)*Calculateur!V77*Calculateur!X77*VLOOKUP('Données projet'!$B$9,Paramètres!$A$1:$I$89,3,0)*0.475*44/12</f>
        <v>8.8335469406439504</v>
      </c>
      <c r="AB77" s="21">
        <f>EXP(-LN(2)/2)*AB76+(1-EXP(-LN(2)/2))/(LN(2)/2)*V77*Y77*VLOOKUP('Données projet'!$B$9,Paramètres!$A$1:$I$89,3,0)*0.475*44/12</f>
        <v>1.159416033135071E-2</v>
      </c>
      <c r="AC77" s="22">
        <f t="shared" si="57"/>
        <v>25.185091259806551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-5.999999999994543E-2</v>
      </c>
      <c r="AJ77" s="13">
        <f>AI77*VLOOKUP('Données projet'!$B$10,Paramètres!$A$1:$I$89,3,0)*VLOOKUP('Données projet'!$B$10,Paramètres!$A$1:$I$89,5,0)</f>
        <v>-2.8079999999974462E-2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74.573470247551825</v>
      </c>
      <c r="AO77" s="59">
        <f t="shared" si="90"/>
        <v>122.43655207772224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55.262232714910688</v>
      </c>
      <c r="AV77" s="21">
        <f>EXP(-LN(2)/25)*AV76+(1-EXP(-LN(2)/25))/(LN(2)/25)*Calculateur!AQ77*Calculateur!AS77*VLOOKUP('Données projet'!$B$10,Paramètres!$A$1:$I$89,3,0)*0.475*44/12</f>
        <v>22.503768730312377</v>
      </c>
      <c r="AW77" s="21">
        <f>EXP(-LN(2)/2)*AW76+(1-EXP(-LN(2)/2))/(LN(2)/2)*AQ77*AT77*VLOOKUP('Données projet'!$B$10,Paramètres!$A$1:$I$89,3,0)*0.475*44/12</f>
        <v>0.33902215041570638</v>
      </c>
      <c r="AX77" s="21">
        <f t="shared" si="60"/>
        <v>78.10502359563877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</v>
      </c>
      <c r="BD77" s="12">
        <f>IF('Données projet'!$A$88&gt;35,BD76+BC77-BL76,IF(A77&lt;'Données projet'!$A$88,$BA$205^A77,IF(A77='Données projet'!$A$88,'Données projet'!$B$88,BD76+BC77-BL76)))</f>
        <v>178</v>
      </c>
      <c r="BE77" s="13">
        <f>BD77*VLOOKUP('Données projet'!$B$11,Paramètres!$A$1:$I$89,3,0)*VLOOKUP('Données projet'!$B$11,Paramètres!$A$1:$I$89,5,0)</f>
        <v>180.49200000000002</v>
      </c>
      <c r="BF77" s="13">
        <f t="shared" si="91"/>
        <v>45.431629706642653</v>
      </c>
      <c r="BG77" s="20">
        <f t="shared" si="61"/>
        <v>393.4836550724026</v>
      </c>
      <c r="BH77" s="59">
        <f t="shared" si="62"/>
        <v>686.81698840573586</v>
      </c>
      <c r="BI77" s="59">
        <f ca="1">AVERAGE(OFFSET($BH$3,0,0,'Données projet'!$E$11+1,1))-AVERAGE(OFFSET($H$3,0,0,'Données projet'!$E$11+1,1))</f>
        <v>183.74583738362492</v>
      </c>
      <c r="BJ77" s="59">
        <f t="shared" si="92"/>
        <v>46.344307013926596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18.550132489570576</v>
      </c>
      <c r="BQ77" s="21">
        <f>EXP(-LN(2)/25)*BQ76+(1-EXP(-LN(2)/25))/(LN(2)/25)*Calculateur!BL77*Calculateur!BN77*VLOOKUP('Données projet'!$B$11,Paramètres!$A$1:$I$89,3,0)*0.475*44/12</f>
        <v>1.3083129282079875</v>
      </c>
      <c r="BR77" s="21">
        <f>EXP(-LN(2)/2)*BR76+(1-EXP(-LN(2)/2))/(LN(2)/2)*BL77*BO77*VLOOKUP('Données projet'!$B$11,Paramètres!$A$1:$I$89,3,0)*0.475*44/12</f>
        <v>0.24428191339650987</v>
      </c>
      <c r="BS77" s="22">
        <f t="shared" si="63"/>
        <v>20.102727331175071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10.4</v>
      </c>
      <c r="BY77" s="12">
        <f>IF('Données projet'!$A$114&gt;35,BY76+BX77-CG76,IF(A77&lt;'Données projet'!$A$114,$BV$205^A77,IF(A77='Données projet'!$A$114,'Données projet'!$B$114,BY76+BX77-CG76)))</f>
        <v>787.60000000000059</v>
      </c>
      <c r="BZ77" s="13">
        <f>BY77*VLOOKUP('Données projet'!$B$12,Paramètres!$A$1:$I$89,3,0)*VLOOKUP('Données projet'!$B$12,Paramètres!$A$1:$I$89,5,0)</f>
        <v>348.11920000000032</v>
      </c>
      <c r="CA77" s="13">
        <f t="shared" si="93"/>
        <v>81.175113621364801</v>
      </c>
      <c r="CB77" s="20">
        <f t="shared" si="64"/>
        <v>747.68759622387745</v>
      </c>
      <c r="CC77" s="59">
        <f t="shared" si="65"/>
        <v>1041.0209295572108</v>
      </c>
      <c r="CD77" s="59">
        <f ca="1">AVERAGE(OFFSET($CC$3,0,0,'Données projet'!$E$12+1,1))-AVERAGE(OFFSET($H$3,0,0,'Données projet'!$E$12+1,1))</f>
        <v>333.00091572040611</v>
      </c>
      <c r="CE77" s="59">
        <f t="shared" si="94"/>
        <v>267.06874181561398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53.87411994114747</v>
      </c>
      <c r="CL77" s="21">
        <f>EXP(-LN(2)/25)*CL76+(1-EXP(-LN(2)/25))/(LN(2)/25)*Calculateur!CG77*Calculateur!CI77*VLOOKUP('Données projet'!$B$12,Paramètres!$A$1:$I$89,3,0)*0.475*44/12</f>
        <v>24.390683554393568</v>
      </c>
      <c r="CM77" s="21">
        <f>EXP(-LN(2)/2)*CM76+(1-EXP(-LN(2)/2))/(LN(2)/2)*CG77*CJ77*VLOOKUP('Données projet'!$B$12,Paramètres!$A$1:$I$89,3,0)*0.475*44/12</f>
        <v>0.68572405924703839</v>
      </c>
      <c r="CN77" s="22">
        <f t="shared" si="66"/>
        <v>78.950527554788067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1">
        <f t="shared" si="86"/>
        <v>15.895227919346986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67">
        <f t="shared" si="56"/>
        <v>416.79177195952911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229</v>
      </c>
      <c r="O78" s="13">
        <f>N78*VLOOKUP('Données projet'!$B$9,Paramètres!$A$1:$I$89,3,0)*VLOOKUP('Données projet'!$B$9,Paramètres!$A$1:$I$89,5,0)</f>
        <v>136.94200000000001</v>
      </c>
      <c r="P78" s="13">
        <f t="shared" si="87"/>
        <v>35.595562742420903</v>
      </c>
      <c r="Q78" s="20">
        <f t="shared" si="54"/>
        <v>300.50292177638306</v>
      </c>
      <c r="R78" s="59">
        <f t="shared" si="55"/>
        <v>593.83625510971638</v>
      </c>
      <c r="S78" s="59">
        <f ca="1">AVERAGE(OFFSET($R$3,0,0,'Données projet'!$E$9+1,1))-AVERAGE(OFFSET($H$3,0,0,'Données projet'!$E$9+1,1))</f>
        <v>125.14227069357082</v>
      </c>
      <c r="T78" s="59">
        <f t="shared" si="88"/>
        <v>193.39407925063165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16.019533702602065</v>
      </c>
      <c r="AA78" s="21">
        <f>EXP(-LN(2)/25)*AA77+(1-EXP(-LN(2)/25))/(LN(2)/25)*Calculateur!V78*Calculateur!X78*VLOOKUP('Données projet'!$B$9,Paramètres!$A$1:$I$89,3,0)*0.475*44/12</f>
        <v>8.591993135015997</v>
      </c>
      <c r="AB78" s="21">
        <f>EXP(-LN(2)/2)*AB77+(1-EXP(-LN(2)/2))/(LN(2)/2)*V78*Y78*VLOOKUP('Données projet'!$B$9,Paramètres!$A$1:$I$89,3,0)*0.475*44/12</f>
        <v>8.1983093924621556E-3</v>
      </c>
      <c r="AC78" s="22">
        <f t="shared" si="57"/>
        <v>24.619725147010524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-5.999999999994543E-2</v>
      </c>
      <c r="AJ78" s="13">
        <f>AI78*VLOOKUP('Données projet'!$B$10,Paramètres!$A$1:$I$89,3,0)*VLOOKUP('Données projet'!$B$10,Paramètres!$A$1:$I$89,5,0)</f>
        <v>-2.8079999999974462E-2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74.573470247551825</v>
      </c>
      <c r="AO78" s="59">
        <f t="shared" si="90"/>
        <v>122.43655207772224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54.178574038004989</v>
      </c>
      <c r="AV78" s="21">
        <f>EXP(-LN(2)/25)*AV77+(1-EXP(-LN(2)/25))/(LN(2)/25)*Calculateur!AQ78*Calculateur!AS78*VLOOKUP('Données projet'!$B$10,Paramètres!$A$1:$I$89,3,0)*0.475*44/12</f>
        <v>21.888401990960219</v>
      </c>
      <c r="AW78" s="21">
        <f>EXP(-LN(2)/2)*AW77+(1-EXP(-LN(2)/2))/(LN(2)/2)*AQ78*AT78*VLOOKUP('Données projet'!$B$10,Paramètres!$A$1:$I$89,3,0)*0.475*44/12</f>
        <v>0.23972486153139172</v>
      </c>
      <c r="AX78" s="21">
        <f t="shared" si="60"/>
        <v>76.306700890496586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183</v>
      </c>
      <c r="BB78" s="12">
        <f>VLOOKUP(A78,'Données projet'!$A$87:$I$107,9,0)</f>
        <v>5</v>
      </c>
      <c r="BC78" s="12">
        <f t="array" ref="BC78">INDEX(BB:BB,MIN(IF(ISNUMBER(BB78:BB274),ROW(BB78:BB274),"")))</f>
        <v>5</v>
      </c>
      <c r="BD78" s="12">
        <f>IF('Données projet'!$A$88&gt;35,BD77+BC78-BL77,IF(A78&lt;'Données projet'!$A$88,$BA$205^A78,IF(A78='Données projet'!$A$88,'Données projet'!$B$88,BD77+BC78-BL77)))</f>
        <v>183</v>
      </c>
      <c r="BE78" s="13">
        <f>BD78*VLOOKUP('Données projet'!$B$11,Paramètres!$A$1:$I$89,3,0)*VLOOKUP('Données projet'!$B$11,Paramètres!$A$1:$I$89,5,0)</f>
        <v>185.56200000000001</v>
      </c>
      <c r="BF78" s="13">
        <f t="shared" si="91"/>
        <v>46.557428480028591</v>
      </c>
      <c r="BG78" s="20">
        <f t="shared" si="61"/>
        <v>404.27467126938313</v>
      </c>
      <c r="BH78" s="59">
        <f t="shared" si="62"/>
        <v>697.60800460271639</v>
      </c>
      <c r="BI78" s="59">
        <f ca="1">AVERAGE(OFFSET($BH$3,0,0,'Données projet'!$E$11+1,1))-AVERAGE(OFFSET($H$3,0,0,'Données projet'!$E$11+1,1))</f>
        <v>183.74583738362492</v>
      </c>
      <c r="BJ78" s="59">
        <f t="shared" si="92"/>
        <v>46.344307013926596</v>
      </c>
      <c r="BK78" s="15">
        <f>IF(ISNA(VLOOKUP(A78,'Données projet'!$A$87:$I$107,3,0)),0,VLOOKUP(A78,'Données projet'!$A$87:$I$107,3,0))</f>
        <v>9</v>
      </c>
      <c r="BL78" s="15">
        <f>IF(ISNA(VLOOKUP(A78,'Données projet'!$A$87:$I$107,4,0)),0,VLOOKUP(A78,'Données projet'!$A$87:$I$107,4,0))</f>
        <v>14</v>
      </c>
      <c r="BM78" s="16">
        <f>IF(ISNA(VLOOKUP(A78,'Données projet'!$A$87:$I$107,5,0)),0%,VLOOKUP(A78,'Données projet'!$A$87:$I$107,5,0)*VLOOKUP('Données projet'!$B$11,Paramètres!$A$1:$I$89,7,0))</f>
        <v>0.34400000000000003</v>
      </c>
      <c r="BN78" s="16">
        <f>IF(ISNA(VLOOKUP(A78,'Données projet'!$A$87:$I$107,6,0)),0%,VLOOKUP(A78,'Données projet'!$A$87:$I$107,6,0)*VLOOKUP('Données projet'!$B$11,Paramètres!$A$1:$I$89,7,0))</f>
        <v>1.72E-2</v>
      </c>
      <c r="BO78" s="16">
        <f>IF(ISNA(VLOOKUP(A78,'Données projet'!$A$87:$I$107,7,0)),0%,VLOOKUP(A78,'Données projet'!$A$87:$I$107,7,0))</f>
        <v>0.06</v>
      </c>
      <c r="BP78" s="21">
        <f>EXP(-LN(2)/35)*BP77+(1-EXP(-LN(2)/35))/(LN(2)/35)*BL78*BM78*VLOOKUP('Données projet'!$B$11,Paramètres!$A$1:$I$89,3,0)*0.475*44/12</f>
        <v>23.584856288614024</v>
      </c>
      <c r="BQ78" s="21">
        <f>EXP(-LN(2)/25)*BQ77+(1-EXP(-LN(2)/25))/(LN(2)/25)*Calculateur!BL78*Calculateur!BN78*VLOOKUP('Données projet'!$B$11,Paramètres!$A$1:$I$89,3,0)*0.475*44/12</f>
        <v>1.5413982777681463</v>
      </c>
      <c r="BR78" s="21">
        <f>EXP(-LN(2)/2)*BR77+(1-EXP(-LN(2)/2))/(LN(2)/2)*BL78*BO78*VLOOKUP('Données projet'!$B$11,Paramètres!$A$1:$I$89,3,0)*0.475*44/12</f>
        <v>0.97639188226818252</v>
      </c>
      <c r="BS78" s="22">
        <f t="shared" si="63"/>
        <v>26.102646448650351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798</v>
      </c>
      <c r="BW78" s="12">
        <f>VLOOKUP(A78,'Données projet'!$A$113:$I$133,9,0)</f>
        <v>10.4</v>
      </c>
      <c r="BX78" s="12">
        <f t="array" ref="BX78">INDEX(BW:BW,MIN(IF(ISNUMBER(BW78:BW274),ROW(BW78:BW274),"")))</f>
        <v>10.4</v>
      </c>
      <c r="BY78" s="12">
        <f>IF('Données projet'!$A$114&gt;35,BY77+BX78-CG77,IF(A78&lt;'Données projet'!$A$114,$BV$205^A78,IF(A78='Données projet'!$A$114,'Données projet'!$B$114,BY77+BX78-CG77)))</f>
        <v>798.00000000000057</v>
      </c>
      <c r="BZ78" s="13">
        <f>BY78*VLOOKUP('Données projet'!$B$12,Paramètres!$A$1:$I$89,3,0)*VLOOKUP('Données projet'!$B$12,Paramètres!$A$1:$I$89,5,0)</f>
        <v>352.71600000000029</v>
      </c>
      <c r="CA78" s="13">
        <f t="shared" si="93"/>
        <v>82.121511995136316</v>
      </c>
      <c r="CB78" s="20">
        <f t="shared" si="64"/>
        <v>757.34200005819628</v>
      </c>
      <c r="CC78" s="59">
        <f t="shared" si="65"/>
        <v>1050.6753333915296</v>
      </c>
      <c r="CD78" s="59">
        <f ca="1">AVERAGE(OFFSET($CC$3,0,0,'Données projet'!$E$12+1,1))-AVERAGE(OFFSET($H$3,0,0,'Données projet'!$E$12+1,1))</f>
        <v>333.00091572040611</v>
      </c>
      <c r="CE78" s="59">
        <f t="shared" si="94"/>
        <v>267.06874181561398</v>
      </c>
      <c r="CF78" s="15">
        <f>IF(ISNA(VLOOKUP(A78,'Données projet'!$A$113:$I$133,3,0)),0,VLOOKUP(A78,'Données projet'!$A$113:$I$133,3,0))</f>
        <v>12</v>
      </c>
      <c r="CG78" s="15">
        <f>IF(ISNA(VLOOKUP(A78,'Données projet'!$A$113:$I$133,4,0)),0,VLOOKUP(A78,'Données projet'!$A$113:$I$133,4,0))</f>
        <v>25</v>
      </c>
      <c r="CH78" s="16">
        <f>IF(ISNA(VLOOKUP(A78,'Données projet'!$A$113:$I$133,5,0)),0%,VLOOKUP(A78,'Données projet'!$A$113:$I$133,5,0)*VLOOKUP('Données projet'!$B$12,Paramètres!$A$1:$I$89,7,0))</f>
        <v>0.38500000000000001</v>
      </c>
      <c r="CI78" s="16">
        <f>IF(ISNA(VLOOKUP(A78,'Données projet'!$A$113:$I$133,6,0)),0%,VLOOKUP(A78,'Données projet'!$A$113:$I$133,6,0)*VLOOKUP('Données projet'!$B$12,Paramètres!$A$1:$I$89,7,0))</f>
        <v>0.13750000000000001</v>
      </c>
      <c r="CJ78" s="16">
        <f>IF(ISNA(VLOOKUP(A78,'Données projet'!$A$113:$I$133,7,0)),0%,VLOOKUP(A78,'Données projet'!$A$113:$I$133,7,0))</f>
        <v>0.15</v>
      </c>
      <c r="CK78" s="21">
        <f>EXP(-LN(2)/35)*CK77+(1-EXP(-LN(2)/35))/(LN(2)/35)*CG78*CH78*VLOOKUP('Données projet'!$B$12,Paramètres!$A$1:$I$89,3,0)*0.475*44/12</f>
        <v>58.461218143623746</v>
      </c>
      <c r="CL78" s="21">
        <f>EXP(-LN(2)/25)*CL77+(1-EXP(-LN(2)/25))/(LN(2)/25)*Calculateur!CG78*Calculateur!CI78*VLOOKUP('Données projet'!$B$12,Paramètres!$A$1:$I$89,3,0)*0.475*44/12</f>
        <v>25.731331915548342</v>
      </c>
      <c r="CM78" s="21">
        <f>EXP(-LN(2)/2)*CM77+(1-EXP(-LN(2)/2))/(LN(2)/2)*CG78*CJ78*VLOOKUP('Données projet'!$B$12,Paramètres!$A$1:$I$89,3,0)*0.475*44/12</f>
        <v>2.3615551654664637</v>
      </c>
      <c r="CN78" s="22">
        <f t="shared" si="66"/>
        <v>86.554105224638562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1">
        <f t="shared" si="86"/>
        <v>16.08235029469542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67">
        <f t="shared" si="56"/>
        <v>418.394666763261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229</v>
      </c>
      <c r="O79" s="13">
        <f>N79*VLOOKUP('Données projet'!$B$9,Paramètres!$A$1:$I$89,3,0)*VLOOKUP('Données projet'!$B$9,Paramètres!$A$1:$I$89,5,0)</f>
        <v>136.94200000000001</v>
      </c>
      <c r="P79" s="13">
        <f t="shared" si="87"/>
        <v>35.595562742420903</v>
      </c>
      <c r="Q79" s="20">
        <f t="shared" si="54"/>
        <v>300.50292177638306</v>
      </c>
      <c r="R79" s="59">
        <f t="shared" si="55"/>
        <v>593.83625510971638</v>
      </c>
      <c r="S79" s="59">
        <f ca="1">AVERAGE(OFFSET($R$3,0,0,'Données projet'!$E$9+1,1))-AVERAGE(OFFSET($H$3,0,0,'Données projet'!$E$9+1,1))</f>
        <v>125.14227069357082</v>
      </c>
      <c r="T79" s="59">
        <f t="shared" si="88"/>
        <v>193.39407925063165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15.705400417644796</v>
      </c>
      <c r="AA79" s="21">
        <f>EXP(-LN(2)/25)*AA78+(1-EXP(-LN(2)/25))/(LN(2)/25)*Calculateur!V79*Calculateur!X79*VLOOKUP('Données projet'!$B$9,Paramètres!$A$1:$I$89,3,0)*0.475*44/12</f>
        <v>8.3570446309057029</v>
      </c>
      <c r="AB79" s="21">
        <f>EXP(-LN(2)/2)*AB78+(1-EXP(-LN(2)/2))/(LN(2)/2)*V79*Y79*VLOOKUP('Données projet'!$B$9,Paramètres!$A$1:$I$89,3,0)*0.475*44/12</f>
        <v>5.797080165675355E-3</v>
      </c>
      <c r="AC79" s="22">
        <f t="shared" si="57"/>
        <v>24.068242128716175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-5.999999999994543E-2</v>
      </c>
      <c r="AJ79" s="13">
        <f>AI79*VLOOKUP('Données projet'!$B$10,Paramètres!$A$1:$I$89,3,0)*VLOOKUP('Données projet'!$B$10,Paramètres!$A$1:$I$89,5,0)</f>
        <v>-2.8079999999974462E-2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74.573470247551825</v>
      </c>
      <c r="AO79" s="59">
        <f t="shared" si="90"/>
        <v>122.43655207772224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53.116165246786885</v>
      </c>
      <c r="AV79" s="21">
        <f>EXP(-LN(2)/25)*AV78+(1-EXP(-LN(2)/25))/(LN(2)/25)*Calculateur!AQ79*Calculateur!AS79*VLOOKUP('Données projet'!$B$10,Paramètres!$A$1:$I$89,3,0)*0.475*44/12</f>
        <v>21.289862487456379</v>
      </c>
      <c r="AW79" s="21">
        <f>EXP(-LN(2)/2)*AW78+(1-EXP(-LN(2)/2))/(LN(2)/2)*AQ79*AT79*VLOOKUP('Données projet'!$B$10,Paramètres!$A$1:$I$89,3,0)*0.475*44/12</f>
        <v>0.16951107520785322</v>
      </c>
      <c r="AX79" s="21">
        <f t="shared" si="60"/>
        <v>74.575538809451118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4.5999999999999996</v>
      </c>
      <c r="BD79" s="12">
        <f>IF('Données projet'!$A$88&gt;35,BD78+BC79-BL78,IF(A79&lt;'Données projet'!$A$88,$BA$205^A79,IF(A79='Données projet'!$A$88,'Données projet'!$B$88,BD78+BC79-BL78)))</f>
        <v>173.6</v>
      </c>
      <c r="BE79" s="13">
        <f>BD79*VLOOKUP('Données projet'!$B$11,Paramètres!$A$1:$I$89,3,0)*VLOOKUP('Données projet'!$B$11,Paramètres!$A$1:$I$89,5,0)</f>
        <v>176.03040000000001</v>
      </c>
      <c r="BF79" s="13">
        <f t="shared" si="91"/>
        <v>44.437880346232944</v>
      </c>
      <c r="BG79" s="20">
        <f t="shared" si="61"/>
        <v>383.98225493635573</v>
      </c>
      <c r="BH79" s="59">
        <f t="shared" si="62"/>
        <v>677.31558826968899</v>
      </c>
      <c r="BI79" s="59">
        <f ca="1">AVERAGE(OFFSET($BH$3,0,0,'Données projet'!$E$11+1,1))-AVERAGE(OFFSET($H$3,0,0,'Données projet'!$E$11+1,1))</f>
        <v>183.74583738362492</v>
      </c>
      <c r="BJ79" s="59">
        <f t="shared" si="92"/>
        <v>46.344307013926596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23.122371642136205</v>
      </c>
      <c r="BQ79" s="21">
        <f>EXP(-LN(2)/25)*BQ78+(1-EXP(-LN(2)/25))/(LN(2)/25)*Calculateur!BL79*Calculateur!BN79*VLOOKUP('Données projet'!$B$11,Paramètres!$A$1:$I$89,3,0)*0.475*44/12</f>
        <v>1.4992486608039639</v>
      </c>
      <c r="BR79" s="21">
        <f>EXP(-LN(2)/2)*BR78+(1-EXP(-LN(2)/2))/(LN(2)/2)*BL79*BO79*VLOOKUP('Données projet'!$B$11,Paramètres!$A$1:$I$89,3,0)*0.475*44/12</f>
        <v>0.69041332104732911</v>
      </c>
      <c r="BS79" s="22">
        <f t="shared" si="63"/>
        <v>25.312033623987499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780.40000000000055</v>
      </c>
      <c r="BZ79" s="13">
        <f>BY79*VLOOKUP('Données projet'!$B$12,Paramètres!$A$1:$I$89,3,0)*VLOOKUP('Données projet'!$B$12,Paramètres!$A$1:$I$89,5,0)</f>
        <v>344.93680000000023</v>
      </c>
      <c r="CA79" s="13">
        <f t="shared" si="93"/>
        <v>80.51906323691459</v>
      </c>
      <c r="CB79" s="20">
        <f t="shared" si="64"/>
        <v>741.00229513762667</v>
      </c>
      <c r="CC79" s="59">
        <f t="shared" si="65"/>
        <v>1034.33562847096</v>
      </c>
      <c r="CD79" s="59">
        <f ca="1">AVERAGE(OFFSET($CC$3,0,0,'Données projet'!$E$12+1,1))-AVERAGE(OFFSET($H$3,0,0,'Données projet'!$E$12+1,1))</f>
        <v>333.00091572040611</v>
      </c>
      <c r="CE79" s="59">
        <f t="shared" si="94"/>
        <v>267.06874181561398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57.314829313649433</v>
      </c>
      <c r="CL79" s="21">
        <f>EXP(-LN(2)/25)*CL78+(1-EXP(-LN(2)/25))/(LN(2)/25)*Calculateur!CG79*Calculateur!CI79*VLOOKUP('Données projet'!$B$12,Paramètres!$A$1:$I$89,3,0)*0.475*44/12</f>
        <v>25.027707291165736</v>
      </c>
      <c r="CM79" s="21">
        <f>EXP(-LN(2)/2)*CM78+(1-EXP(-LN(2)/2))/(LN(2)/2)*CG79*CJ79*VLOOKUP('Données projet'!$B$12,Paramètres!$A$1:$I$89,3,0)*0.475*44/12</f>
        <v>1.669871671647456</v>
      </c>
      <c r="CN79" s="22">
        <f t="shared" si="66"/>
        <v>84.012408276462622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1">
        <f t="shared" si="86"/>
        <v>16.269186287972673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67">
        <f t="shared" si="56"/>
        <v>419.99706278488549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229</v>
      </c>
      <c r="O80" s="13">
        <f>N80*VLOOKUP('Données projet'!$B$9,Paramètres!$A$1:$I$89,3,0)*VLOOKUP('Données projet'!$B$9,Paramètres!$A$1:$I$89,5,0)</f>
        <v>136.94200000000001</v>
      </c>
      <c r="P80" s="13">
        <f t="shared" si="87"/>
        <v>35.595562742420903</v>
      </c>
      <c r="Q80" s="20">
        <f t="shared" si="54"/>
        <v>300.50292177638306</v>
      </c>
      <c r="R80" s="59">
        <f t="shared" si="55"/>
        <v>593.83625510971638</v>
      </c>
      <c r="S80" s="59">
        <f ca="1">AVERAGE(OFFSET($R$3,0,0,'Données projet'!$E$9+1,1))-AVERAGE(OFFSET($H$3,0,0,'Données projet'!$E$9+1,1))</f>
        <v>125.14227069357082</v>
      </c>
      <c r="T80" s="59">
        <f t="shared" si="88"/>
        <v>193.39407925063165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15.397427094803154</v>
      </c>
      <c r="AA80" s="21">
        <f>EXP(-LN(2)/25)*AA79+(1-EXP(-LN(2)/25))/(LN(2)/25)*Calculateur!V80*Calculateur!X80*VLOOKUP('Données projet'!$B$9,Paramètres!$A$1:$I$89,3,0)*0.475*44/12</f>
        <v>8.1285208059957093</v>
      </c>
      <c r="AB80" s="21">
        <f>EXP(-LN(2)/2)*AB79+(1-EXP(-LN(2)/2))/(LN(2)/2)*V80*Y80*VLOOKUP('Données projet'!$B$9,Paramètres!$A$1:$I$89,3,0)*0.475*44/12</f>
        <v>4.0991546962310778E-3</v>
      </c>
      <c r="AC80" s="22">
        <f t="shared" si="57"/>
        <v>23.530047055495093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-5.999999999994543E-2</v>
      </c>
      <c r="AJ80" s="13">
        <f>AI80*VLOOKUP('Données projet'!$B$10,Paramètres!$A$1:$I$89,3,0)*VLOOKUP('Données projet'!$B$10,Paramètres!$A$1:$I$89,5,0)</f>
        <v>-2.8079999999974462E-2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74.573470247551825</v>
      </c>
      <c r="AO80" s="59">
        <f t="shared" si="90"/>
        <v>122.43655207772224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52.074589643959193</v>
      </c>
      <c r="AV80" s="21">
        <f>EXP(-LN(2)/25)*AV79+(1-EXP(-LN(2)/25))/(LN(2)/25)*Calculateur!AQ80*Calculateur!AS80*VLOOKUP('Données projet'!$B$10,Paramètres!$A$1:$I$89,3,0)*0.475*44/12</f>
        <v>20.707690078151675</v>
      </c>
      <c r="AW80" s="21">
        <f>EXP(-LN(2)/2)*AW79+(1-EXP(-LN(2)/2))/(LN(2)/2)*AQ80*AT80*VLOOKUP('Données projet'!$B$10,Paramètres!$A$1:$I$89,3,0)*0.475*44/12</f>
        <v>0.11986243076569587</v>
      </c>
      <c r="AX80" s="21">
        <f t="shared" si="60"/>
        <v>72.902142152876564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4.5999999999999996</v>
      </c>
      <c r="BD80" s="12">
        <f>IF('Données projet'!$A$88&gt;35,BD79+BC80-BL79,IF(A80&lt;'Données projet'!$A$88,$BA$205^A80,IF(A80='Données projet'!$A$88,'Données projet'!$B$88,BD79+BC80-BL79)))</f>
        <v>178.2</v>
      </c>
      <c r="BE80" s="13">
        <f>BD80*VLOOKUP('Données projet'!$B$11,Paramètres!$A$1:$I$89,3,0)*VLOOKUP('Données projet'!$B$11,Paramètres!$A$1:$I$89,5,0)</f>
        <v>180.69480000000001</v>
      </c>
      <c r="BF80" s="13">
        <f t="shared" si="91"/>
        <v>45.47673168866379</v>
      </c>
      <c r="BG80" s="20">
        <f t="shared" si="61"/>
        <v>393.91541769108943</v>
      </c>
      <c r="BH80" s="59">
        <f t="shared" si="62"/>
        <v>687.24875102442275</v>
      </c>
      <c r="BI80" s="59">
        <f ca="1">AVERAGE(OFFSET($BH$3,0,0,'Données projet'!$E$11+1,1))-AVERAGE(OFFSET($H$3,0,0,'Données projet'!$E$11+1,1))</f>
        <v>183.74583738362492</v>
      </c>
      <c r="BJ80" s="59">
        <f t="shared" si="92"/>
        <v>46.344307013926596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22.668956037488034</v>
      </c>
      <c r="BQ80" s="21">
        <f>EXP(-LN(2)/25)*BQ79+(1-EXP(-LN(2)/25))/(LN(2)/25)*Calculateur!BL80*Calculateur!BN80*VLOOKUP('Données projet'!$B$11,Paramètres!$A$1:$I$89,3,0)*0.475*44/12</f>
        <v>1.458251627332219</v>
      </c>
      <c r="BR80" s="21">
        <f>EXP(-LN(2)/2)*BR79+(1-EXP(-LN(2)/2))/(LN(2)/2)*BL80*BO80*VLOOKUP('Données projet'!$B$11,Paramètres!$A$1:$I$89,3,0)*0.475*44/12</f>
        <v>0.48819594113409137</v>
      </c>
      <c r="BS80" s="22">
        <f t="shared" si="63"/>
        <v>24.615403605954345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787.80000000000052</v>
      </c>
      <c r="BZ80" s="13">
        <f>BY80*VLOOKUP('Données projet'!$B$12,Paramètres!$A$1:$I$89,3,0)*VLOOKUP('Données projet'!$B$12,Paramètres!$A$1:$I$89,5,0)</f>
        <v>348.2076000000003</v>
      </c>
      <c r="CA80" s="13">
        <f t="shared" si="93"/>
        <v>81.193327250223874</v>
      </c>
      <c r="CB80" s="20">
        <f t="shared" si="64"/>
        <v>747.87328162747372</v>
      </c>
      <c r="CC80" s="59">
        <f t="shared" si="65"/>
        <v>1041.206614960807</v>
      </c>
      <c r="CD80" s="59">
        <f ca="1">AVERAGE(OFFSET($CC$3,0,0,'Données projet'!$E$12+1,1))-AVERAGE(OFFSET($H$3,0,0,'Données projet'!$E$12+1,1))</f>
        <v>333.00091572040611</v>
      </c>
      <c r="CE80" s="59">
        <f t="shared" si="94"/>
        <v>267.06874181561398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56.190920469402776</v>
      </c>
      <c r="CL80" s="21">
        <f>EXP(-LN(2)/25)*CL79+(1-EXP(-LN(2)/25))/(LN(2)/25)*Calculateur!CG80*Calculateur!CI80*VLOOKUP('Données projet'!$B$12,Paramètres!$A$1:$I$89,3,0)*0.475*44/12</f>
        <v>24.343323319138886</v>
      </c>
      <c r="CM80" s="21">
        <f>EXP(-LN(2)/2)*CM79+(1-EXP(-LN(2)/2))/(LN(2)/2)*CG80*CJ80*VLOOKUP('Données projet'!$B$12,Paramètres!$A$1:$I$89,3,0)*0.475*44/12</f>
        <v>1.1807775827332321</v>
      </c>
      <c r="CN80" s="22">
        <f t="shared" si="66"/>
        <v>81.715021371274887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1">
        <f t="shared" si="86"/>
        <v>16.455740048444692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67">
        <f t="shared" si="56"/>
        <v>421.5989672510409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229</v>
      </c>
      <c r="O81" s="13">
        <f>N81*VLOOKUP('Données projet'!$B$9,Paramètres!$A$1:$I$89,3,0)*VLOOKUP('Données projet'!$B$9,Paramètres!$A$1:$I$89,5,0)</f>
        <v>136.94200000000001</v>
      </c>
      <c r="P81" s="13">
        <f t="shared" si="87"/>
        <v>35.595562742420903</v>
      </c>
      <c r="Q81" s="20">
        <f t="shared" si="54"/>
        <v>300.50292177638306</v>
      </c>
      <c r="R81" s="59">
        <f t="shared" si="55"/>
        <v>593.83625510971638</v>
      </c>
      <c r="S81" s="59">
        <f ca="1">AVERAGE(OFFSET($R$3,0,0,'Données projet'!$E$9+1,1))-AVERAGE(OFFSET($H$3,0,0,'Données projet'!$E$9+1,1))</f>
        <v>125.14227069357082</v>
      </c>
      <c r="T81" s="59">
        <f t="shared" si="88"/>
        <v>193.39407925063165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15.095492940977259</v>
      </c>
      <c r="AA81" s="21">
        <f>EXP(-LN(2)/25)*AA80+(1-EXP(-LN(2)/25))/(LN(2)/25)*Calculateur!V81*Calculateur!X81*VLOOKUP('Données projet'!$B$9,Paramètres!$A$1:$I$89,3,0)*0.475*44/12</f>
        <v>7.9062459770954252</v>
      </c>
      <c r="AB81" s="21">
        <f>EXP(-LN(2)/2)*AB80+(1-EXP(-LN(2)/2))/(LN(2)/2)*V81*Y81*VLOOKUP('Données projet'!$B$9,Paramètres!$A$1:$I$89,3,0)*0.475*44/12</f>
        <v>2.8985400828376775E-3</v>
      </c>
      <c r="AC81" s="22">
        <f t="shared" si="57"/>
        <v>23.004637458155521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-5.999999999994543E-2</v>
      </c>
      <c r="AJ81" s="13">
        <f>AI81*VLOOKUP('Données projet'!$B$10,Paramètres!$A$1:$I$89,3,0)*VLOOKUP('Données projet'!$B$10,Paramètres!$A$1:$I$89,5,0)</f>
        <v>-2.8079999999974462E-2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74.573470247551825</v>
      </c>
      <c r="AO81" s="59">
        <f t="shared" si="90"/>
        <v>122.43655207772224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51.053438703404566</v>
      </c>
      <c r="AV81" s="21">
        <f>EXP(-LN(2)/25)*AV80+(1-EXP(-LN(2)/25))/(LN(2)/25)*Calculateur!AQ81*Calculateur!AS81*VLOOKUP('Données projet'!$B$10,Paramètres!$A$1:$I$89,3,0)*0.475*44/12</f>
        <v>20.141437203994524</v>
      </c>
      <c r="AW81" s="21">
        <f>EXP(-LN(2)/2)*AW80+(1-EXP(-LN(2)/2))/(LN(2)/2)*AQ81*AT81*VLOOKUP('Données projet'!$B$10,Paramètres!$A$1:$I$89,3,0)*0.475*44/12</f>
        <v>8.4755537603926623E-2</v>
      </c>
      <c r="AX81" s="21">
        <f t="shared" si="60"/>
        <v>71.27963144500302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4.5999999999999996</v>
      </c>
      <c r="BD81" s="12">
        <f>IF('Données projet'!$A$88&gt;35,BD80+BC81-BL80,IF(A81&lt;'Données projet'!$A$88,$BA$205^A81,IF(A81='Données projet'!$A$88,'Données projet'!$B$88,BD80+BC81-BL80)))</f>
        <v>182.79999999999998</v>
      </c>
      <c r="BE81" s="13">
        <f>BD81*VLOOKUP('Données projet'!$B$11,Paramètres!$A$1:$I$89,3,0)*VLOOKUP('Données projet'!$B$11,Paramètres!$A$1:$I$89,5,0)</f>
        <v>185.35919999999999</v>
      </c>
      <c r="BF81" s="13">
        <f t="shared" si="91"/>
        <v>46.512465899126433</v>
      </c>
      <c r="BG81" s="20">
        <f t="shared" si="61"/>
        <v>403.84315144097854</v>
      </c>
      <c r="BH81" s="59">
        <f t="shared" si="62"/>
        <v>697.1764847743118</v>
      </c>
      <c r="BI81" s="59">
        <f ca="1">AVERAGE(OFFSET($BH$3,0,0,'Données projet'!$E$11+1,1))-AVERAGE(OFFSET($H$3,0,0,'Données projet'!$E$11+1,1))</f>
        <v>183.74583738362492</v>
      </c>
      <c r="BJ81" s="59">
        <f t="shared" si="92"/>
        <v>46.344307013926596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22.224431636290802</v>
      </c>
      <c r="BQ81" s="21">
        <f>EXP(-LN(2)/25)*BQ80+(1-EXP(-LN(2)/25))/(LN(2)/25)*Calculateur!BL81*Calculateur!BN81*VLOOKUP('Données projet'!$B$11,Paramètres!$A$1:$I$89,3,0)*0.475*44/12</f>
        <v>1.4183756598966992</v>
      </c>
      <c r="BR81" s="21">
        <f>EXP(-LN(2)/2)*BR80+(1-EXP(-LN(2)/2))/(LN(2)/2)*BL81*BO81*VLOOKUP('Données projet'!$B$11,Paramètres!$A$1:$I$89,3,0)*0.475*44/12</f>
        <v>0.34520666052366461</v>
      </c>
      <c r="BS81" s="22">
        <f t="shared" si="63"/>
        <v>23.988013956711168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795.2000000000005</v>
      </c>
      <c r="BZ81" s="13">
        <f>BY81*VLOOKUP('Données projet'!$B$12,Paramètres!$A$1:$I$89,3,0)*VLOOKUP('Données projet'!$B$12,Paramètres!$A$1:$I$89,5,0)</f>
        <v>351.47840000000025</v>
      </c>
      <c r="CA81" s="13">
        <f t="shared" si="93"/>
        <v>81.866854432246868</v>
      </c>
      <c r="CB81" s="20">
        <f t="shared" si="64"/>
        <v>754.74298480283039</v>
      </c>
      <c r="CC81" s="59">
        <f t="shared" si="65"/>
        <v>1048.0763181361638</v>
      </c>
      <c r="CD81" s="59">
        <f ca="1">AVERAGE(OFFSET($CC$3,0,0,'Données projet'!$E$12+1,1))-AVERAGE(OFFSET($H$3,0,0,'Données projet'!$E$12+1,1))</f>
        <v>333.00091572040611</v>
      </c>
      <c r="CE81" s="59">
        <f t="shared" si="94"/>
        <v>267.06874181561398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55.089050792075092</v>
      </c>
      <c r="CL81" s="21">
        <f>EXP(-LN(2)/25)*CL80+(1-EXP(-LN(2)/25))/(LN(2)/25)*Calculateur!CG81*Calculateur!CI81*VLOOKUP('Données projet'!$B$12,Paramètres!$A$1:$I$89,3,0)*0.475*44/12</f>
        <v>23.677653862817298</v>
      </c>
      <c r="CM81" s="21">
        <f>EXP(-LN(2)/2)*CM80+(1-EXP(-LN(2)/2))/(LN(2)/2)*CG81*CJ81*VLOOKUP('Données projet'!$B$12,Paramètres!$A$1:$I$89,3,0)*0.475*44/12</f>
        <v>0.8349358358237281</v>
      </c>
      <c r="CN81" s="22">
        <f t="shared" si="66"/>
        <v>79.601640490716122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1">
        <f t="shared" si="86"/>
        <v>16.642015612868772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67">
        <f t="shared" si="56"/>
        <v>423.2003871924129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229</v>
      </c>
      <c r="O82" s="13">
        <f>N82*VLOOKUP('Données projet'!$B$9,Paramètres!$A$1:$I$89,3,0)*VLOOKUP('Données projet'!$B$9,Paramètres!$A$1:$I$89,5,0)</f>
        <v>136.94200000000001</v>
      </c>
      <c r="P82" s="13">
        <f t="shared" si="87"/>
        <v>35.595562742420903</v>
      </c>
      <c r="Q82" s="20">
        <f t="shared" si="54"/>
        <v>300.50292177638306</v>
      </c>
      <c r="R82" s="59">
        <f t="shared" si="55"/>
        <v>593.83625510971638</v>
      </c>
      <c r="S82" s="59">
        <f ca="1">AVERAGE(OFFSET($R$3,0,0,'Données projet'!$E$9+1,1))-AVERAGE(OFFSET($H$3,0,0,'Données projet'!$E$9+1,1))</f>
        <v>125.14227069357082</v>
      </c>
      <c r="T82" s="59">
        <f t="shared" si="88"/>
        <v>193.39407925063165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14.79947953174624</v>
      </c>
      <c r="AA82" s="21">
        <f>EXP(-LN(2)/25)*AA81+(1-EXP(-LN(2)/25))/(LN(2)/25)*Calculateur!V82*Calculateur!X82*VLOOKUP('Données projet'!$B$9,Paramètres!$A$1:$I$89,3,0)*0.475*44/12</f>
        <v>7.6900492650803445</v>
      </c>
      <c r="AB82" s="21">
        <f>EXP(-LN(2)/2)*AB81+(1-EXP(-LN(2)/2))/(LN(2)/2)*V82*Y82*VLOOKUP('Données projet'!$B$9,Paramètres!$A$1:$I$89,3,0)*0.475*44/12</f>
        <v>2.0495773481155389E-3</v>
      </c>
      <c r="AC82" s="22">
        <f t="shared" si="57"/>
        <v>22.491578374174701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-5.999999999994543E-2</v>
      </c>
      <c r="AJ82" s="13">
        <f>AI82*VLOOKUP('Données projet'!$B$10,Paramètres!$A$1:$I$89,3,0)*VLOOKUP('Données projet'!$B$10,Paramètres!$A$1:$I$89,5,0)</f>
        <v>-2.8079999999974462E-2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74.573470247551825</v>
      </c>
      <c r="AO82" s="59">
        <f t="shared" si="90"/>
        <v>122.43655207772224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50.052311909953637</v>
      </c>
      <c r="AV82" s="21">
        <f>EXP(-LN(2)/25)*AV81+(1-EXP(-LN(2)/25))/(LN(2)/25)*Calculateur!AQ82*Calculateur!AS82*VLOOKUP('Données projet'!$B$10,Paramètres!$A$1:$I$89,3,0)*0.475*44/12</f>
        <v>19.590668544459145</v>
      </c>
      <c r="AW82" s="21">
        <f>EXP(-LN(2)/2)*AW81+(1-EXP(-LN(2)/2))/(LN(2)/2)*AQ82*AT82*VLOOKUP('Données projet'!$B$10,Paramètres!$A$1:$I$89,3,0)*0.475*44/12</f>
        <v>5.9931215382847944E-2</v>
      </c>
      <c r="AX82" s="21">
        <f t="shared" si="60"/>
        <v>69.702911669795625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4.5999999999999996</v>
      </c>
      <c r="BD82" s="12">
        <f>IF('Données projet'!$A$88&gt;35,BD81+BC82-BL81,IF(A82&lt;'Données projet'!$A$88,$BA$205^A82,IF(A82='Données projet'!$A$88,'Données projet'!$B$88,BD81+BC82-BL81)))</f>
        <v>187.39999999999998</v>
      </c>
      <c r="BE82" s="13">
        <f>BD82*VLOOKUP('Données projet'!$B$11,Paramètres!$A$1:$I$89,3,0)*VLOOKUP('Données projet'!$B$11,Paramètres!$A$1:$I$89,5,0)</f>
        <v>190.02359999999999</v>
      </c>
      <c r="BF82" s="13">
        <f t="shared" si="91"/>
        <v>47.545170438433438</v>
      </c>
      <c r="BG82" s="20">
        <f t="shared" si="61"/>
        <v>413.76560851360483</v>
      </c>
      <c r="BH82" s="59">
        <f t="shared" si="62"/>
        <v>707.09894184693815</v>
      </c>
      <c r="BI82" s="59">
        <f ca="1">AVERAGE(OFFSET($BH$3,0,0,'Données projet'!$E$11+1,1))-AVERAGE(OFFSET($H$3,0,0,'Données projet'!$E$11+1,1))</f>
        <v>183.74583738362492</v>
      </c>
      <c r="BJ82" s="59">
        <f t="shared" si="92"/>
        <v>46.344307013926596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21.788624087467937</v>
      </c>
      <c r="BQ82" s="21">
        <f>EXP(-LN(2)/25)*BQ81+(1-EXP(-LN(2)/25))/(LN(2)/25)*Calculateur!BL82*Calculateur!BN82*VLOOKUP('Données projet'!$B$11,Paramètres!$A$1:$I$89,3,0)*0.475*44/12</f>
        <v>1.3795901028876898</v>
      </c>
      <c r="BR82" s="21">
        <f>EXP(-LN(2)/2)*BR81+(1-EXP(-LN(2)/2))/(LN(2)/2)*BL82*BO82*VLOOKUP('Données projet'!$B$11,Paramètres!$A$1:$I$89,3,0)*0.475*44/12</f>
        <v>0.24409797056704571</v>
      </c>
      <c r="BS82" s="22">
        <f t="shared" si="63"/>
        <v>23.412312160922674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802.60000000000048</v>
      </c>
      <c r="BZ82" s="13">
        <f>BY82*VLOOKUP('Données projet'!$B$12,Paramètres!$A$1:$I$89,3,0)*VLOOKUP('Données projet'!$B$12,Paramètres!$A$1:$I$89,5,0)</f>
        <v>354.74920000000026</v>
      </c>
      <c r="CA82" s="13">
        <f t="shared" si="93"/>
        <v>82.53965243402628</v>
      </c>
      <c r="CB82" s="20">
        <f t="shared" si="64"/>
        <v>761.6114179892628</v>
      </c>
      <c r="CC82" s="59">
        <f t="shared" si="65"/>
        <v>1054.9447513225962</v>
      </c>
      <c r="CD82" s="59">
        <f ca="1">AVERAGE(OFFSET($CC$3,0,0,'Données projet'!$E$12+1,1))-AVERAGE(OFFSET($H$3,0,0,'Données projet'!$E$12+1,1))</f>
        <v>333.00091572040611</v>
      </c>
      <c r="CE82" s="59">
        <f t="shared" si="94"/>
        <v>267.06874181561398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54.00878810704566</v>
      </c>
      <c r="CL82" s="21">
        <f>EXP(-LN(2)/25)*CL81+(1-EXP(-LN(2)/25))/(LN(2)/25)*Calculateur!CG82*Calculateur!CI82*VLOOKUP('Données projet'!$B$12,Paramètres!$A$1:$I$89,3,0)*0.475*44/12</f>
        <v>23.03018717278486</v>
      </c>
      <c r="CM82" s="21">
        <f>EXP(-LN(2)/2)*CM81+(1-EXP(-LN(2)/2))/(LN(2)/2)*CG82*CJ82*VLOOKUP('Données projet'!$B$12,Paramètres!$A$1:$I$89,3,0)*0.475*44/12</f>
        <v>0.59038879136661615</v>
      </c>
      <c r="CN82" s="22">
        <f t="shared" si="66"/>
        <v>77.629364071197145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1">
        <f t="shared" si="86"/>
        <v>16.82801690992903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67">
        <f t="shared" si="56"/>
        <v>424.80132945145942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229</v>
      </c>
      <c r="O83" s="13">
        <f>N83*VLOOKUP('Données projet'!$B$9,Paramètres!$A$1:$I$89,3,0)*VLOOKUP('Données projet'!$B$9,Paramètres!$A$1:$I$89,5,0)</f>
        <v>136.94200000000001</v>
      </c>
      <c r="P83" s="13">
        <f t="shared" si="87"/>
        <v>35.595562742420903</v>
      </c>
      <c r="Q83" s="20">
        <f t="shared" si="54"/>
        <v>300.50292177638306</v>
      </c>
      <c r="R83" s="59">
        <f t="shared" si="55"/>
        <v>593.83625510971638</v>
      </c>
      <c r="S83" s="59">
        <f ca="1">AVERAGE(OFFSET($R$3,0,0,'Données projet'!$E$9+1,1))-AVERAGE(OFFSET($H$3,0,0,'Données projet'!$E$9+1,1))</f>
        <v>125.14227069357082</v>
      </c>
      <c r="T83" s="59">
        <f t="shared" si="88"/>
        <v>193.39407925063165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14.509270764919888</v>
      </c>
      <c r="AA83" s="21">
        <f>EXP(-LN(2)/25)*AA82+(1-EXP(-LN(2)/25))/(LN(2)/25)*Calculateur!V83*Calculateur!X83*VLOOKUP('Données projet'!$B$9,Paramètres!$A$1:$I$89,3,0)*0.475*44/12</f>
        <v>7.4797644635246074</v>
      </c>
      <c r="AB83" s="21">
        <f>EXP(-LN(2)/2)*AB82+(1-EXP(-LN(2)/2))/(LN(2)/2)*V83*Y83*VLOOKUP('Données projet'!$B$9,Paramètres!$A$1:$I$89,3,0)*0.475*44/12</f>
        <v>1.4492700414188387E-3</v>
      </c>
      <c r="AC83" s="22">
        <f t="shared" si="57"/>
        <v>21.990484498485916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-5.999999999994543E-2</v>
      </c>
      <c r="AJ83" s="13">
        <f>AI83*VLOOKUP('Données projet'!$B$10,Paramètres!$A$1:$I$89,3,0)*VLOOKUP('Données projet'!$B$10,Paramètres!$A$1:$I$89,5,0)</f>
        <v>-2.8079999999974462E-2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74.573470247551825</v>
      </c>
      <c r="AO83" s="59">
        <f t="shared" si="90"/>
        <v>122.43655207772224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49.070816602295231</v>
      </c>
      <c r="AV83" s="21">
        <f>EXP(-LN(2)/25)*AV82+(1-EXP(-LN(2)/25))/(LN(2)/25)*Calculateur!AQ83*Calculateur!AS83*VLOOKUP('Données projet'!$B$10,Paramètres!$A$1:$I$89,3,0)*0.475*44/12</f>
        <v>19.054960682882427</v>
      </c>
      <c r="AW83" s="21">
        <f>EXP(-LN(2)/2)*AW82+(1-EXP(-LN(2)/2))/(LN(2)/2)*AQ83*AT83*VLOOKUP('Données projet'!$B$10,Paramètres!$A$1:$I$89,3,0)*0.475*44/12</f>
        <v>4.2377768801963318E-2</v>
      </c>
      <c r="AX83" s="21">
        <f t="shared" si="60"/>
        <v>68.168155053979632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192</v>
      </c>
      <c r="BB83" s="12">
        <f>VLOOKUP(A83,'Données projet'!$A$87:$I$107,9,0)</f>
        <v>4.5999999999999996</v>
      </c>
      <c r="BC83" s="12">
        <f t="array" ref="BC83">INDEX(BB:BB,MIN(IF(ISNUMBER(BB83:BB279),ROW(BB83:BB279),"")))</f>
        <v>4.5999999999999996</v>
      </c>
      <c r="BD83" s="12">
        <f>IF('Données projet'!$A$88&gt;35,BD82+BC83-BL82,IF(A83&lt;'Données projet'!$A$88,$BA$205^A83,IF(A83='Données projet'!$A$88,'Données projet'!$B$88,BD82+BC83-BL82)))</f>
        <v>191.99999999999997</v>
      </c>
      <c r="BE83" s="13">
        <f>BD83*VLOOKUP('Données projet'!$B$11,Paramètres!$A$1:$I$89,3,0)*VLOOKUP('Données projet'!$B$11,Paramètres!$A$1:$I$89,5,0)</f>
        <v>194.68799999999999</v>
      </c>
      <c r="BF83" s="13">
        <f t="shared" si="91"/>
        <v>48.574928228914978</v>
      </c>
      <c r="BG83" s="20">
        <f t="shared" si="61"/>
        <v>423.68293333202695</v>
      </c>
      <c r="BH83" s="59">
        <f t="shared" si="62"/>
        <v>717.01626666536026</v>
      </c>
      <c r="BI83" s="59">
        <f ca="1">AVERAGE(OFFSET($BH$3,0,0,'Données projet'!$E$11+1,1))-AVERAGE(OFFSET($H$3,0,0,'Données projet'!$E$11+1,1))</f>
        <v>183.74583738362492</v>
      </c>
      <c r="BJ83" s="59">
        <f t="shared" si="92"/>
        <v>46.344307013926596</v>
      </c>
      <c r="BK83" s="15">
        <f>IF(ISNA(VLOOKUP(A83,'Données projet'!$A$87:$I$107,3,0)),0,VLOOKUP(A83,'Données projet'!$A$87:$I$107,3,0))</f>
        <v>10</v>
      </c>
      <c r="BL83" s="21">
        <f>IF(ISNA(VLOOKUP(A83,'Données projet'!$A$87:$I$107,4,0)),0,VLOOKUP(A83,'Données projet'!$A$87:$I$107,4,0))</f>
        <v>14</v>
      </c>
      <c r="BM83" s="16">
        <f>IF(ISNA(VLOOKUP(A83,'Données projet'!$A$87:$I$107,5,0)),0%,VLOOKUP(A83,'Données projet'!$A$87:$I$107,5,0)*VLOOKUP('Données projet'!$B$11,Paramètres!$A$1:$I$89,7,0))</f>
        <v>0.34400000000000003</v>
      </c>
      <c r="BN83" s="16">
        <f>IF(ISNA(VLOOKUP(A83,'Données projet'!$A$87:$I$107,6,0)),0%,VLOOKUP(A83,'Données projet'!$A$87:$I$107,6,0)*VLOOKUP('Données projet'!$B$11,Paramètres!$A$1:$I$89,7,0))</f>
        <v>1.72E-2</v>
      </c>
      <c r="BO83" s="16">
        <f>IF(ISNA(VLOOKUP(A83,'Données projet'!$A$87:$I$107,7,0)),0%,VLOOKUP(A83,'Données projet'!$A$87:$I$107,7,0))</f>
        <v>0.06</v>
      </c>
      <c r="BP83" s="21">
        <f>EXP(-LN(2)/35)*BP82+(1-EXP(-LN(2)/35))/(LN(2)/35)*BL83*BM83*VLOOKUP('Données projet'!$B$11,Paramètres!$A$1:$I$89,3,0)*0.475*44/12</f>
        <v>26.759843041561449</v>
      </c>
      <c r="BQ83" s="21">
        <f>EXP(-LN(2)/25)*BQ82+(1-EXP(-LN(2)/25))/(LN(2)/25)*Calculateur!BL83*Calculateur!BN83*VLOOKUP('Données projet'!$B$11,Paramètres!$A$1:$I$89,3,0)*0.475*44/12</f>
        <v>1.6107263743579285</v>
      </c>
      <c r="BR83" s="21">
        <f>EXP(-LN(2)/2)*BR82+(1-EXP(-LN(2)/2))/(LN(2)/2)*BL83*BO83*VLOOKUP('Données projet'!$B$11,Paramètres!$A$1:$I$89,3,0)*0.475*44/12</f>
        <v>0.97626181504611775</v>
      </c>
      <c r="BS83" s="22">
        <f t="shared" si="63"/>
        <v>29.346831230965496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810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810.00000000000045</v>
      </c>
      <c r="BZ83" s="13">
        <f>BY83*VLOOKUP('Données projet'!$B$12,Paramètres!$A$1:$I$89,3,0)*VLOOKUP('Données projet'!$B$12,Paramètres!$A$1:$I$89,5,0)</f>
        <v>358.02000000000021</v>
      </c>
      <c r="CA83" s="13">
        <f t="shared" si="93"/>
        <v>83.21172875738182</v>
      </c>
      <c r="CB83" s="20">
        <f t="shared" si="64"/>
        <v>768.47859425244042</v>
      </c>
      <c r="CC83" s="59">
        <f t="shared" si="65"/>
        <v>1061.8119275857737</v>
      </c>
      <c r="CD83" s="59">
        <f ca="1">AVERAGE(OFFSET($CC$3,0,0,'Données projet'!$E$12+1,1))-AVERAGE(OFFSET($H$3,0,0,'Données projet'!$E$12+1,1))</f>
        <v>333.00091572040611</v>
      </c>
      <c r="CE83" s="59">
        <f t="shared" si="94"/>
        <v>267.06874181561398</v>
      </c>
      <c r="CF83" s="15">
        <f>IF(ISNA(VLOOKUP(A83,'Données projet'!$A$113:$I$133,3,0)),0,VLOOKUP(A83,'Données projet'!$A$113:$I$133,3,0))</f>
        <v>13</v>
      </c>
      <c r="CG83" s="15">
        <f>IF(ISNA(VLOOKUP(A83,'Données projet'!$A$113:$I$133,4,0)),0,VLOOKUP(A83,'Données projet'!$A$113:$I$133,4,0))</f>
        <v>21</v>
      </c>
      <c r="CH83" s="16">
        <f>IF(ISNA(VLOOKUP(A83,'Données projet'!$A$113:$I$133,5,0)),0%,VLOOKUP(A83,'Données projet'!$A$113:$I$133,5,0)*VLOOKUP('Données projet'!$B$12,Paramètres!$A$1:$I$89,7,0))</f>
        <v>0.38500000000000001</v>
      </c>
      <c r="CI83" s="16">
        <f>IF(ISNA(VLOOKUP(A83,'Données projet'!$A$113:$I$133,6,0)),0%,VLOOKUP(A83,'Données projet'!$A$113:$I$133,6,0)*VLOOKUP('Données projet'!$B$12,Paramètres!$A$1:$I$89,7,0))</f>
        <v>0.13750000000000001</v>
      </c>
      <c r="CJ83" s="16">
        <f>IF(ISNA(VLOOKUP(A83,'Données projet'!$A$113:$I$133,7,0)),0%,VLOOKUP(A83,'Données projet'!$A$113:$I$133,7,0))</f>
        <v>0.15</v>
      </c>
      <c r="CK83" s="21">
        <f>EXP(-LN(2)/35)*CK82+(1-EXP(-LN(2)/35))/(LN(2)/35)*CG83*CH83*VLOOKUP('Données projet'!$B$12,Paramètres!$A$1:$I$89,3,0)*0.475*44/12</f>
        <v>57.690279655399557</v>
      </c>
      <c r="CL83" s="21">
        <f>EXP(-LN(2)/25)*CL82+(1-EXP(-LN(2)/25))/(LN(2)/25)*Calculateur!CG83*Calculateur!CI83*VLOOKUP('Données projet'!$B$12,Paramètres!$A$1:$I$89,3,0)*0.475*44/12</f>
        <v>24.08682031734412</v>
      </c>
      <c r="CM83" s="21">
        <f>EXP(-LN(2)/2)*CM82+(1-EXP(-LN(2)/2))/(LN(2)/2)*CG83*CJ83*VLOOKUP('Données projet'!$B$12,Paramètres!$A$1:$I$89,3,0)*0.475*44/12</f>
        <v>1.9938749457579625</v>
      </c>
      <c r="CN83" s="22">
        <f t="shared" si="66"/>
        <v>83.770974918501651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1">
        <f t="shared" si="86"/>
        <v>17.013747764443796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67">
        <f t="shared" si="56"/>
        <v>426.40180068973939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229</v>
      </c>
      <c r="O84" s="13">
        <f>N84*VLOOKUP('Données projet'!$B$9,Paramètres!$A$1:$I$89,3,0)*VLOOKUP('Données projet'!$B$9,Paramètres!$A$1:$I$89,5,0)</f>
        <v>136.94200000000001</v>
      </c>
      <c r="P84" s="13">
        <f t="shared" si="87"/>
        <v>35.595562742420903</v>
      </c>
      <c r="Q84" s="20">
        <f t="shared" si="54"/>
        <v>300.50292177638306</v>
      </c>
      <c r="R84" s="59">
        <f t="shared" si="55"/>
        <v>593.83625510971638</v>
      </c>
      <c r="S84" s="59">
        <f ca="1">AVERAGE(OFFSET($R$3,0,0,'Données projet'!$E$9+1,1))-AVERAGE(OFFSET($H$3,0,0,'Données projet'!$E$9+1,1))</f>
        <v>125.14227069357082</v>
      </c>
      <c r="T84" s="59">
        <f t="shared" si="88"/>
        <v>193.39407925063165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14.224752815001132</v>
      </c>
      <c r="AA84" s="21">
        <f>EXP(-LN(2)/25)*AA83+(1-EXP(-LN(2)/25))/(LN(2)/25)*Calculateur!V84*Calculateur!X84*VLOOKUP('Données projet'!$B$9,Paramètres!$A$1:$I$89,3,0)*0.475*44/12</f>
        <v>7.275229910925809</v>
      </c>
      <c r="AB84" s="21">
        <f>EXP(-LN(2)/2)*AB83+(1-EXP(-LN(2)/2))/(LN(2)/2)*V84*Y84*VLOOKUP('Données projet'!$B$9,Paramètres!$A$1:$I$89,3,0)*0.475*44/12</f>
        <v>1.0247886740577695E-3</v>
      </c>
      <c r="AC84" s="22">
        <f t="shared" si="57"/>
        <v>21.501007514601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-5.999999999994543E-2</v>
      </c>
      <c r="AJ84" s="13">
        <f>AI84*VLOOKUP('Données projet'!$B$10,Paramètres!$A$1:$I$89,3,0)*VLOOKUP('Données projet'!$B$10,Paramètres!$A$1:$I$89,5,0)</f>
        <v>-2.8079999999974462E-2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74.573470247551825</v>
      </c>
      <c r="AO84" s="59">
        <f t="shared" si="90"/>
        <v>122.43655207772224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48.108567818966982</v>
      </c>
      <c r="AV84" s="21">
        <f>EXP(-LN(2)/25)*AV83+(1-EXP(-LN(2)/25))/(LN(2)/25)*Calculateur!AQ84*Calculateur!AS84*VLOOKUP('Données projet'!$B$10,Paramètres!$A$1:$I$89,3,0)*0.475*44/12</f>
        <v>18.533901780952174</v>
      </c>
      <c r="AW84" s="21">
        <f>EXP(-LN(2)/2)*AW83+(1-EXP(-LN(2)/2))/(LN(2)/2)*AQ84*AT84*VLOOKUP('Données projet'!$B$10,Paramètres!$A$1:$I$89,3,0)*0.475*44/12</f>
        <v>2.9965607691423979E-2</v>
      </c>
      <c r="AX84" s="21">
        <f t="shared" si="60"/>
        <v>66.672435207610576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4.4000000000000004</v>
      </c>
      <c r="BD84" s="12">
        <f>IF('Données projet'!$A$88&gt;35,BD83+BC84-BL83,IF(A84&lt;'Données projet'!$A$88,$BA$205^A84,IF(A84='Données projet'!$A$88,'Données projet'!$B$88,BD83+BC84-BL83)))</f>
        <v>182.39999999999998</v>
      </c>
      <c r="BE84" s="13">
        <f>BD84*VLOOKUP('Données projet'!$B$11,Paramètres!$A$1:$I$89,3,0)*VLOOKUP('Données projet'!$B$11,Paramètres!$A$1:$I$89,5,0)</f>
        <v>184.95359999999999</v>
      </c>
      <c r="BF84" s="13">
        <f t="shared" si="91"/>
        <v>46.42252355095799</v>
      </c>
      <c r="BG84" s="20">
        <f t="shared" si="61"/>
        <v>402.98008185125178</v>
      </c>
      <c r="BH84" s="59">
        <f t="shared" si="62"/>
        <v>696.3134151845851</v>
      </c>
      <c r="BI84" s="59">
        <f ca="1">AVERAGE(OFFSET($BH$3,0,0,'Données projet'!$E$11+1,1))-AVERAGE(OFFSET($H$3,0,0,'Données projet'!$E$11+1,1))</f>
        <v>183.74583738362492</v>
      </c>
      <c r="BJ84" s="59">
        <f t="shared" si="92"/>
        <v>46.344307013926596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26.23509884140903</v>
      </c>
      <c r="BQ84" s="21">
        <f>EXP(-LN(2)/25)*BQ83+(1-EXP(-LN(2)/25))/(LN(2)/25)*Calculateur!BL84*Calculateur!BN84*VLOOKUP('Données projet'!$B$11,Paramètres!$A$1:$I$89,3,0)*0.475*44/12</f>
        <v>1.5666809769466923</v>
      </c>
      <c r="BR84" s="21">
        <f>EXP(-LN(2)/2)*BR83+(1-EXP(-LN(2)/2))/(LN(2)/2)*BL84*BO84*VLOOKUP('Données projet'!$B$11,Paramètres!$A$1:$I$89,3,0)*0.475*44/12</f>
        <v>0.69032134963259695</v>
      </c>
      <c r="BS84" s="22">
        <f t="shared" si="63"/>
        <v>28.49210116798832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789.00000000000045</v>
      </c>
      <c r="BZ84" s="13">
        <f>BY84*VLOOKUP('Données projet'!$B$12,Paramètres!$A$1:$I$89,3,0)*VLOOKUP('Données projet'!$B$12,Paramètres!$A$1:$I$89,5,0)</f>
        <v>348.73800000000023</v>
      </c>
      <c r="CA84" s="13">
        <f t="shared" si="93"/>
        <v>81.302597726165047</v>
      </c>
      <c r="CB84" s="20">
        <f t="shared" si="64"/>
        <v>748.98737437307125</v>
      </c>
      <c r="CC84" s="59">
        <f t="shared" si="65"/>
        <v>1042.3207077064046</v>
      </c>
      <c r="CD84" s="59">
        <f ca="1">AVERAGE(OFFSET($CC$3,0,0,'Données projet'!$E$12+1,1))-AVERAGE(OFFSET($H$3,0,0,'Données projet'!$E$12+1,1))</f>
        <v>333.00091572040611</v>
      </c>
      <c r="CE84" s="59">
        <f t="shared" si="94"/>
        <v>267.06874181561398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56.559008458953272</v>
      </c>
      <c r="CL84" s="21">
        <f>EXP(-LN(2)/25)*CL83+(1-EXP(-LN(2)/25))/(LN(2)/25)*Calculateur!CG84*Calculateur!CI84*VLOOKUP('Données projet'!$B$12,Paramètres!$A$1:$I$89,3,0)*0.475*44/12</f>
        <v>23.428164949095517</v>
      </c>
      <c r="CM84" s="21">
        <f>EXP(-LN(2)/2)*CM83+(1-EXP(-LN(2)/2))/(LN(2)/2)*CG84*CJ84*VLOOKUP('Données projet'!$B$12,Paramètres!$A$1:$I$89,3,0)*0.475*44/12</f>
        <v>1.409882494983415</v>
      </c>
      <c r="CN84" s="22">
        <f t="shared" si="66"/>
        <v>81.397055903032211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1">
        <f t="shared" si="86"/>
        <v>17.199211901359213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67">
        <f t="shared" si="56"/>
        <v>428.001807394867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229</v>
      </c>
      <c r="O85" s="13">
        <f>N85*VLOOKUP('Données projet'!$B$9,Paramètres!$A$1:$I$89,3,0)*VLOOKUP('Données projet'!$B$9,Paramètres!$A$1:$I$89,5,0)</f>
        <v>136.94200000000001</v>
      </c>
      <c r="P85" s="13">
        <f t="shared" si="87"/>
        <v>35.595562742420903</v>
      </c>
      <c r="Q85" s="20">
        <f t="shared" si="54"/>
        <v>300.50292177638306</v>
      </c>
      <c r="R85" s="59">
        <f t="shared" si="55"/>
        <v>593.83625510971638</v>
      </c>
      <c r="S85" s="59">
        <f ca="1">AVERAGE(OFFSET($R$3,0,0,'Données projet'!$E$9+1,1))-AVERAGE(OFFSET($H$3,0,0,'Données projet'!$E$9+1,1))</f>
        <v>125.14227069357082</v>
      </c>
      <c r="T85" s="59">
        <f t="shared" si="88"/>
        <v>193.39407925063165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13.94581408854147</v>
      </c>
      <c r="AA85" s="21">
        <f>EXP(-LN(2)/25)*AA84+(1-EXP(-LN(2)/25))/(LN(2)/25)*Calculateur!V85*Calculateur!X85*VLOOKUP('Données projet'!$B$9,Paramètres!$A$1:$I$89,3,0)*0.475*44/12</f>
        <v>7.0762883664238299</v>
      </c>
      <c r="AB85" s="21">
        <f>EXP(-LN(2)/2)*AB84+(1-EXP(-LN(2)/2))/(LN(2)/2)*V85*Y85*VLOOKUP('Données projet'!$B$9,Paramètres!$A$1:$I$89,3,0)*0.475*44/12</f>
        <v>7.2463502070941937E-4</v>
      </c>
      <c r="AC85" s="22">
        <f t="shared" si="57"/>
        <v>21.022827089986009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-5.999999999994543E-2</v>
      </c>
      <c r="AJ85" s="13">
        <f>AI85*VLOOKUP('Données projet'!$B$10,Paramètres!$A$1:$I$89,3,0)*VLOOKUP('Données projet'!$B$10,Paramètres!$A$1:$I$89,5,0)</f>
        <v>-2.8079999999974462E-2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74.573470247551825</v>
      </c>
      <c r="AO85" s="59">
        <f t="shared" si="90"/>
        <v>122.43655207772224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47.165188147365996</v>
      </c>
      <c r="AV85" s="21">
        <f>EXP(-LN(2)/25)*AV84+(1-EXP(-LN(2)/25))/(LN(2)/25)*Calculateur!AQ85*Calculateur!AS85*VLOOKUP('Données projet'!$B$10,Paramètres!$A$1:$I$89,3,0)*0.475*44/12</f>
        <v>18.027091262096501</v>
      </c>
      <c r="AW85" s="21">
        <f>EXP(-LN(2)/2)*AW84+(1-EXP(-LN(2)/2))/(LN(2)/2)*AQ85*AT85*VLOOKUP('Données projet'!$B$10,Paramètres!$A$1:$I$89,3,0)*0.475*44/12</f>
        <v>2.1188884400981663E-2</v>
      </c>
      <c r="AX85" s="21">
        <f t="shared" si="60"/>
        <v>65.213468293863485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4.4000000000000004</v>
      </c>
      <c r="BD85" s="12">
        <f>IF('Données projet'!$A$88&gt;35,BD84+BC85-BL84,IF(A85&lt;'Données projet'!$A$88,$BA$205^A85,IF(A85='Données projet'!$A$88,'Données projet'!$B$88,BD84+BC85-BL84)))</f>
        <v>186.79999999999998</v>
      </c>
      <c r="BE85" s="13">
        <f>BD85*VLOOKUP('Données projet'!$B$11,Paramètres!$A$1:$I$89,3,0)*VLOOKUP('Données projet'!$B$11,Paramètres!$A$1:$I$89,5,0)</f>
        <v>189.4152</v>
      </c>
      <c r="BF85" s="13">
        <f t="shared" si="91"/>
        <v>47.410638687430918</v>
      </c>
      <c r="BG85" s="20">
        <f t="shared" si="61"/>
        <v>412.4716690472755</v>
      </c>
      <c r="BH85" s="59">
        <f t="shared" si="62"/>
        <v>705.80500238060881</v>
      </c>
      <c r="BI85" s="59">
        <f ca="1">AVERAGE(OFFSET($BH$3,0,0,'Données projet'!$E$11+1,1))-AVERAGE(OFFSET($H$3,0,0,'Données projet'!$E$11+1,1))</f>
        <v>183.74583738362492</v>
      </c>
      <c r="BJ85" s="59">
        <f t="shared" si="92"/>
        <v>46.344307013926596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25.720644554959243</v>
      </c>
      <c r="BQ85" s="21">
        <f>EXP(-LN(2)/25)*BQ84+(1-EXP(-LN(2)/25))/(LN(2)/25)*Calculateur!BL85*Calculateur!BN85*VLOOKUP('Données projet'!$B$11,Paramètres!$A$1:$I$89,3,0)*0.475*44/12</f>
        <v>1.523840003243913</v>
      </c>
      <c r="BR85" s="21">
        <f>EXP(-LN(2)/2)*BR84+(1-EXP(-LN(2)/2))/(LN(2)/2)*BL85*BO85*VLOOKUP('Données projet'!$B$11,Paramètres!$A$1:$I$89,3,0)*0.475*44/12</f>
        <v>0.48813090752305893</v>
      </c>
      <c r="BS85" s="22">
        <f t="shared" si="63"/>
        <v>27.732615465726212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789.00000000000045</v>
      </c>
      <c r="BZ85" s="13">
        <f>BY85*VLOOKUP('Données projet'!$B$12,Paramètres!$A$1:$I$89,3,0)*VLOOKUP('Données projet'!$B$12,Paramètres!$A$1:$I$89,5,0)</f>
        <v>348.73800000000023</v>
      </c>
      <c r="CA85" s="13">
        <f t="shared" si="93"/>
        <v>81.302597726165047</v>
      </c>
      <c r="CB85" s="20">
        <f t="shared" si="64"/>
        <v>748.98737437307125</v>
      </c>
      <c r="CC85" s="59">
        <f t="shared" si="65"/>
        <v>1042.3207077064046</v>
      </c>
      <c r="CD85" s="59">
        <f ca="1">AVERAGE(OFFSET($CC$3,0,0,'Données projet'!$E$12+1,1))-AVERAGE(OFFSET($H$3,0,0,'Données projet'!$E$12+1,1))</f>
        <v>333.00091572040611</v>
      </c>
      <c r="CE85" s="59">
        <f t="shared" si="94"/>
        <v>267.06874181561398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55.449920800662007</v>
      </c>
      <c r="CL85" s="21">
        <f>EXP(-LN(2)/25)*CL84+(1-EXP(-LN(2)/25))/(LN(2)/25)*Calculateur!CG85*Calculateur!CI85*VLOOKUP('Données projet'!$B$12,Paramètres!$A$1:$I$89,3,0)*0.475*44/12</f>
        <v>22.787520546528853</v>
      </c>
      <c r="CM85" s="21">
        <f>EXP(-LN(2)/2)*CM84+(1-EXP(-LN(2)/2))/(LN(2)/2)*CG85*CJ85*VLOOKUP('Données projet'!$B$12,Paramètres!$A$1:$I$89,3,0)*0.475*44/12</f>
        <v>0.99693747287898138</v>
      </c>
      <c r="CN85" s="22">
        <f t="shared" si="66"/>
        <v>79.23437882006985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1">
        <f t="shared" si="86"/>
        <v>17.384412949542618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67">
        <f t="shared" si="56"/>
        <v>429.60135588711978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229</v>
      </c>
      <c r="O86" s="13">
        <f>N86*VLOOKUP('Données projet'!$B$9,Paramètres!$A$1:$I$89,3,0)*VLOOKUP('Données projet'!$B$9,Paramètres!$A$1:$I$89,5,0)</f>
        <v>136.94200000000001</v>
      </c>
      <c r="P86" s="13">
        <f t="shared" si="87"/>
        <v>35.595562742420903</v>
      </c>
      <c r="Q86" s="20">
        <f t="shared" si="54"/>
        <v>300.50292177638306</v>
      </c>
      <c r="R86" s="59">
        <f t="shared" si="55"/>
        <v>593.83625510971638</v>
      </c>
      <c r="S86" s="59">
        <f ca="1">AVERAGE(OFFSET($R$3,0,0,'Données projet'!$E$9+1,1))-AVERAGE(OFFSET($H$3,0,0,'Données projet'!$E$9+1,1))</f>
        <v>125.14227069357082</v>
      </c>
      <c r="T86" s="59">
        <f t="shared" si="88"/>
        <v>193.39407925063165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13.672345180371858</v>
      </c>
      <c r="AA86" s="21">
        <f>EXP(-LN(2)/25)*AA85+(1-EXP(-LN(2)/25))/(LN(2)/25)*Calculateur!V86*Calculateur!X86*VLOOKUP('Données projet'!$B$9,Paramètres!$A$1:$I$89,3,0)*0.475*44/12</f>
        <v>6.8827868889181385</v>
      </c>
      <c r="AB86" s="21">
        <f>EXP(-LN(2)/2)*AB85+(1-EXP(-LN(2)/2))/(LN(2)/2)*V86*Y86*VLOOKUP('Données projet'!$B$9,Paramètres!$A$1:$I$89,3,0)*0.475*44/12</f>
        <v>5.1239433702888473E-4</v>
      </c>
      <c r="AC86" s="22">
        <f t="shared" si="57"/>
        <v>20.555644463627026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-5.999999999994543E-2</v>
      </c>
      <c r="AJ86" s="13">
        <f>AI86*VLOOKUP('Données projet'!$B$10,Paramètres!$A$1:$I$89,3,0)*VLOOKUP('Données projet'!$B$10,Paramètres!$A$1:$I$89,5,0)</f>
        <v>-2.8079999999974462E-2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74.573470247551825</v>
      </c>
      <c r="AO86" s="59">
        <f t="shared" si="90"/>
        <v>122.43655207772224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46.240307575720323</v>
      </c>
      <c r="AV86" s="21">
        <f>EXP(-LN(2)/25)*AV85+(1-EXP(-LN(2)/25))/(LN(2)/25)*Calculateur!AQ86*Calculateur!AS86*VLOOKUP('Données projet'!$B$10,Paramètres!$A$1:$I$89,3,0)*0.475*44/12</f>
        <v>17.534139503530945</v>
      </c>
      <c r="AW86" s="21">
        <f>EXP(-LN(2)/2)*AW85+(1-EXP(-LN(2)/2))/(LN(2)/2)*AQ86*AT86*VLOOKUP('Données projet'!$B$10,Paramètres!$A$1:$I$89,3,0)*0.475*44/12</f>
        <v>1.4982803845711991E-2</v>
      </c>
      <c r="AX86" s="21">
        <f t="shared" si="60"/>
        <v>63.789429883096979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4.4000000000000004</v>
      </c>
      <c r="BD86" s="12">
        <f>IF('Données projet'!$A$88&gt;35,BD85+BC86-BL85,IF(A86&lt;'Données projet'!$A$88,$BA$205^A86,IF(A86='Données projet'!$A$88,'Données projet'!$B$88,BD85+BC86-BL85)))</f>
        <v>191.2</v>
      </c>
      <c r="BE86" s="13">
        <f>BD86*VLOOKUP('Données projet'!$B$11,Paramètres!$A$1:$I$89,3,0)*VLOOKUP('Données projet'!$B$11,Paramètres!$A$1:$I$89,5,0)</f>
        <v>193.8768</v>
      </c>
      <c r="BF86" s="13">
        <f t="shared" si="91"/>
        <v>48.396048099527611</v>
      </c>
      <c r="BG86" s="20">
        <f t="shared" si="61"/>
        <v>421.95854377334393</v>
      </c>
      <c r="BH86" s="59">
        <f t="shared" si="62"/>
        <v>715.29187710667725</v>
      </c>
      <c r="BI86" s="59">
        <f ca="1">AVERAGE(OFFSET($BH$3,0,0,'Données projet'!$E$11+1,1))-AVERAGE(OFFSET($H$3,0,0,'Données projet'!$E$11+1,1))</f>
        <v>183.74583738362492</v>
      </c>
      <c r="BJ86" s="59">
        <f t="shared" si="92"/>
        <v>46.344307013926596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25.216278403280604</v>
      </c>
      <c r="BQ86" s="21">
        <f>EXP(-LN(2)/25)*BQ85+(1-EXP(-LN(2)/25))/(LN(2)/25)*Calculateur!BL86*Calculateur!BN86*VLOOKUP('Données projet'!$B$11,Paramètres!$A$1:$I$89,3,0)*0.475*44/12</f>
        <v>1.4821705182199452</v>
      </c>
      <c r="BR86" s="21">
        <f>EXP(-LN(2)/2)*BR85+(1-EXP(-LN(2)/2))/(LN(2)/2)*BL86*BO86*VLOOKUP('Données projet'!$B$11,Paramètres!$A$1:$I$89,3,0)*0.475*44/12</f>
        <v>0.34516067481629853</v>
      </c>
      <c r="BS86" s="22">
        <f t="shared" si="63"/>
        <v>27.043609596316848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789.00000000000045</v>
      </c>
      <c r="BZ86" s="13">
        <f>BY86*VLOOKUP('Données projet'!$B$12,Paramètres!$A$1:$I$89,3,0)*VLOOKUP('Données projet'!$B$12,Paramètres!$A$1:$I$89,5,0)</f>
        <v>348.73800000000023</v>
      </c>
      <c r="CA86" s="13">
        <f t="shared" si="93"/>
        <v>81.302597726165047</v>
      </c>
      <c r="CB86" s="20">
        <f t="shared" si="64"/>
        <v>748.98737437307125</v>
      </c>
      <c r="CC86" s="59">
        <f t="shared" si="65"/>
        <v>1042.3207077064046</v>
      </c>
      <c r="CD86" s="59">
        <f ca="1">AVERAGE(OFFSET($CC$3,0,0,'Données projet'!$E$12+1,1))-AVERAGE(OFFSET($H$3,0,0,'Données projet'!$E$12+1,1))</f>
        <v>333.00091572040611</v>
      </c>
      <c r="CE86" s="59">
        <f t="shared" si="94"/>
        <v>267.06874181561398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54.362581674873155</v>
      </c>
      <c r="CL86" s="21">
        <f>EXP(-LN(2)/25)*CL85+(1-EXP(-LN(2)/25))/(LN(2)/25)*Calculateur!CG86*Calculateur!CI86*VLOOKUP('Données projet'!$B$12,Paramètres!$A$1:$I$89,3,0)*0.475*44/12</f>
        <v>22.164394598840399</v>
      </c>
      <c r="CM86" s="21">
        <f>EXP(-LN(2)/2)*CM85+(1-EXP(-LN(2)/2))/(LN(2)/2)*CG86*CJ86*VLOOKUP('Données projet'!$B$12,Paramètres!$A$1:$I$89,3,0)*0.475*44/12</f>
        <v>0.70494124749170761</v>
      </c>
      <c r="CN86" s="22">
        <f t="shared" si="66"/>
        <v>77.231917521205261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1">
        <f t="shared" si="86"/>
        <v>17.569354445387791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67">
        <f t="shared" si="56"/>
        <v>431.20045232571681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229</v>
      </c>
      <c r="O87" s="13">
        <f>N87*VLOOKUP('Données projet'!$B$9,Paramètres!$A$1:$I$89,3,0)*VLOOKUP('Données projet'!$B$9,Paramètres!$A$1:$I$89,5,0)</f>
        <v>136.94200000000001</v>
      </c>
      <c r="P87" s="13">
        <f t="shared" si="87"/>
        <v>35.595562742420903</v>
      </c>
      <c r="Q87" s="20">
        <f t="shared" si="54"/>
        <v>300.50292177638306</v>
      </c>
      <c r="R87" s="59">
        <f t="shared" si="55"/>
        <v>593.83625510971638</v>
      </c>
      <c r="S87" s="59">
        <f ca="1">AVERAGE(OFFSET($R$3,0,0,'Données projet'!$E$9+1,1))-AVERAGE(OFFSET($H$3,0,0,'Données projet'!$E$9+1,1))</f>
        <v>125.14227069357082</v>
      </c>
      <c r="T87" s="59">
        <f t="shared" si="88"/>
        <v>193.39407925063165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13.404238830691888</v>
      </c>
      <c r="AA87" s="21">
        <f>EXP(-LN(2)/25)*AA86+(1-EXP(-LN(2)/25))/(LN(2)/25)*Calculateur!V87*Calculateur!X87*VLOOKUP('Données projet'!$B$9,Paramètres!$A$1:$I$89,3,0)*0.475*44/12</f>
        <v>6.69457671949064</v>
      </c>
      <c r="AB87" s="21">
        <f>EXP(-LN(2)/2)*AB86+(1-EXP(-LN(2)/2))/(LN(2)/2)*V87*Y87*VLOOKUP('Données projet'!$B$9,Paramètres!$A$1:$I$89,3,0)*0.475*44/12</f>
        <v>3.6231751035470969E-4</v>
      </c>
      <c r="AC87" s="22">
        <f t="shared" si="57"/>
        <v>20.099177867692884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-5.999999999994543E-2</v>
      </c>
      <c r="AJ87" s="13">
        <f>AI87*VLOOKUP('Données projet'!$B$10,Paramètres!$A$1:$I$89,3,0)*VLOOKUP('Données projet'!$B$10,Paramètres!$A$1:$I$89,5,0)</f>
        <v>-2.8079999999974462E-2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74.573470247551825</v>
      </c>
      <c r="AO87" s="59">
        <f t="shared" si="90"/>
        <v>122.43655207772224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45.333563347963171</v>
      </c>
      <c r="AV87" s="21">
        <f>EXP(-LN(2)/25)*AV86+(1-EXP(-LN(2)/25))/(LN(2)/25)*Calculateur!AQ87*Calculateur!AS87*VLOOKUP('Données projet'!$B$10,Paramètres!$A$1:$I$89,3,0)*0.475*44/12</f>
        <v>17.054667536726569</v>
      </c>
      <c r="AW87" s="21">
        <f>EXP(-LN(2)/2)*AW86+(1-EXP(-LN(2)/2))/(LN(2)/2)*AQ87*AT87*VLOOKUP('Données projet'!$B$10,Paramètres!$A$1:$I$89,3,0)*0.475*44/12</f>
        <v>1.0594442200490833E-2</v>
      </c>
      <c r="AX87" s="21">
        <f t="shared" si="60"/>
        <v>62.398825326890233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4.4000000000000004</v>
      </c>
      <c r="BD87" s="12">
        <f>IF('Données projet'!$A$88&gt;35,BD86+BC87-BL86,IF(A87&lt;'Données projet'!$A$88,$BA$205^A87,IF(A87='Données projet'!$A$88,'Données projet'!$B$88,BD86+BC87-BL86)))</f>
        <v>195.6</v>
      </c>
      <c r="BE87" s="13">
        <f>BD87*VLOOKUP('Données projet'!$B$11,Paramètres!$A$1:$I$89,3,0)*VLOOKUP('Données projet'!$B$11,Paramètres!$A$1:$I$89,5,0)</f>
        <v>198.33840000000001</v>
      </c>
      <c r="BF87" s="13">
        <f t="shared" si="91"/>
        <v>49.378821219958084</v>
      </c>
      <c r="BG87" s="20">
        <f t="shared" si="61"/>
        <v>431.44082695809374</v>
      </c>
      <c r="BH87" s="59">
        <f t="shared" si="62"/>
        <v>724.77416029142705</v>
      </c>
      <c r="BI87" s="59">
        <f ca="1">AVERAGE(OFFSET($BH$3,0,0,'Données projet'!$E$11+1,1))-AVERAGE(OFFSET($H$3,0,0,'Données projet'!$E$11+1,1))</f>
        <v>183.74583738362492</v>
      </c>
      <c r="BJ87" s="59">
        <f t="shared" si="92"/>
        <v>46.344307013926596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24.721802564203408</v>
      </c>
      <c r="BQ87" s="21">
        <f>EXP(-LN(2)/25)*BQ86+(1-EXP(-LN(2)/25))/(LN(2)/25)*Calculateur!BL87*Calculateur!BN87*VLOOKUP('Données projet'!$B$11,Paramètres!$A$1:$I$89,3,0)*0.475*44/12</f>
        <v>1.4416404874552609</v>
      </c>
      <c r="BR87" s="21">
        <f>EXP(-LN(2)/2)*BR86+(1-EXP(-LN(2)/2))/(LN(2)/2)*BL87*BO87*VLOOKUP('Données projet'!$B$11,Paramètres!$A$1:$I$89,3,0)*0.475*44/12</f>
        <v>0.24406545376152949</v>
      </c>
      <c r="BS87" s="22">
        <f t="shared" si="63"/>
        <v>26.407508505420196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789.00000000000045</v>
      </c>
      <c r="BZ87" s="13">
        <f>BY87*VLOOKUP('Données projet'!$B$12,Paramètres!$A$1:$I$89,3,0)*VLOOKUP('Données projet'!$B$12,Paramètres!$A$1:$I$89,5,0)</f>
        <v>348.73800000000023</v>
      </c>
      <c r="CA87" s="13">
        <f t="shared" si="93"/>
        <v>81.302597726165047</v>
      </c>
      <c r="CB87" s="20">
        <f t="shared" si="64"/>
        <v>748.98737437307125</v>
      </c>
      <c r="CC87" s="59">
        <f t="shared" si="65"/>
        <v>1042.3207077064046</v>
      </c>
      <c r="CD87" s="59">
        <f ca="1">AVERAGE(OFFSET($CC$3,0,0,'Données projet'!$E$12+1,1))-AVERAGE(OFFSET($H$3,0,0,'Données projet'!$E$12+1,1))</f>
        <v>333.00091572040611</v>
      </c>
      <c r="CE87" s="59">
        <f t="shared" si="94"/>
        <v>267.06874181561398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53.296564606129643</v>
      </c>
      <c r="CL87" s="21">
        <f>EXP(-LN(2)/25)*CL86+(1-EXP(-LN(2)/25))/(LN(2)/25)*Calculateur!CG87*Calculateur!CI87*VLOOKUP('Données projet'!$B$12,Paramètres!$A$1:$I$89,3,0)*0.475*44/12</f>
        <v>21.558308062960254</v>
      </c>
      <c r="CM87" s="21">
        <f>EXP(-LN(2)/2)*CM86+(1-EXP(-LN(2)/2))/(LN(2)/2)*CG87*CJ87*VLOOKUP('Données projet'!$B$12,Paramètres!$A$1:$I$89,3,0)*0.475*44/12</f>
        <v>0.49846873643949074</v>
      </c>
      <c r="CN87" s="22">
        <f t="shared" si="66"/>
        <v>75.353341405529392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1">
        <f t="shared" si="86"/>
        <v>17.754039836243663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67">
        <f t="shared" si="56"/>
        <v>432.79910271479082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229</v>
      </c>
      <c r="O88" s="13">
        <f>N88*VLOOKUP('Données projet'!$B$9,Paramètres!$A$1:$I$89,3,0)*VLOOKUP('Données projet'!$B$9,Paramètres!$A$1:$I$89,5,0)</f>
        <v>136.94200000000001</v>
      </c>
      <c r="P88" s="13">
        <f t="shared" si="87"/>
        <v>35.595562742420903</v>
      </c>
      <c r="Q88" s="20">
        <f t="shared" si="54"/>
        <v>300.50292177638306</v>
      </c>
      <c r="R88" s="59">
        <f t="shared" si="55"/>
        <v>593.83625510971638</v>
      </c>
      <c r="S88" s="59">
        <f ca="1">AVERAGE(OFFSET($R$3,0,0,'Données projet'!$E$9+1,1))-AVERAGE(OFFSET($H$3,0,0,'Données projet'!$E$9+1,1))</f>
        <v>125.14227069357082</v>
      </c>
      <c r="T88" s="59">
        <f t="shared" si="88"/>
        <v>193.39407925063165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13.141389883000416</v>
      </c>
      <c r="AA88" s="21">
        <f>EXP(-LN(2)/25)*AA87+(1-EXP(-LN(2)/25))/(LN(2)/25)*Calculateur!V88*Calculateur!X88*VLOOKUP('Données projet'!$B$9,Paramètres!$A$1:$I$89,3,0)*0.475*44/12</f>
        <v>6.5115131670436792</v>
      </c>
      <c r="AB88" s="21">
        <f>EXP(-LN(2)/2)*AB87+(1-EXP(-LN(2)/2))/(LN(2)/2)*V88*Y88*VLOOKUP('Données projet'!$B$9,Paramètres!$A$1:$I$89,3,0)*0.475*44/12</f>
        <v>2.5619716851444236E-4</v>
      </c>
      <c r="AC88" s="22">
        <f t="shared" si="57"/>
        <v>19.65315924721261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-5.999999999994543E-2</v>
      </c>
      <c r="AJ88" s="13">
        <f>AI88*VLOOKUP('Données projet'!$B$10,Paramètres!$A$1:$I$89,3,0)*VLOOKUP('Données projet'!$B$10,Paramètres!$A$1:$I$89,5,0)</f>
        <v>-2.8079999999974462E-2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74.573470247551825</v>
      </c>
      <c r="AO88" s="59">
        <f t="shared" si="90"/>
        <v>122.43655207772224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44.444599821452968</v>
      </c>
      <c r="AV88" s="21">
        <f>EXP(-LN(2)/25)*AV87+(1-EXP(-LN(2)/25))/(LN(2)/25)*Calculateur!AQ88*Calculateur!AS88*VLOOKUP('Données projet'!$B$10,Paramètres!$A$1:$I$89,3,0)*0.475*44/12</f>
        <v>16.588306756068793</v>
      </c>
      <c r="AW88" s="21">
        <f>EXP(-LN(2)/2)*AW87+(1-EXP(-LN(2)/2))/(LN(2)/2)*AQ88*AT88*VLOOKUP('Données projet'!$B$10,Paramètres!$A$1:$I$89,3,0)*0.475*44/12</f>
        <v>7.4914019228559973E-3</v>
      </c>
      <c r="AX88" s="21">
        <f t="shared" si="60"/>
        <v>61.040397979444613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200</v>
      </c>
      <c r="BB88" s="12">
        <f>VLOOKUP(A88,'Données projet'!$A$87:$I$107,9,0)</f>
        <v>4.4000000000000004</v>
      </c>
      <c r="BC88" s="12">
        <f t="array" ref="BC88">INDEX(BB:BB,MIN(IF(ISNUMBER(BB88:BB284),ROW(BB88:BB284),"")))</f>
        <v>4.4000000000000004</v>
      </c>
      <c r="BD88" s="12">
        <f>IF('Données projet'!$A$88&gt;35,BD87+BC88-BL87,IF(A88&lt;'Données projet'!$A$88,$BA$205^A88,IF(A88='Données projet'!$A$88,'Données projet'!$B$88,BD87+BC88-BL87)))</f>
        <v>200</v>
      </c>
      <c r="BE88" s="13">
        <f>BD88*VLOOKUP('Données projet'!$B$11,Paramètres!$A$1:$I$89,3,0)*VLOOKUP('Données projet'!$B$11,Paramètres!$A$1:$I$89,5,0)</f>
        <v>202.8</v>
      </c>
      <c r="BF88" s="13">
        <f t="shared" si="91"/>
        <v>50.359024179354016</v>
      </c>
      <c r="BG88" s="20">
        <f t="shared" si="61"/>
        <v>440.91863377904156</v>
      </c>
      <c r="BH88" s="59">
        <f t="shared" si="62"/>
        <v>734.25196711237481</v>
      </c>
      <c r="BI88" s="59">
        <f ca="1">AVERAGE(OFFSET($BH$3,0,0,'Données projet'!$E$11+1,1))-AVERAGE(OFFSET($H$3,0,0,'Données projet'!$E$11+1,1))</f>
        <v>183.74583738362492</v>
      </c>
      <c r="BJ88" s="59">
        <f t="shared" si="92"/>
        <v>46.344307013926596</v>
      </c>
      <c r="BK88" s="15">
        <f>IF(ISNA(VLOOKUP(A88,'Données projet'!$A$87:$I$107,3,0)),0,VLOOKUP(A88,'Données projet'!$A$87:$I$107,3,0))</f>
        <v>11</v>
      </c>
      <c r="BL88" s="15">
        <f>IF(ISNA(VLOOKUP(A88,'Données projet'!$A$87:$I$107,4,0)),0,VLOOKUP(A88,'Données projet'!$A$87:$I$107,4,0))</f>
        <v>14</v>
      </c>
      <c r="BM88" s="16">
        <f>IF(ISNA(VLOOKUP(A88,'Données projet'!$A$87:$I$107,5,0)),0%,VLOOKUP(A88,'Données projet'!$A$87:$I$107,5,0)*VLOOKUP('Données projet'!$B$11,Paramètres!$A$1:$I$89,7,0))</f>
        <v>0.34400000000000003</v>
      </c>
      <c r="BN88" s="16">
        <f>IF(ISNA(VLOOKUP(A88,'Données projet'!$A$87:$I$107,6,0)),0%,VLOOKUP(A88,'Données projet'!$A$87:$I$107,6,0)*VLOOKUP('Données projet'!$B$11,Paramètres!$A$1:$I$89,7,0))</f>
        <v>1.72E-2</v>
      </c>
      <c r="BO88" s="16">
        <f>IF(ISNA(VLOOKUP(A88,'Données projet'!$A$87:$I$107,7,0)),0%,VLOOKUP(A88,'Données projet'!$A$87:$I$107,7,0))</f>
        <v>0.06</v>
      </c>
      <c r="BP88" s="21">
        <f>EXP(-LN(2)/35)*BP87+(1-EXP(-LN(2)/35))/(LN(2)/35)*BL88*BM88*VLOOKUP('Données projet'!$B$11,Paramètres!$A$1:$I$89,3,0)*0.475*44/12</f>
        <v>29.635503677430354</v>
      </c>
      <c r="BQ88" s="21">
        <f>EXP(-LN(2)/25)*BQ87+(1-EXP(-LN(2)/25))/(LN(2)/25)*Calculateur!BL88*Calculateur!BN88*VLOOKUP('Données projet'!$B$11,Paramètres!$A$1:$I$89,3,0)*0.475*44/12</f>
        <v>1.6710799878964113</v>
      </c>
      <c r="BR88" s="21">
        <f>EXP(-LN(2)/2)*BR87+(1-EXP(-LN(2)/2))/(LN(2)/2)*BL88*BO88*VLOOKUP('Données projet'!$B$11,Paramètres!$A$1:$I$89,3,0)*0.475*44/12</f>
        <v>0.97623882219243474</v>
      </c>
      <c r="BS88" s="22">
        <f t="shared" si="63"/>
        <v>32.282822487519198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789.00000000000045</v>
      </c>
      <c r="BZ88" s="13">
        <f>BY88*VLOOKUP('Données projet'!$B$12,Paramètres!$A$1:$I$89,3,0)*VLOOKUP('Données projet'!$B$12,Paramètres!$A$1:$I$89,5,0)</f>
        <v>348.73800000000023</v>
      </c>
      <c r="CA88" s="13">
        <f t="shared" si="93"/>
        <v>81.302597726165047</v>
      </c>
      <c r="CB88" s="20">
        <f t="shared" si="64"/>
        <v>748.98737437307125</v>
      </c>
      <c r="CC88" s="59">
        <f t="shared" si="65"/>
        <v>1042.3207077064046</v>
      </c>
      <c r="CD88" s="59">
        <f ca="1">AVERAGE(OFFSET($CC$3,0,0,'Données projet'!$E$12+1,1))-AVERAGE(OFFSET($H$3,0,0,'Données projet'!$E$12+1,1))</f>
        <v>333.00091572040611</v>
      </c>
      <c r="CE88" s="59">
        <f t="shared" si="94"/>
        <v>267.06874181561398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52.25145148189798</v>
      </c>
      <c r="CL88" s="21">
        <f>EXP(-LN(2)/25)*CL87+(1-EXP(-LN(2)/25))/(LN(2)/25)*Calculateur!CG88*Calculateur!CI88*VLOOKUP('Données projet'!$B$12,Paramètres!$A$1:$I$89,3,0)*0.475*44/12</f>
        <v>20.968794995276458</v>
      </c>
      <c r="CM88" s="21">
        <f>EXP(-LN(2)/2)*CM87+(1-EXP(-LN(2)/2))/(LN(2)/2)*CG88*CJ88*VLOOKUP('Données projet'!$B$12,Paramètres!$A$1:$I$89,3,0)*0.475*44/12</f>
        <v>0.35247062374585386</v>
      </c>
      <c r="CN88" s="22">
        <f t="shared" si="66"/>
        <v>73.5727171009203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1">
        <f t="shared" si="86"/>
        <v>17.93847248367711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67">
        <f t="shared" si="56"/>
        <v>434.39731290907071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229</v>
      </c>
      <c r="O89" s="13">
        <f>N89*VLOOKUP('Données projet'!$B$9,Paramètres!$A$1:$I$89,3,0)*VLOOKUP('Données projet'!$B$9,Paramètres!$A$1:$I$89,5,0)</f>
        <v>136.94200000000001</v>
      </c>
      <c r="P89" s="13">
        <f t="shared" si="87"/>
        <v>35.595562742420903</v>
      </c>
      <c r="Q89" s="20">
        <f t="shared" si="54"/>
        <v>300.50292177638306</v>
      </c>
      <c r="R89" s="59">
        <f t="shared" si="55"/>
        <v>593.83625510971638</v>
      </c>
      <c r="S89" s="59">
        <f ca="1">AVERAGE(OFFSET($R$3,0,0,'Données projet'!$E$9+1,1))-AVERAGE(OFFSET($H$3,0,0,'Données projet'!$E$9+1,1))</f>
        <v>125.14227069357082</v>
      </c>
      <c r="T89" s="59">
        <f t="shared" si="88"/>
        <v>193.39407925063165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12.883695242851147</v>
      </c>
      <c r="AA89" s="21">
        <f>EXP(-LN(2)/25)*AA88+(1-EXP(-LN(2)/25))/(LN(2)/25)*Calculateur!V89*Calculateur!X89*VLOOKUP('Données projet'!$B$9,Paramètres!$A$1:$I$89,3,0)*0.475*44/12</f>
        <v>6.333455497065275</v>
      </c>
      <c r="AB89" s="21">
        <f>EXP(-LN(2)/2)*AB88+(1-EXP(-LN(2)/2))/(LN(2)/2)*V89*Y89*VLOOKUP('Données projet'!$B$9,Paramètres!$A$1:$I$89,3,0)*0.475*44/12</f>
        <v>1.8115875517735484E-4</v>
      </c>
      <c r="AC89" s="22">
        <f t="shared" si="57"/>
        <v>19.217331898671596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-5.999999999994543E-2</v>
      </c>
      <c r="AJ89" s="13">
        <f>AI89*VLOOKUP('Données projet'!$B$10,Paramètres!$A$1:$I$89,3,0)*VLOOKUP('Données projet'!$B$10,Paramètres!$A$1:$I$89,5,0)</f>
        <v>-2.8079999999974462E-2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74.573470247551825</v>
      </c>
      <c r="AO89" s="59">
        <f t="shared" si="90"/>
        <v>122.43655207772224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43.573068327483419</v>
      </c>
      <c r="AV89" s="21">
        <f>EXP(-LN(2)/25)*AV88+(1-EXP(-LN(2)/25))/(LN(2)/25)*Calculateur!AQ89*Calculateur!AS89*VLOOKUP('Données projet'!$B$10,Paramètres!$A$1:$I$89,3,0)*0.475*44/12</f>
        <v>16.134698635482952</v>
      </c>
      <c r="AW89" s="21">
        <f>EXP(-LN(2)/2)*AW88+(1-EXP(-LN(2)/2))/(LN(2)/2)*AQ89*AT89*VLOOKUP('Données projet'!$B$10,Paramètres!$A$1:$I$89,3,0)*0.475*44/12</f>
        <v>5.2972211002454174E-3</v>
      </c>
      <c r="AX89" s="21">
        <f t="shared" si="60"/>
        <v>59.713064184066617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4.2</v>
      </c>
      <c r="BD89" s="12">
        <f>IF('Données projet'!$A$88&gt;35,BD88+BC89-BL88,IF(A89&lt;'Données projet'!$A$88,$BA$205^A89,IF(A89='Données projet'!$A$88,'Données projet'!$B$88,BD88+BC89-BL88)))</f>
        <v>190.2</v>
      </c>
      <c r="BE89" s="13">
        <f>BD89*VLOOKUP('Données projet'!$B$11,Paramètres!$A$1:$I$89,3,0)*VLOOKUP('Données projet'!$B$11,Paramètres!$A$1:$I$89,5,0)</f>
        <v>192.86279999999999</v>
      </c>
      <c r="BF89" s="13">
        <f t="shared" si="91"/>
        <v>48.172325347436733</v>
      </c>
      <c r="BG89" s="20">
        <f t="shared" si="61"/>
        <v>419.80284331345229</v>
      </c>
      <c r="BH89" s="59">
        <f t="shared" si="62"/>
        <v>713.13617664678554</v>
      </c>
      <c r="BI89" s="59">
        <f ca="1">AVERAGE(OFFSET($BH$3,0,0,'Données projet'!$E$11+1,1))-AVERAGE(OFFSET($H$3,0,0,'Données projet'!$E$11+1,1))</f>
        <v>183.74583738362492</v>
      </c>
      <c r="BJ89" s="59">
        <f t="shared" si="92"/>
        <v>46.344307013926596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29.054369526188342</v>
      </c>
      <c r="BQ89" s="21">
        <f>EXP(-LN(2)/25)*BQ88+(1-EXP(-LN(2)/25))/(LN(2)/25)*Calculateur!BL89*Calculateur!BN89*VLOOKUP('Données projet'!$B$11,Paramètres!$A$1:$I$89,3,0)*0.475*44/12</f>
        <v>1.6253842177491067</v>
      </c>
      <c r="BR89" s="21">
        <f>EXP(-LN(2)/2)*BR88+(1-EXP(-LN(2)/2))/(LN(2)/2)*BL89*BO89*VLOOKUP('Données projet'!$B$11,Paramètres!$A$1:$I$89,3,0)*0.475*44/12</f>
        <v>0.69030509122983885</v>
      </c>
      <c r="BS89" s="22">
        <f t="shared" si="63"/>
        <v>31.370058835167288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789.00000000000045</v>
      </c>
      <c r="BZ89" s="13">
        <f>BY89*VLOOKUP('Données projet'!$B$12,Paramètres!$A$1:$I$89,3,0)*VLOOKUP('Données projet'!$B$12,Paramètres!$A$1:$I$89,5,0)</f>
        <v>348.73800000000023</v>
      </c>
      <c r="CA89" s="13">
        <f t="shared" si="93"/>
        <v>81.302597726165047</v>
      </c>
      <c r="CB89" s="20">
        <f t="shared" si="64"/>
        <v>748.98737437307125</v>
      </c>
      <c r="CC89" s="59">
        <f t="shared" si="65"/>
        <v>1042.3207077064046</v>
      </c>
      <c r="CD89" s="59">
        <f ca="1">AVERAGE(OFFSET($CC$3,0,0,'Données projet'!$E$12+1,1))-AVERAGE(OFFSET($H$3,0,0,'Données projet'!$E$12+1,1))</f>
        <v>333.00091572040611</v>
      </c>
      <c r="CE89" s="59">
        <f t="shared" si="94"/>
        <v>267.06874181561398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51.22683238857644</v>
      </c>
      <c r="CL89" s="21">
        <f>EXP(-LN(2)/25)*CL88+(1-EXP(-LN(2)/25))/(LN(2)/25)*Calculateur!CG89*Calculateur!CI89*VLOOKUP('Données projet'!$B$12,Paramètres!$A$1:$I$89,3,0)*0.475*44/12</f>
        <v>20.395402193429618</v>
      </c>
      <c r="CM89" s="21">
        <f>EXP(-LN(2)/2)*CM88+(1-EXP(-LN(2)/2))/(LN(2)/2)*CG89*CJ89*VLOOKUP('Données projet'!$B$12,Paramètres!$A$1:$I$89,3,0)*0.475*44/12</f>
        <v>0.24923436821974543</v>
      </c>
      <c r="CN89" s="22">
        <f t="shared" si="66"/>
        <v>71.871468950225804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1">
        <f t="shared" si="86"/>
        <v>18.122655666579583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67">
        <f t="shared" si="56"/>
        <v>435.99508861929246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229</v>
      </c>
      <c r="O90" s="13">
        <f>N90*VLOOKUP('Données projet'!$B$9,Paramètres!$A$1:$I$89,3,0)*VLOOKUP('Données projet'!$B$9,Paramètres!$A$1:$I$89,5,0)</f>
        <v>136.94200000000001</v>
      </c>
      <c r="P90" s="13">
        <f t="shared" si="87"/>
        <v>35.595562742420903</v>
      </c>
      <c r="Q90" s="20">
        <f t="shared" si="54"/>
        <v>300.50292177638306</v>
      </c>
      <c r="R90" s="59">
        <f t="shared" si="55"/>
        <v>593.83625510971638</v>
      </c>
      <c r="S90" s="59">
        <f ca="1">AVERAGE(OFFSET($R$3,0,0,'Données projet'!$E$9+1,1))-AVERAGE(OFFSET($H$3,0,0,'Données projet'!$E$9+1,1))</f>
        <v>125.14227069357082</v>
      </c>
      <c r="T90" s="59">
        <f t="shared" si="88"/>
        <v>193.39407925063165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12.631053837416994</v>
      </c>
      <c r="AA90" s="21">
        <f>EXP(-LN(2)/25)*AA89+(1-EXP(-LN(2)/25))/(LN(2)/25)*Calculateur!V90*Calculateur!X90*VLOOKUP('Données projet'!$B$9,Paramètres!$A$1:$I$89,3,0)*0.475*44/12</f>
        <v>6.1602668234360758</v>
      </c>
      <c r="AB90" s="21">
        <f>EXP(-LN(2)/2)*AB89+(1-EXP(-LN(2)/2))/(LN(2)/2)*V90*Y90*VLOOKUP('Données projet'!$B$9,Paramètres!$A$1:$I$89,3,0)*0.475*44/12</f>
        <v>1.2809858425722118E-4</v>
      </c>
      <c r="AC90" s="22">
        <f t="shared" si="57"/>
        <v>18.791448759437326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-5.999999999994543E-2</v>
      </c>
      <c r="AJ90" s="13">
        <f>AI90*VLOOKUP('Données projet'!$B$10,Paramètres!$A$1:$I$89,3,0)*VLOOKUP('Données projet'!$B$10,Paramètres!$A$1:$I$89,5,0)</f>
        <v>-2.8079999999974462E-2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74.573470247551825</v>
      </c>
      <c r="AO90" s="59">
        <f t="shared" si="90"/>
        <v>122.43655207772224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42.718627034528893</v>
      </c>
      <c r="AV90" s="21">
        <f>EXP(-LN(2)/25)*AV89+(1-EXP(-LN(2)/25))/(LN(2)/25)*Calculateur!AQ90*Calculateur!AS90*VLOOKUP('Données projet'!$B$10,Paramètres!$A$1:$I$89,3,0)*0.475*44/12</f>
        <v>15.693494452808746</v>
      </c>
      <c r="AW90" s="21">
        <f>EXP(-LN(2)/2)*AW89+(1-EXP(-LN(2)/2))/(LN(2)/2)*AQ90*AT90*VLOOKUP('Données projet'!$B$10,Paramètres!$A$1:$I$89,3,0)*0.475*44/12</f>
        <v>3.7457009614279991E-3</v>
      </c>
      <c r="AX90" s="21">
        <f t="shared" si="60"/>
        <v>58.415867188299075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4.2</v>
      </c>
      <c r="BD90" s="12">
        <f>IF('Données projet'!$A$88&gt;35,BD89+BC90-BL89,IF(A90&lt;'Données projet'!$A$88,$BA$205^A90,IF(A90='Données projet'!$A$88,'Données projet'!$B$88,BD89+BC90-BL89)))</f>
        <v>194.39999999999998</v>
      </c>
      <c r="BE90" s="13">
        <f>BD90*VLOOKUP('Données projet'!$B$11,Paramètres!$A$1:$I$89,3,0)*VLOOKUP('Données projet'!$B$11,Paramètres!$A$1:$I$89,5,0)</f>
        <v>197.12159999999997</v>
      </c>
      <c r="BF90" s="13">
        <f t="shared" si="91"/>
        <v>49.111049803800405</v>
      </c>
      <c r="BG90" s="20">
        <f t="shared" si="61"/>
        <v>428.85519840828562</v>
      </c>
      <c r="BH90" s="59">
        <f t="shared" si="62"/>
        <v>722.18853174161893</v>
      </c>
      <c r="BI90" s="59">
        <f ca="1">AVERAGE(OFFSET($BH$3,0,0,'Données projet'!$E$11+1,1))-AVERAGE(OFFSET($H$3,0,0,'Données projet'!$E$11+1,1))</f>
        <v>183.74583738362492</v>
      </c>
      <c r="BJ90" s="59">
        <f t="shared" si="92"/>
        <v>46.344307013926596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28.484631061195355</v>
      </c>
      <c r="BQ90" s="21">
        <f>EXP(-LN(2)/25)*BQ89+(1-EXP(-LN(2)/25))/(LN(2)/25)*Calculateur!BL90*Calculateur!BN90*VLOOKUP('Données projet'!$B$11,Paramètres!$A$1:$I$89,3,0)*0.475*44/12</f>
        <v>1.5809380008395162</v>
      </c>
      <c r="BR90" s="21">
        <f>EXP(-LN(2)/2)*BR89+(1-EXP(-LN(2)/2))/(LN(2)/2)*BL90*BO90*VLOOKUP('Données projet'!$B$11,Paramètres!$A$1:$I$89,3,0)*0.475*44/12</f>
        <v>0.48811941109621743</v>
      </c>
      <c r="BS90" s="22">
        <f t="shared" si="63"/>
        <v>30.553688473131089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789.00000000000045</v>
      </c>
      <c r="BZ90" s="13">
        <f>BY90*VLOOKUP('Données projet'!$B$12,Paramètres!$A$1:$I$89,3,0)*VLOOKUP('Données projet'!$B$12,Paramètres!$A$1:$I$89,5,0)</f>
        <v>348.73800000000023</v>
      </c>
      <c r="CA90" s="13">
        <f t="shared" si="93"/>
        <v>81.302597726165047</v>
      </c>
      <c r="CB90" s="20">
        <f t="shared" si="64"/>
        <v>748.98737437307125</v>
      </c>
      <c r="CC90" s="59">
        <f t="shared" si="65"/>
        <v>1042.3207077064046</v>
      </c>
      <c r="CD90" s="59">
        <f ca="1">AVERAGE(OFFSET($CC$3,0,0,'Données projet'!$E$12+1,1))-AVERAGE(OFFSET($H$3,0,0,'Données projet'!$E$12+1,1))</f>
        <v>333.00091572040611</v>
      </c>
      <c r="CE90" s="59">
        <f t="shared" si="94"/>
        <v>267.06874181561398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50.222305450718999</v>
      </c>
      <c r="CL90" s="21">
        <f>EXP(-LN(2)/25)*CL89+(1-EXP(-LN(2)/25))/(LN(2)/25)*Calculateur!CG90*Calculateur!CI90*VLOOKUP('Données projet'!$B$12,Paramètres!$A$1:$I$89,3,0)*0.475*44/12</f>
        <v>19.837688847902697</v>
      </c>
      <c r="CM90" s="21">
        <f>EXP(-LN(2)/2)*CM89+(1-EXP(-LN(2)/2))/(LN(2)/2)*CG90*CJ90*VLOOKUP('Données projet'!$B$12,Paramètres!$A$1:$I$89,3,0)*0.475*44/12</f>
        <v>0.17623531187292696</v>
      </c>
      <c r="CN90" s="22">
        <f t="shared" si="66"/>
        <v>70.236229610494618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1">
        <f t="shared" si="86"/>
        <v>18.30659258412695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67">
        <f t="shared" si="56"/>
        <v>437.59243541735412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229</v>
      </c>
      <c r="O91" s="13">
        <f>N91*VLOOKUP('Données projet'!$B$9,Paramètres!$A$1:$I$89,3,0)*VLOOKUP('Données projet'!$B$9,Paramètres!$A$1:$I$89,5,0)</f>
        <v>136.94200000000001</v>
      </c>
      <c r="P91" s="13">
        <f t="shared" si="87"/>
        <v>35.595562742420903</v>
      </c>
      <c r="Q91" s="20">
        <f t="shared" si="54"/>
        <v>300.50292177638306</v>
      </c>
      <c r="R91" s="59">
        <f t="shared" si="55"/>
        <v>593.83625510971638</v>
      </c>
      <c r="S91" s="59">
        <f ca="1">AVERAGE(OFFSET($R$3,0,0,'Données projet'!$E$9+1,1))-AVERAGE(OFFSET($H$3,0,0,'Données projet'!$E$9+1,1))</f>
        <v>125.14227069357082</v>
      </c>
      <c r="T91" s="59">
        <f t="shared" si="88"/>
        <v>193.39407925063165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12.383366575847363</v>
      </c>
      <c r="AA91" s="21">
        <f>EXP(-LN(2)/25)*AA90+(1-EXP(-LN(2)/25))/(LN(2)/25)*Calculateur!V91*Calculateur!X91*VLOOKUP('Données projet'!$B$9,Paramètres!$A$1:$I$89,3,0)*0.475*44/12</f>
        <v>5.9918140031948637</v>
      </c>
      <c r="AB91" s="21">
        <f>EXP(-LN(2)/2)*AB90+(1-EXP(-LN(2)/2))/(LN(2)/2)*V91*Y91*VLOOKUP('Données projet'!$B$9,Paramètres!$A$1:$I$89,3,0)*0.475*44/12</f>
        <v>9.0579377588677421E-5</v>
      </c>
      <c r="AC91" s="22">
        <f t="shared" si="57"/>
        <v>18.375271158419814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-5.999999999994543E-2</v>
      </c>
      <c r="AJ91" s="13">
        <f>AI91*VLOOKUP('Données projet'!$B$10,Paramètres!$A$1:$I$89,3,0)*VLOOKUP('Données projet'!$B$10,Paramètres!$A$1:$I$89,5,0)</f>
        <v>-2.8079999999974462E-2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74.573470247551825</v>
      </c>
      <c r="AO91" s="59">
        <f t="shared" si="90"/>
        <v>122.43655207772224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41.880940814171474</v>
      </c>
      <c r="AV91" s="21">
        <f>EXP(-LN(2)/25)*AV90+(1-EXP(-LN(2)/25))/(LN(2)/25)*Calculateur!AQ91*Calculateur!AS91*VLOOKUP('Données projet'!$B$10,Paramètres!$A$1:$I$89,3,0)*0.475*44/12</f>
        <v>15.264355021711685</v>
      </c>
      <c r="AW91" s="21">
        <f>EXP(-LN(2)/2)*AW90+(1-EXP(-LN(2)/2))/(LN(2)/2)*AQ91*AT91*VLOOKUP('Données projet'!$B$10,Paramètres!$A$1:$I$89,3,0)*0.475*44/12</f>
        <v>2.6486105501227091E-3</v>
      </c>
      <c r="AX91" s="21">
        <f t="shared" si="60"/>
        <v>57.147944446433286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4.2</v>
      </c>
      <c r="BD91" s="12">
        <f>IF('Données projet'!$A$88&gt;35,BD90+BC91-BL90,IF(A91&lt;'Données projet'!$A$88,$BA$205^A91,IF(A91='Données projet'!$A$88,'Données projet'!$B$88,BD90+BC91-BL90)))</f>
        <v>198.59999999999997</v>
      </c>
      <c r="BE91" s="13">
        <f>BD91*VLOOKUP('Données projet'!$B$11,Paramètres!$A$1:$I$89,3,0)*VLOOKUP('Données projet'!$B$11,Paramètres!$A$1:$I$89,5,0)</f>
        <v>201.38039999999998</v>
      </c>
      <c r="BF91" s="13">
        <f t="shared" si="91"/>
        <v>50.047416314000145</v>
      </c>
      <c r="BG91" s="20">
        <f t="shared" si="61"/>
        <v>437.9034467468835</v>
      </c>
      <c r="BH91" s="59">
        <f t="shared" si="62"/>
        <v>731.23678008021682</v>
      </c>
      <c r="BI91" s="59">
        <f ca="1">AVERAGE(OFFSET($BH$3,0,0,'Données projet'!$E$11+1,1))-AVERAGE(OFFSET($H$3,0,0,'Données projet'!$E$11+1,1))</f>
        <v>183.74583738362492</v>
      </c>
      <c r="BJ91" s="59">
        <f t="shared" si="92"/>
        <v>46.344307013926596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27.926064819994732</v>
      </c>
      <c r="BQ91" s="21">
        <f>EXP(-LN(2)/25)*BQ90+(1-EXP(-LN(2)/25))/(LN(2)/25)*Calculateur!BL91*Calculateur!BN91*VLOOKUP('Données projet'!$B$11,Paramètres!$A$1:$I$89,3,0)*0.475*44/12</f>
        <v>1.5377071680686434</v>
      </c>
      <c r="BR91" s="21">
        <f>EXP(-LN(2)/2)*BR90+(1-EXP(-LN(2)/2))/(LN(2)/2)*BL91*BO91*VLOOKUP('Données projet'!$B$11,Paramètres!$A$1:$I$89,3,0)*0.475*44/12</f>
        <v>0.34515254561491948</v>
      </c>
      <c r="BS91" s="22">
        <f t="shared" si="63"/>
        <v>29.808924533678294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789.00000000000045</v>
      </c>
      <c r="BZ91" s="13">
        <f>BY91*VLOOKUP('Données projet'!$B$12,Paramètres!$A$1:$I$89,3,0)*VLOOKUP('Données projet'!$B$12,Paramètres!$A$1:$I$89,5,0)</f>
        <v>348.73800000000023</v>
      </c>
      <c r="CA91" s="13">
        <f t="shared" si="93"/>
        <v>81.302597726165047</v>
      </c>
      <c r="CB91" s="20">
        <f t="shared" si="64"/>
        <v>748.98737437307125</v>
      </c>
      <c r="CC91" s="59">
        <f t="shared" si="65"/>
        <v>1042.3207077064046</v>
      </c>
      <c r="CD91" s="59">
        <f ca="1">AVERAGE(OFFSET($CC$3,0,0,'Données projet'!$E$12+1,1))-AVERAGE(OFFSET($H$3,0,0,'Données projet'!$E$12+1,1))</f>
        <v>333.00091572040611</v>
      </c>
      <c r="CE91" s="59">
        <f t="shared" si="94"/>
        <v>267.06874181561398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49.237476673412004</v>
      </c>
      <c r="CL91" s="21">
        <f>EXP(-LN(2)/25)*CL90+(1-EXP(-LN(2)/25))/(LN(2)/25)*Calculateur!CG91*Calculateur!CI91*VLOOKUP('Données projet'!$B$12,Paramètres!$A$1:$I$89,3,0)*0.475*44/12</f>
        <v>19.295226203138082</v>
      </c>
      <c r="CM91" s="21">
        <f>EXP(-LN(2)/2)*CM90+(1-EXP(-LN(2)/2))/(LN(2)/2)*CG91*CJ91*VLOOKUP('Données projet'!$B$12,Paramètres!$A$1:$I$89,3,0)*0.475*44/12</f>
        <v>0.12461718410987273</v>
      </c>
      <c r="CN91" s="22">
        <f t="shared" si="66"/>
        <v>68.657320060659956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1">
        <f t="shared" si="86"/>
        <v>18.490286358600777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67">
        <f t="shared" si="56"/>
        <v>439.1893587412294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229</v>
      </c>
      <c r="O92" s="13">
        <f>N92*VLOOKUP('Données projet'!$B$9,Paramètres!$A$1:$I$89,3,0)*VLOOKUP('Données projet'!$B$9,Paramètres!$A$1:$I$89,5,0)</f>
        <v>136.94200000000001</v>
      </c>
      <c r="P92" s="13">
        <f t="shared" si="87"/>
        <v>35.595562742420903</v>
      </c>
      <c r="Q92" s="20">
        <f t="shared" si="54"/>
        <v>300.50292177638306</v>
      </c>
      <c r="R92" s="59">
        <f t="shared" si="55"/>
        <v>593.83625510971638</v>
      </c>
      <c r="S92" s="59">
        <f ca="1">AVERAGE(OFFSET($R$3,0,0,'Données projet'!$E$9+1,1))-AVERAGE(OFFSET($H$3,0,0,'Données projet'!$E$9+1,1))</f>
        <v>125.14227069357082</v>
      </c>
      <c r="T92" s="59">
        <f t="shared" si="88"/>
        <v>193.39407925063165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12.140536310402799</v>
      </c>
      <c r="AA92" s="21">
        <f>EXP(-LN(2)/25)*AA91+(1-EXP(-LN(2)/25))/(LN(2)/25)*Calculateur!V92*Calculateur!X92*VLOOKUP('Données projet'!$B$9,Paramètres!$A$1:$I$89,3,0)*0.475*44/12</f>
        <v>5.8279675341816963</v>
      </c>
      <c r="AB92" s="21">
        <f>EXP(-LN(2)/2)*AB91+(1-EXP(-LN(2)/2))/(LN(2)/2)*V92*Y92*VLOOKUP('Données projet'!$B$9,Paramètres!$A$1:$I$89,3,0)*0.475*44/12</f>
        <v>6.4049292128610591E-5</v>
      </c>
      <c r="AC92" s="22">
        <f t="shared" si="57"/>
        <v>17.968567893876624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-5.999999999994543E-2</v>
      </c>
      <c r="AJ92" s="13">
        <f>AI92*VLOOKUP('Données projet'!$B$10,Paramètres!$A$1:$I$89,3,0)*VLOOKUP('Données projet'!$B$10,Paramètres!$A$1:$I$89,5,0)</f>
        <v>-2.8079999999974462E-2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74.573470247551825</v>
      </c>
      <c r="AO92" s="59">
        <f t="shared" si="90"/>
        <v>122.43655207772224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41.05968110965712</v>
      </c>
      <c r="AV92" s="21">
        <f>EXP(-LN(2)/25)*AV91+(1-EXP(-LN(2)/25))/(LN(2)/25)*Calculateur!AQ92*Calculateur!AS92*VLOOKUP('Données projet'!$B$10,Paramètres!$A$1:$I$89,3,0)*0.475*44/12</f>
        <v>14.846950430925435</v>
      </c>
      <c r="AW92" s="21">
        <f>EXP(-LN(2)/2)*AW91+(1-EXP(-LN(2)/2))/(LN(2)/2)*AQ92*AT92*VLOOKUP('Données projet'!$B$10,Paramètres!$A$1:$I$89,3,0)*0.475*44/12</f>
        <v>1.872850480714E-3</v>
      </c>
      <c r="AX92" s="21">
        <f t="shared" si="60"/>
        <v>55.908504391063268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4.2</v>
      </c>
      <c r="BD92" s="12">
        <f>IF('Données projet'!$A$88&gt;35,BD91+BC92-BL91,IF(A92&lt;'Données projet'!$A$88,$BA$205^A92,IF(A92='Données projet'!$A$88,'Données projet'!$B$88,BD91+BC92-BL91)))</f>
        <v>202.79999999999995</v>
      </c>
      <c r="BE92" s="13">
        <f>BD92*VLOOKUP('Données projet'!$B$11,Paramètres!$A$1:$I$89,3,0)*VLOOKUP('Données projet'!$B$11,Paramètres!$A$1:$I$89,5,0)</f>
        <v>205.63919999999996</v>
      </c>
      <c r="BF92" s="13">
        <f t="shared" si="91"/>
        <v>50.981480488268119</v>
      </c>
      <c r="BG92" s="20">
        <f t="shared" si="61"/>
        <v>446.94768518373354</v>
      </c>
      <c r="BH92" s="59">
        <f t="shared" si="62"/>
        <v>740.28101851706685</v>
      </c>
      <c r="BI92" s="59">
        <f ca="1">AVERAGE(OFFSET($BH$3,0,0,'Données projet'!$E$11+1,1))-AVERAGE(OFFSET($H$3,0,0,'Données projet'!$E$11+1,1))</f>
        <v>183.74583738362492</v>
      </c>
      <c r="BJ92" s="59">
        <f t="shared" si="92"/>
        <v>46.344307013926596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27.378451722092287</v>
      </c>
      <c r="BQ92" s="21">
        <f>EXP(-LN(2)/25)*BQ91+(1-EXP(-LN(2)/25))/(LN(2)/25)*Calculateur!BL92*Calculateur!BN92*VLOOKUP('Données projet'!$B$11,Paramètres!$A$1:$I$89,3,0)*0.475*44/12</f>
        <v>1.4956584846933008</v>
      </c>
      <c r="BR92" s="21">
        <f>EXP(-LN(2)/2)*BR91+(1-EXP(-LN(2)/2))/(LN(2)/2)*BL92*BO92*VLOOKUP('Données projet'!$B$11,Paramètres!$A$1:$I$89,3,0)*0.475*44/12</f>
        <v>0.24405970554810874</v>
      </c>
      <c r="BS92" s="22">
        <f t="shared" si="63"/>
        <v>29.118169912333695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789.00000000000045</v>
      </c>
      <c r="BZ92" s="13">
        <f>BY92*VLOOKUP('Données projet'!$B$12,Paramètres!$A$1:$I$89,3,0)*VLOOKUP('Données projet'!$B$12,Paramètres!$A$1:$I$89,5,0)</f>
        <v>348.73800000000023</v>
      </c>
      <c r="CA92" s="13">
        <f t="shared" si="93"/>
        <v>81.302597726165047</v>
      </c>
      <c r="CB92" s="20">
        <f t="shared" si="64"/>
        <v>748.98737437307125</v>
      </c>
      <c r="CC92" s="59">
        <f t="shared" si="65"/>
        <v>1042.3207077064046</v>
      </c>
      <c r="CD92" s="59">
        <f ca="1">AVERAGE(OFFSET($CC$3,0,0,'Données projet'!$E$12+1,1))-AVERAGE(OFFSET($H$3,0,0,'Données projet'!$E$12+1,1))</f>
        <v>333.00091572040611</v>
      </c>
      <c r="CE92" s="59">
        <f t="shared" si="94"/>
        <v>267.06874181561398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48.271959787741764</v>
      </c>
      <c r="CL92" s="21">
        <f>EXP(-LN(2)/25)*CL91+(1-EXP(-LN(2)/25))/(LN(2)/25)*Calculateur!CG92*Calculateur!CI92*VLOOKUP('Données projet'!$B$12,Paramètres!$A$1:$I$89,3,0)*0.475*44/12</f>
        <v>18.767597227921424</v>
      </c>
      <c r="CM92" s="21">
        <f>EXP(-LN(2)/2)*CM91+(1-EXP(-LN(2)/2))/(LN(2)/2)*CG92*CJ92*VLOOKUP('Données projet'!$B$12,Paramètres!$A$1:$I$89,3,0)*0.475*44/12</f>
        <v>8.8117655936463493E-2</v>
      </c>
      <c r="CN92" s="22">
        <f t="shared" si="66"/>
        <v>67.12767467159965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1">
        <f t="shared" si="86"/>
        <v>18.673740038079401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67">
        <f t="shared" si="56"/>
        <v>440.78586389965466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229</v>
      </c>
      <c r="O93" s="13">
        <f>N93*VLOOKUP('Données projet'!$B$9,Paramètres!$A$1:$I$89,3,0)*VLOOKUP('Données projet'!$B$9,Paramètres!$A$1:$I$89,5,0)</f>
        <v>136.94200000000001</v>
      </c>
      <c r="P93" s="13">
        <f t="shared" si="87"/>
        <v>35.595562742420903</v>
      </c>
      <c r="Q93" s="20">
        <f t="shared" si="54"/>
        <v>300.50292177638306</v>
      </c>
      <c r="R93" s="59">
        <f t="shared" si="55"/>
        <v>593.83625510971638</v>
      </c>
      <c r="S93" s="59">
        <f ca="1">AVERAGE(OFFSET($R$3,0,0,'Données projet'!$E$9+1,1))-AVERAGE(OFFSET($H$3,0,0,'Données projet'!$E$9+1,1))</f>
        <v>125.14227069357082</v>
      </c>
      <c r="T93" s="59">
        <f t="shared" si="88"/>
        <v>193.39407925063165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11.902467798351767</v>
      </c>
      <c r="AA93" s="21">
        <f>EXP(-LN(2)/25)*AA92+(1-EXP(-LN(2)/25))/(LN(2)/25)*Calculateur!V93*Calculateur!X93*VLOOKUP('Données projet'!$B$9,Paramètres!$A$1:$I$89,3,0)*0.475*44/12</f>
        <v>5.6686014554800055</v>
      </c>
      <c r="AB93" s="21">
        <f>EXP(-LN(2)/2)*AB92+(1-EXP(-LN(2)/2))/(LN(2)/2)*V93*Y93*VLOOKUP('Données projet'!$B$9,Paramètres!$A$1:$I$89,3,0)*0.475*44/12</f>
        <v>4.5289688794338711E-5</v>
      </c>
      <c r="AC93" s="22">
        <f t="shared" si="57"/>
        <v>17.571114543520569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-5.999999999994543E-2</v>
      </c>
      <c r="AJ93" s="13">
        <f>AI93*VLOOKUP('Données projet'!$B$10,Paramètres!$A$1:$I$89,3,0)*VLOOKUP('Données projet'!$B$10,Paramètres!$A$1:$I$89,5,0)</f>
        <v>-2.8079999999974462E-2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74.573470247551825</v>
      </c>
      <c r="AO93" s="59">
        <f t="shared" si="90"/>
        <v>122.43655207772224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40.254525807029339</v>
      </c>
      <c r="AV93" s="21">
        <f>EXP(-LN(2)/25)*AV92+(1-EXP(-LN(2)/25))/(LN(2)/25)*Calculateur!AQ93*Calculateur!AS93*VLOOKUP('Données projet'!$B$10,Paramètres!$A$1:$I$89,3,0)*0.475*44/12</f>
        <v>14.440959790624589</v>
      </c>
      <c r="AW93" s="21">
        <f>EXP(-LN(2)/2)*AW92+(1-EXP(-LN(2)/2))/(LN(2)/2)*AQ93*AT93*VLOOKUP('Données projet'!$B$10,Paramètres!$A$1:$I$89,3,0)*0.475*44/12</f>
        <v>1.3243052750613548E-3</v>
      </c>
      <c r="AX93" s="21">
        <f t="shared" si="60"/>
        <v>54.69680990292899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207</v>
      </c>
      <c r="BB93" s="12">
        <f>VLOOKUP(A93,'Données projet'!$A$87:$I$107,9,0)</f>
        <v>4.2</v>
      </c>
      <c r="BC93" s="12">
        <f t="array" ref="BC93">INDEX(BB:BB,MIN(IF(ISNUMBER(BB93:BB289),ROW(BB93:BB289),"")))</f>
        <v>4.2</v>
      </c>
      <c r="BD93" s="12">
        <f>IF('Données projet'!$A$88&gt;35,BD92+BC93-BL92,IF(A93&lt;'Données projet'!$A$88,$BA$205^A93,IF(A93='Données projet'!$A$88,'Données projet'!$B$88,BD92+BC93-BL92)))</f>
        <v>206.99999999999994</v>
      </c>
      <c r="BE93" s="13">
        <f>BD93*VLOOKUP('Données projet'!$B$11,Paramètres!$A$1:$I$89,3,0)*VLOOKUP('Données projet'!$B$11,Paramètres!$A$1:$I$89,5,0)</f>
        <v>209.89799999999994</v>
      </c>
      <c r="BF93" s="13">
        <f t="shared" si="91"/>
        <v>51.913295501810218</v>
      </c>
      <c r="BG93" s="20">
        <f t="shared" si="61"/>
        <v>455.98800633231934</v>
      </c>
      <c r="BH93" s="59">
        <f t="shared" si="62"/>
        <v>749.32133966565266</v>
      </c>
      <c r="BI93" s="59">
        <f ca="1">AVERAGE(OFFSET($BH$3,0,0,'Données projet'!$E$11+1,1))-AVERAGE(OFFSET($H$3,0,0,'Données projet'!$E$11+1,1))</f>
        <v>183.74583738362492</v>
      </c>
      <c r="BJ93" s="59">
        <f t="shared" si="92"/>
        <v>46.344307013926596</v>
      </c>
      <c r="BK93" s="15">
        <f>IF(ISNA(VLOOKUP(A93,'Données projet'!$A$87:$I$107,3,0)),0,VLOOKUP(A93,'Données projet'!$A$87:$I$107,3,0))</f>
        <v>12</v>
      </c>
      <c r="BL93" s="15">
        <f>IF(ISNA(VLOOKUP(A93,'Données projet'!$A$87:$I$107,4,0)),0,VLOOKUP(A93,'Données projet'!$A$87:$I$107,4,0))</f>
        <v>14</v>
      </c>
      <c r="BM93" s="16">
        <f>IF(ISNA(VLOOKUP(A93,'Données projet'!$A$87:$I$107,5,0)),0%,VLOOKUP(A93,'Données projet'!$A$87:$I$107,5,0)*VLOOKUP('Données projet'!$B$11,Paramètres!$A$1:$I$89,7,0))</f>
        <v>0.34400000000000003</v>
      </c>
      <c r="BN93" s="16">
        <f>IF(ISNA(VLOOKUP(A93,'Données projet'!$A$87:$I$107,6,0)),0%,VLOOKUP(A93,'Données projet'!$A$87:$I$107,6,0)*VLOOKUP('Données projet'!$B$11,Paramètres!$A$1:$I$89,7,0))</f>
        <v>1.72E-2</v>
      </c>
      <c r="BO93" s="16">
        <f>IF(ISNA(VLOOKUP(A93,'Données projet'!$A$87:$I$107,7,0)),0%,VLOOKUP(A93,'Données projet'!$A$87:$I$107,7,0))</f>
        <v>0.06</v>
      </c>
      <c r="BP93" s="21">
        <f>EXP(-LN(2)/35)*BP92+(1-EXP(-LN(2)/35))/(LN(2)/35)*BL93*BM93*VLOOKUP('Données projet'!$B$11,Paramètres!$A$1:$I$89,3,0)*0.475*44/12</f>
        <v>32.240057565729018</v>
      </c>
      <c r="BQ93" s="21">
        <f>EXP(-LN(2)/25)*BQ92+(1-EXP(-LN(2)/25))/(LN(2)/25)*Calculateur!BL93*Calculateur!BN93*VLOOKUP('Données projet'!$B$11,Paramètres!$A$1:$I$89,3,0)*0.475*44/12</f>
        <v>1.7236208601592942</v>
      </c>
      <c r="BR93" s="21">
        <f>EXP(-LN(2)/2)*BR92+(1-EXP(-LN(2)/2))/(LN(2)/2)*BL93*BO93*VLOOKUP('Données projet'!$B$11,Paramètres!$A$1:$I$89,3,0)*0.475*44/12</f>
        <v>0.97623475759174527</v>
      </c>
      <c r="BS93" s="22">
        <f t="shared" si="63"/>
        <v>34.939913183480058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789.00000000000045</v>
      </c>
      <c r="BZ93" s="13">
        <f>BY93*VLOOKUP('Données projet'!$B$12,Paramètres!$A$1:$I$89,3,0)*VLOOKUP('Données projet'!$B$12,Paramètres!$A$1:$I$89,5,0)</f>
        <v>348.73800000000023</v>
      </c>
      <c r="CA93" s="13">
        <f t="shared" si="93"/>
        <v>81.302597726165047</v>
      </c>
      <c r="CB93" s="20">
        <f t="shared" si="64"/>
        <v>748.98737437307125</v>
      </c>
      <c r="CC93" s="59">
        <f t="shared" si="65"/>
        <v>1042.3207077064046</v>
      </c>
      <c r="CD93" s="59">
        <f ca="1">AVERAGE(OFFSET($CC$3,0,0,'Données projet'!$E$12+1,1))-AVERAGE(OFFSET($H$3,0,0,'Données projet'!$E$12+1,1))</f>
        <v>333.00091572040611</v>
      </c>
      <c r="CE93" s="59">
        <f t="shared" si="94"/>
        <v>267.06874181561398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47.325376099292363</v>
      </c>
      <c r="CL93" s="21">
        <f>EXP(-LN(2)/25)*CL92+(1-EXP(-LN(2)/25))/(LN(2)/25)*Calculateur!CG93*Calculateur!CI93*VLOOKUP('Données projet'!$B$12,Paramètres!$A$1:$I$89,3,0)*0.475*44/12</f>
        <v>18.254396294778868</v>
      </c>
      <c r="CM93" s="21">
        <f>EXP(-LN(2)/2)*CM92+(1-EXP(-LN(2)/2))/(LN(2)/2)*CG93*CJ93*VLOOKUP('Données projet'!$B$12,Paramètres!$A$1:$I$89,3,0)*0.475*44/12</f>
        <v>6.2308592054936378E-2</v>
      </c>
      <c r="CN93" s="22">
        <f t="shared" si="66"/>
        <v>65.64208098612616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1">
        <f t="shared" si="86"/>
        <v>18.85695659900588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67">
        <f t="shared" si="56"/>
        <v>442.38195607660163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229</v>
      </c>
      <c r="O94" s="13">
        <f>N94*VLOOKUP('Données projet'!$B$9,Paramètres!$A$1:$I$89,3,0)*VLOOKUP('Données projet'!$B$9,Paramètres!$A$1:$I$89,5,0)</f>
        <v>136.94200000000001</v>
      </c>
      <c r="P94" s="13">
        <f t="shared" si="87"/>
        <v>35.595562742420903</v>
      </c>
      <c r="Q94" s="20">
        <f t="shared" si="54"/>
        <v>300.50292177638306</v>
      </c>
      <c r="R94" s="59">
        <f t="shared" si="55"/>
        <v>593.83625510971638</v>
      </c>
      <c r="S94" s="59">
        <f ca="1">AVERAGE(OFFSET($R$3,0,0,'Données projet'!$E$9+1,1))-AVERAGE(OFFSET($H$3,0,0,'Données projet'!$E$9+1,1))</f>
        <v>125.14227069357082</v>
      </c>
      <c r="T94" s="59">
        <f t="shared" si="88"/>
        <v>193.39407925063165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11.669067664614602</v>
      </c>
      <c r="AA94" s="21">
        <f>EXP(-LN(2)/25)*AA93+(1-EXP(-LN(2)/25))/(LN(2)/25)*Calculateur!V94*Calculateur!X94*VLOOKUP('Données projet'!$B$9,Paramètres!$A$1:$I$89,3,0)*0.475*44/12</f>
        <v>5.5135932505811098</v>
      </c>
      <c r="AB94" s="21">
        <f>EXP(-LN(2)/2)*AB93+(1-EXP(-LN(2)/2))/(LN(2)/2)*V94*Y94*VLOOKUP('Données projet'!$B$9,Paramètres!$A$1:$I$89,3,0)*0.475*44/12</f>
        <v>3.2024646064305295E-5</v>
      </c>
      <c r="AC94" s="22">
        <f t="shared" si="57"/>
        <v>17.182692939841775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-5.999999999994543E-2</v>
      </c>
      <c r="AJ94" s="13">
        <f>AI94*VLOOKUP('Données projet'!$B$10,Paramètres!$A$1:$I$89,3,0)*VLOOKUP('Données projet'!$B$10,Paramètres!$A$1:$I$89,5,0)</f>
        <v>-2.8079999999974462E-2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74.573470247551825</v>
      </c>
      <c r="AO94" s="59">
        <f t="shared" si="90"/>
        <v>122.43655207772224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39.465159108789841</v>
      </c>
      <c r="AV94" s="21">
        <f>EXP(-LN(2)/25)*AV93+(1-EXP(-LN(2)/25))/(LN(2)/25)*Calculateur!AQ94*Calculateur!AS94*VLOOKUP('Données projet'!$B$10,Paramètres!$A$1:$I$89,3,0)*0.475*44/12</f>
        <v>14.046070985732889</v>
      </c>
      <c r="AW94" s="21">
        <f>EXP(-LN(2)/2)*AW93+(1-EXP(-LN(2)/2))/(LN(2)/2)*AQ94*AT94*VLOOKUP('Données projet'!$B$10,Paramètres!$A$1:$I$89,3,0)*0.475*44/12</f>
        <v>9.364252403570001E-4</v>
      </c>
      <c r="AX94" s="21">
        <f t="shared" si="60"/>
        <v>53.512166519763085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3.8</v>
      </c>
      <c r="BD94" s="12">
        <f>IF('Données projet'!$A$88&gt;35,BD93+BC94-BL93,IF(A94&lt;'Données projet'!$A$88,$BA$205^A94,IF(A94='Données projet'!$A$88,'Données projet'!$B$88,BD93+BC94-BL93)))</f>
        <v>196.79999999999995</v>
      </c>
      <c r="BE94" s="13">
        <f>BD94*VLOOKUP('Données projet'!$B$11,Paramètres!$A$1:$I$89,3,0)*VLOOKUP('Données projet'!$B$11,Paramètres!$A$1:$I$89,5,0)</f>
        <v>199.55519999999996</v>
      </c>
      <c r="BF94" s="13">
        <f t="shared" si="91"/>
        <v>49.646401484745567</v>
      </c>
      <c r="BG94" s="20">
        <f t="shared" si="61"/>
        <v>434.02612258593177</v>
      </c>
      <c r="BH94" s="59">
        <f t="shared" si="62"/>
        <v>727.35945591926509</v>
      </c>
      <c r="BI94" s="59">
        <f ca="1">AVERAGE(OFFSET($BH$3,0,0,'Données projet'!$E$11+1,1))-AVERAGE(OFFSET($H$3,0,0,'Données projet'!$E$11+1,1))</f>
        <v>183.74583738362492</v>
      </c>
      <c r="BJ94" s="59">
        <f t="shared" si="92"/>
        <v>46.344307013926596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31.607849701358479</v>
      </c>
      <c r="BQ94" s="21">
        <f>EXP(-LN(2)/25)*BQ93+(1-EXP(-LN(2)/25))/(LN(2)/25)*Calculateur!BL94*Calculateur!BN94*VLOOKUP('Données projet'!$B$11,Paramètres!$A$1:$I$89,3,0)*0.475*44/12</f>
        <v>1.6764883570969566</v>
      </c>
      <c r="BR94" s="21">
        <f>EXP(-LN(2)/2)*BR93+(1-EXP(-LN(2)/2))/(LN(2)/2)*BL94*BO94*VLOOKUP('Données projet'!$B$11,Paramètres!$A$1:$I$89,3,0)*0.475*44/12</f>
        <v>0.69030221712312856</v>
      </c>
      <c r="BS94" s="22">
        <f t="shared" si="63"/>
        <v>33.974640275578558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789.00000000000045</v>
      </c>
      <c r="BZ94" s="13">
        <f>BY94*VLOOKUP('Données projet'!$B$12,Paramètres!$A$1:$I$89,3,0)*VLOOKUP('Données projet'!$B$12,Paramètres!$A$1:$I$89,5,0)</f>
        <v>348.73800000000023</v>
      </c>
      <c r="CA94" s="13">
        <f t="shared" si="93"/>
        <v>81.302597726165047</v>
      </c>
      <c r="CB94" s="20">
        <f t="shared" si="64"/>
        <v>748.98737437307125</v>
      </c>
      <c r="CC94" s="59">
        <f t="shared" si="65"/>
        <v>1042.3207077064046</v>
      </c>
      <c r="CD94" s="59">
        <f ca="1">AVERAGE(OFFSET($CC$3,0,0,'Données projet'!$E$12+1,1))-AVERAGE(OFFSET($H$3,0,0,'Données projet'!$E$12+1,1))</f>
        <v>333.00091572040611</v>
      </c>
      <c r="CE94" s="59">
        <f t="shared" si="94"/>
        <v>267.06874181561398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46.397354339614417</v>
      </c>
      <c r="CL94" s="21">
        <f>EXP(-LN(2)/25)*CL93+(1-EXP(-LN(2)/25))/(LN(2)/25)*Calculateur!CG94*Calculateur!CI94*VLOOKUP('Données projet'!$B$12,Paramètres!$A$1:$I$89,3,0)*0.475*44/12</f>
        <v>17.75522886814116</v>
      </c>
      <c r="CM94" s="21">
        <f>EXP(-LN(2)/2)*CM93+(1-EXP(-LN(2)/2))/(LN(2)/2)*CG94*CJ94*VLOOKUP('Données projet'!$B$12,Paramètres!$A$1:$I$89,3,0)*0.475*44/12</f>
        <v>4.4058827968231754E-2</v>
      </c>
      <c r="CN94" s="22">
        <f t="shared" si="66"/>
        <v>64.196642035723812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1">
        <f t="shared" si="86"/>
        <v>19.03993894863974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67">
        <f t="shared" si="56"/>
        <v>443.97764033554722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229</v>
      </c>
      <c r="O95" s="13">
        <f>N95*VLOOKUP('Données projet'!$B$9,Paramètres!$A$1:$I$89,3,0)*VLOOKUP('Données projet'!$B$9,Paramètres!$A$1:$I$89,5,0)</f>
        <v>136.94200000000001</v>
      </c>
      <c r="P95" s="13">
        <f t="shared" si="87"/>
        <v>35.595562742420903</v>
      </c>
      <c r="Q95" s="20">
        <f t="shared" si="54"/>
        <v>300.50292177638306</v>
      </c>
      <c r="R95" s="59">
        <f t="shared" si="55"/>
        <v>593.83625510971638</v>
      </c>
      <c r="S95" s="59">
        <f ca="1">AVERAGE(OFFSET($R$3,0,0,'Données projet'!$E$9+1,1))-AVERAGE(OFFSET($H$3,0,0,'Données projet'!$E$9+1,1))</f>
        <v>125.14227069357082</v>
      </c>
      <c r="T95" s="59">
        <f t="shared" si="88"/>
        <v>193.39407925063165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11.440244365139996</v>
      </c>
      <c r="AA95" s="21">
        <f>EXP(-LN(2)/25)*AA94+(1-EXP(-LN(2)/25))/(LN(2)/25)*Calculateur!V95*Calculateur!X95*VLOOKUP('Données projet'!$B$9,Paramètres!$A$1:$I$89,3,0)*0.475*44/12</f>
        <v>5.362823753196702</v>
      </c>
      <c r="AB95" s="21">
        <f>EXP(-LN(2)/2)*AB94+(1-EXP(-LN(2)/2))/(LN(2)/2)*V95*Y95*VLOOKUP('Données projet'!$B$9,Paramètres!$A$1:$I$89,3,0)*0.475*44/12</f>
        <v>2.2644844397169355E-5</v>
      </c>
      <c r="AC95" s="22">
        <f t="shared" si="57"/>
        <v>16.803090763181093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-5.999999999994543E-2</v>
      </c>
      <c r="AJ95" s="13">
        <f>AI95*VLOOKUP('Données projet'!$B$10,Paramètres!$A$1:$I$89,3,0)*VLOOKUP('Données projet'!$B$10,Paramètres!$A$1:$I$89,5,0)</f>
        <v>-2.8079999999974462E-2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74.573470247551825</v>
      </c>
      <c r="AO95" s="59">
        <f t="shared" si="90"/>
        <v>122.43655207772224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38.691271410036677</v>
      </c>
      <c r="AV95" s="21">
        <f>EXP(-LN(2)/25)*AV94+(1-EXP(-LN(2)/25))/(LN(2)/25)*Calculateur!AQ95*Calculateur!AS95*VLOOKUP('Données projet'!$B$10,Paramètres!$A$1:$I$89,3,0)*0.475*44/12</f>
        <v>13.661980435977252</v>
      </c>
      <c r="AW95" s="21">
        <f>EXP(-LN(2)/2)*AW94+(1-EXP(-LN(2)/2))/(LN(2)/2)*AQ95*AT95*VLOOKUP('Données projet'!$B$10,Paramètres!$A$1:$I$89,3,0)*0.475*44/12</f>
        <v>6.621526375306775E-4</v>
      </c>
      <c r="AX95" s="21">
        <f t="shared" si="60"/>
        <v>52.353913998651464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3.8</v>
      </c>
      <c r="BD95" s="12">
        <f>IF('Données projet'!$A$88&gt;35,BD94+BC95-BL94,IF(A95&lt;'Données projet'!$A$88,$BA$205^A95,IF(A95='Données projet'!$A$88,'Données projet'!$B$88,BD94+BC95-BL94)))</f>
        <v>200.59999999999997</v>
      </c>
      <c r="BE95" s="13">
        <f>BD95*VLOOKUP('Données projet'!$B$11,Paramètres!$A$1:$I$89,3,0)*VLOOKUP('Données projet'!$B$11,Paramètres!$A$1:$I$89,5,0)</f>
        <v>203.40839999999997</v>
      </c>
      <c r="BF95" s="13">
        <f t="shared" si="91"/>
        <v>50.492492598977002</v>
      </c>
      <c r="BG95" s="20">
        <f t="shared" si="61"/>
        <v>442.21072127655157</v>
      </c>
      <c r="BH95" s="59">
        <f t="shared" si="62"/>
        <v>735.54405460988482</v>
      </c>
      <c r="BI95" s="59">
        <f ca="1">AVERAGE(OFFSET($BH$3,0,0,'Données projet'!$E$11+1,1))-AVERAGE(OFFSET($H$3,0,0,'Données projet'!$E$11+1,1))</f>
        <v>183.74583738362492</v>
      </c>
      <c r="BJ95" s="59">
        <f t="shared" si="92"/>
        <v>46.344307013926596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30.988039047599525</v>
      </c>
      <c r="BQ95" s="21">
        <f>EXP(-LN(2)/25)*BQ94+(1-EXP(-LN(2)/25))/(LN(2)/25)*Calculateur!BL95*Calculateur!BN95*VLOOKUP('Données projet'!$B$11,Paramètres!$A$1:$I$89,3,0)*0.475*44/12</f>
        <v>1.6306446948094493</v>
      </c>
      <c r="BR95" s="21">
        <f>EXP(-LN(2)/2)*BR94+(1-EXP(-LN(2)/2))/(LN(2)/2)*BL95*BO95*VLOOKUP('Données projet'!$B$11,Paramètres!$A$1:$I$89,3,0)*0.475*44/12</f>
        <v>0.48811737879587269</v>
      </c>
      <c r="BS95" s="22">
        <f t="shared" si="63"/>
        <v>33.106801121204846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789.00000000000045</v>
      </c>
      <c r="BZ95" s="13">
        <f>BY95*VLOOKUP('Données projet'!$B$12,Paramètres!$A$1:$I$89,3,0)*VLOOKUP('Données projet'!$B$12,Paramètres!$A$1:$I$89,5,0)</f>
        <v>348.73800000000023</v>
      </c>
      <c r="CA95" s="13">
        <f t="shared" si="93"/>
        <v>81.302597726165047</v>
      </c>
      <c r="CB95" s="20">
        <f t="shared" si="64"/>
        <v>748.98737437307125</v>
      </c>
      <c r="CC95" s="59">
        <f t="shared" si="65"/>
        <v>1042.3207077064046</v>
      </c>
      <c r="CD95" s="59">
        <f ca="1">AVERAGE(OFFSET($CC$3,0,0,'Données projet'!$E$12+1,1))-AVERAGE(OFFSET($H$3,0,0,'Données projet'!$E$12+1,1))</f>
        <v>333.00091572040611</v>
      </c>
      <c r="CE95" s="59">
        <f t="shared" si="94"/>
        <v>267.06874181561398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45.48753052060637</v>
      </c>
      <c r="CL95" s="21">
        <f>EXP(-LN(2)/25)*CL94+(1-EXP(-LN(2)/25))/(LN(2)/25)*Calculateur!CG95*Calculateur!CI95*VLOOKUP('Données projet'!$B$12,Paramètres!$A$1:$I$89,3,0)*0.475*44/12</f>
        <v>17.269711201034934</v>
      </c>
      <c r="CM95" s="21">
        <f>EXP(-LN(2)/2)*CM94+(1-EXP(-LN(2)/2))/(LN(2)/2)*CG95*CJ95*VLOOKUP('Données projet'!$B$12,Paramètres!$A$1:$I$89,3,0)*0.475*44/12</f>
        <v>3.1154296027468192E-2</v>
      </c>
      <c r="CN95" s="22">
        <f t="shared" si="66"/>
        <v>62.788396017668774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1">
        <f t="shared" si="86"/>
        <v>19.222689927399379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67">
        <f t="shared" si="56"/>
        <v>445.57292162355361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229</v>
      </c>
      <c r="O96" s="13">
        <f>N96*VLOOKUP('Données projet'!$B$9,Paramètres!$A$1:$I$89,3,0)*VLOOKUP('Données projet'!$B$9,Paramètres!$A$1:$I$89,5,0)</f>
        <v>136.94200000000001</v>
      </c>
      <c r="P96" s="13">
        <f t="shared" si="87"/>
        <v>35.595562742420903</v>
      </c>
      <c r="Q96" s="20">
        <f t="shared" si="54"/>
        <v>300.50292177638306</v>
      </c>
      <c r="R96" s="59">
        <f t="shared" si="55"/>
        <v>593.83625510971638</v>
      </c>
      <c r="S96" s="59">
        <f ca="1">AVERAGE(OFFSET($R$3,0,0,'Données projet'!$E$9+1,1))-AVERAGE(OFFSET($H$3,0,0,'Données projet'!$E$9+1,1))</f>
        <v>125.14227069357082</v>
      </c>
      <c r="T96" s="59">
        <f t="shared" si="88"/>
        <v>193.39407925063165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11.215908150999658</v>
      </c>
      <c r="AA96" s="21">
        <f>EXP(-LN(2)/25)*AA95+(1-EXP(-LN(2)/25))/(LN(2)/25)*Calculateur!V96*Calculateur!X96*VLOOKUP('Données projet'!$B$9,Paramètres!$A$1:$I$89,3,0)*0.475*44/12</f>
        <v>5.2161770556468943</v>
      </c>
      <c r="AB96" s="21">
        <f>EXP(-LN(2)/2)*AB95+(1-EXP(-LN(2)/2))/(LN(2)/2)*V96*Y96*VLOOKUP('Données projet'!$B$9,Paramètres!$A$1:$I$89,3,0)*0.475*44/12</f>
        <v>1.6012323032152648E-5</v>
      </c>
      <c r="AC96" s="22">
        <f t="shared" si="57"/>
        <v>16.432101218969585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-5.999999999994543E-2</v>
      </c>
      <c r="AJ96" s="13">
        <f>AI96*VLOOKUP('Données projet'!$B$10,Paramètres!$A$1:$I$89,3,0)*VLOOKUP('Données projet'!$B$10,Paramètres!$A$1:$I$89,5,0)</f>
        <v>-2.8079999999974462E-2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74.573470247551825</v>
      </c>
      <c r="AO96" s="59">
        <f t="shared" si="90"/>
        <v>122.43655207772224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37.932559177031173</v>
      </c>
      <c r="AV96" s="21">
        <f>EXP(-LN(2)/25)*AV95+(1-EXP(-LN(2)/25))/(LN(2)/25)*Calculateur!AQ96*Calculateur!AS96*VLOOKUP('Données projet'!$B$10,Paramètres!$A$1:$I$89,3,0)*0.475*44/12</f>
        <v>13.288392862503128</v>
      </c>
      <c r="AW96" s="21">
        <f>EXP(-LN(2)/2)*AW95+(1-EXP(-LN(2)/2))/(LN(2)/2)*AQ96*AT96*VLOOKUP('Données projet'!$B$10,Paramètres!$A$1:$I$89,3,0)*0.475*44/12</f>
        <v>4.682126201785001E-4</v>
      </c>
      <c r="AX96" s="21">
        <f t="shared" si="60"/>
        <v>51.221420252154481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3.8</v>
      </c>
      <c r="BD96" s="12">
        <f>IF('Données projet'!$A$88&gt;35,BD95+BC96-BL95,IF(A96&lt;'Données projet'!$A$88,$BA$205^A96,IF(A96='Données projet'!$A$88,'Données projet'!$B$88,BD95+BC96-BL95)))</f>
        <v>204.39999999999998</v>
      </c>
      <c r="BE96" s="13">
        <f>BD96*VLOOKUP('Données projet'!$B$11,Paramètres!$A$1:$I$89,3,0)*VLOOKUP('Données projet'!$B$11,Paramètres!$A$1:$I$89,5,0)</f>
        <v>207.26159999999999</v>
      </c>
      <c r="BF96" s="13">
        <f t="shared" si="91"/>
        <v>51.3367200324452</v>
      </c>
      <c r="BG96" s="20">
        <f t="shared" si="61"/>
        <v>450.39207405650865</v>
      </c>
      <c r="BH96" s="59">
        <f t="shared" si="62"/>
        <v>743.72540738984196</v>
      </c>
      <c r="BI96" s="59">
        <f ca="1">AVERAGE(OFFSET($BH$3,0,0,'Données projet'!$E$11+1,1))-AVERAGE(OFFSET($H$3,0,0,'Données projet'!$E$11+1,1))</f>
        <v>183.74583738362492</v>
      </c>
      <c r="BJ96" s="59">
        <f t="shared" si="92"/>
        <v>46.344307013926596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30.380382502713616</v>
      </c>
      <c r="BQ96" s="21">
        <f>EXP(-LN(2)/25)*BQ95+(1-EXP(-LN(2)/25))/(LN(2)/25)*Calculateur!BL96*Calculateur!BN96*VLOOKUP('Données projet'!$B$11,Paramètres!$A$1:$I$89,3,0)*0.475*44/12</f>
        <v>1.5860546298780074</v>
      </c>
      <c r="BR96" s="21">
        <f>EXP(-LN(2)/2)*BR95+(1-EXP(-LN(2)/2))/(LN(2)/2)*BL96*BO96*VLOOKUP('Données projet'!$B$11,Paramètres!$A$1:$I$89,3,0)*0.475*44/12</f>
        <v>0.34515110856156433</v>
      </c>
      <c r="BS96" s="22">
        <f t="shared" si="63"/>
        <v>32.311588241153189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789.00000000000045</v>
      </c>
      <c r="BZ96" s="13">
        <f>BY96*VLOOKUP('Données projet'!$B$12,Paramètres!$A$1:$I$89,3,0)*VLOOKUP('Données projet'!$B$12,Paramètres!$A$1:$I$89,5,0)</f>
        <v>348.73800000000023</v>
      </c>
      <c r="CA96" s="13">
        <f t="shared" si="93"/>
        <v>81.302597726165047</v>
      </c>
      <c r="CB96" s="20">
        <f t="shared" si="64"/>
        <v>748.98737437307125</v>
      </c>
      <c r="CC96" s="59">
        <f t="shared" si="65"/>
        <v>1042.3207077064046</v>
      </c>
      <c r="CD96" s="59">
        <f ca="1">AVERAGE(OFFSET($CC$3,0,0,'Données projet'!$E$12+1,1))-AVERAGE(OFFSET($H$3,0,0,'Données projet'!$E$12+1,1))</f>
        <v>333.00091572040611</v>
      </c>
      <c r="CE96" s="59">
        <f t="shared" si="94"/>
        <v>267.06874181561398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44.595547791751336</v>
      </c>
      <c r="CL96" s="21">
        <f>EXP(-LN(2)/25)*CL95+(1-EXP(-LN(2)/25))/(LN(2)/25)*Calculateur!CG96*Calculateur!CI96*VLOOKUP('Données projet'!$B$12,Paramètres!$A$1:$I$89,3,0)*0.475*44/12</f>
        <v>16.797470040067992</v>
      </c>
      <c r="CM96" s="21">
        <f>EXP(-LN(2)/2)*CM95+(1-EXP(-LN(2)/2))/(LN(2)/2)*CG96*CJ96*VLOOKUP('Données projet'!$B$12,Paramètres!$A$1:$I$89,3,0)*0.475*44/12</f>
        <v>2.202941398411588E-2</v>
      </c>
      <c r="CN96" s="22">
        <f t="shared" si="66"/>
        <v>61.415047245803443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1">
        <f t="shared" si="86"/>
        <v>19.405212311100474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67">
        <f t="shared" si="56"/>
        <v>447.16780477516636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229</v>
      </c>
      <c r="O97" s="13">
        <f>N97*VLOOKUP('Données projet'!$B$9,Paramètres!$A$1:$I$89,3,0)*VLOOKUP('Données projet'!$B$9,Paramètres!$A$1:$I$89,5,0)</f>
        <v>136.94200000000001</v>
      </c>
      <c r="P97" s="13">
        <f t="shared" si="87"/>
        <v>35.595562742420903</v>
      </c>
      <c r="Q97" s="20">
        <f t="shared" si="54"/>
        <v>300.50292177638306</v>
      </c>
      <c r="R97" s="59">
        <f t="shared" si="55"/>
        <v>593.83625510971638</v>
      </c>
      <c r="S97" s="59">
        <f ca="1">AVERAGE(OFFSET($R$3,0,0,'Données projet'!$E$9+1,1))-AVERAGE(OFFSET($H$3,0,0,'Données projet'!$E$9+1,1))</f>
        <v>125.14227069357082</v>
      </c>
      <c r="T97" s="59">
        <f t="shared" si="88"/>
        <v>193.39407925063165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10.995971033187031</v>
      </c>
      <c r="AA97" s="21">
        <f>EXP(-LN(2)/25)*AA96+(1-EXP(-LN(2)/25))/(LN(2)/25)*Calculateur!V97*Calculateur!X97*VLOOKUP('Données projet'!$B$9,Paramètres!$A$1:$I$89,3,0)*0.475*44/12</f>
        <v>5.0735404197534004</v>
      </c>
      <c r="AB97" s="21">
        <f>EXP(-LN(2)/2)*AB96+(1-EXP(-LN(2)/2))/(LN(2)/2)*V97*Y97*VLOOKUP('Données projet'!$B$9,Paramètres!$A$1:$I$89,3,0)*0.475*44/12</f>
        <v>1.1322422198584678E-5</v>
      </c>
      <c r="AC97" s="22">
        <f t="shared" si="57"/>
        <v>16.069522775362632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-5.999999999994543E-2</v>
      </c>
      <c r="AJ97" s="13">
        <f>AI97*VLOOKUP('Données projet'!$B$10,Paramètres!$A$1:$I$89,3,0)*VLOOKUP('Données projet'!$B$10,Paramètres!$A$1:$I$89,5,0)</f>
        <v>-2.8079999999974462E-2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74.573470247551825</v>
      </c>
      <c r="AO97" s="59">
        <f t="shared" si="90"/>
        <v>122.43655207772224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37.188724828146142</v>
      </c>
      <c r="AV97" s="21">
        <f>EXP(-LN(2)/25)*AV96+(1-EXP(-LN(2)/25))/(LN(2)/25)*Calculateur!AQ97*Calculateur!AS97*VLOOKUP('Données projet'!$B$10,Paramètres!$A$1:$I$89,3,0)*0.475*44/12</f>
        <v>12.925021060871771</v>
      </c>
      <c r="AW97" s="21">
        <f>EXP(-LN(2)/2)*AW96+(1-EXP(-LN(2)/2))/(LN(2)/2)*AQ97*AT97*VLOOKUP('Données projet'!$B$10,Paramètres!$A$1:$I$89,3,0)*0.475*44/12</f>
        <v>3.310763187653388E-4</v>
      </c>
      <c r="AX97" s="21">
        <f t="shared" si="60"/>
        <v>50.114076965336679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3.8</v>
      </c>
      <c r="BD97" s="12">
        <f>IF('Données projet'!$A$88&gt;35,BD96+BC97-BL96,IF(A97&lt;'Données projet'!$A$88,$BA$205^A97,IF(A97='Données projet'!$A$88,'Données projet'!$B$88,BD96+BC97-BL96)))</f>
        <v>208.2</v>
      </c>
      <c r="BE97" s="13">
        <f>BD97*VLOOKUP('Données projet'!$B$11,Paramètres!$A$1:$I$89,3,0)*VLOOKUP('Données projet'!$B$11,Paramètres!$A$1:$I$89,5,0)</f>
        <v>211.11479999999997</v>
      </c>
      <c r="BF97" s="13">
        <f t="shared" si="91"/>
        <v>52.179122428493677</v>
      </c>
      <c r="BG97" s="20">
        <f t="shared" si="61"/>
        <v>458.57024822962643</v>
      </c>
      <c r="BH97" s="59">
        <f t="shared" si="62"/>
        <v>751.90358156295974</v>
      </c>
      <c r="BI97" s="59">
        <f ca="1">AVERAGE(OFFSET($BH$3,0,0,'Données projet'!$E$11+1,1))-AVERAGE(OFFSET($H$3,0,0,'Données projet'!$E$11+1,1))</f>
        <v>183.74583738362492</v>
      </c>
      <c r="BJ97" s="59">
        <f t="shared" si="92"/>
        <v>46.344307013926596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29.784641732039024</v>
      </c>
      <c r="BQ97" s="21">
        <f>EXP(-LN(2)/25)*BQ96+(1-EXP(-LN(2)/25))/(LN(2)/25)*Calculateur!BL97*Calculateur!BN97*VLOOKUP('Données projet'!$B$11,Paramètres!$A$1:$I$89,3,0)*0.475*44/12</f>
        <v>1.5426838826170053</v>
      </c>
      <c r="BR97" s="21">
        <f>EXP(-LN(2)/2)*BR96+(1-EXP(-LN(2)/2))/(LN(2)/2)*BL97*BO97*VLOOKUP('Données projet'!$B$11,Paramètres!$A$1:$I$89,3,0)*0.475*44/12</f>
        <v>0.2440586893979364</v>
      </c>
      <c r="BS97" s="22">
        <f t="shared" si="63"/>
        <v>31.571384304053964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789.00000000000045</v>
      </c>
      <c r="BZ97" s="13">
        <f>BY97*VLOOKUP('Données projet'!$B$12,Paramètres!$A$1:$I$89,3,0)*VLOOKUP('Données projet'!$B$12,Paramètres!$A$1:$I$89,5,0)</f>
        <v>348.73800000000023</v>
      </c>
      <c r="CA97" s="13">
        <f t="shared" si="93"/>
        <v>81.302597726165047</v>
      </c>
      <c r="CB97" s="20">
        <f t="shared" si="64"/>
        <v>748.98737437307125</v>
      </c>
      <c r="CC97" s="59">
        <f t="shared" si="65"/>
        <v>1042.3207077064046</v>
      </c>
      <c r="CD97" s="59">
        <f ca="1">AVERAGE(OFFSET($CC$3,0,0,'Données projet'!$E$12+1,1))-AVERAGE(OFFSET($H$3,0,0,'Données projet'!$E$12+1,1))</f>
        <v>333.00091572040611</v>
      </c>
      <c r="CE97" s="59">
        <f t="shared" si="94"/>
        <v>267.06874181561398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43.721056300153407</v>
      </c>
      <c r="CL97" s="21">
        <f>EXP(-LN(2)/25)*CL96+(1-EXP(-LN(2)/25))/(LN(2)/25)*Calculateur!CG97*Calculateur!CI97*VLOOKUP('Données projet'!$B$12,Paramètres!$A$1:$I$89,3,0)*0.475*44/12</f>
        <v>16.338142338481774</v>
      </c>
      <c r="CM97" s="21">
        <f>EXP(-LN(2)/2)*CM96+(1-EXP(-LN(2)/2))/(LN(2)/2)*CG97*CJ97*VLOOKUP('Données projet'!$B$12,Paramètres!$A$1:$I$89,3,0)*0.475*44/12</f>
        <v>1.55771480137341E-2</v>
      </c>
      <c r="CN97" s="22">
        <f t="shared" si="66"/>
        <v>60.074775786648914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1">
        <f t="shared" si="86"/>
        <v>19.58750881309674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67">
        <f t="shared" si="56"/>
        <v>448.76229451614319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229</v>
      </c>
      <c r="O98" s="13">
        <f>N98*VLOOKUP('Données projet'!$B$9,Paramètres!$A$1:$I$89,3,0)*VLOOKUP('Données projet'!$B$9,Paramètres!$A$1:$I$89,5,0)</f>
        <v>136.94200000000001</v>
      </c>
      <c r="P98" s="13">
        <f t="shared" si="87"/>
        <v>35.595562742420903</v>
      </c>
      <c r="Q98" s="20">
        <f t="shared" si="54"/>
        <v>300.50292177638306</v>
      </c>
      <c r="R98" s="59">
        <f t="shared" si="55"/>
        <v>593.83625510971638</v>
      </c>
      <c r="S98" s="59">
        <f ca="1">AVERAGE(OFFSET($R$3,0,0,'Données projet'!$E$9+1,1))-AVERAGE(OFFSET($H$3,0,0,'Données projet'!$E$9+1,1))</f>
        <v>125.14227069357082</v>
      </c>
      <c r="T98" s="59">
        <f t="shared" si="88"/>
        <v>193.39407925063165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10.780346748106314</v>
      </c>
      <c r="AA98" s="21">
        <f>EXP(-LN(2)/25)*AA97+(1-EXP(-LN(2)/25))/(LN(2)/25)*Calculateur!V98*Calculateur!X98*VLOOKUP('Données projet'!$B$9,Paramètres!$A$1:$I$89,3,0)*0.475*44/12</f>
        <v>4.9348041901693485</v>
      </c>
      <c r="AB98" s="21">
        <f>EXP(-LN(2)/2)*AB97+(1-EXP(-LN(2)/2))/(LN(2)/2)*V98*Y98*VLOOKUP('Données projet'!$B$9,Paramètres!$A$1:$I$89,3,0)*0.475*44/12</f>
        <v>8.0061615160763239E-6</v>
      </c>
      <c r="AC98" s="22">
        <f t="shared" si="57"/>
        <v>15.71515894443718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-5.999999999994543E-2</v>
      </c>
      <c r="AJ98" s="13">
        <f>AI98*VLOOKUP('Données projet'!$B$10,Paramètres!$A$1:$I$89,3,0)*VLOOKUP('Données projet'!$B$10,Paramètres!$A$1:$I$89,5,0)</f>
        <v>-2.8079999999974462E-2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74.573470247551825</v>
      </c>
      <c r="AO98" s="59">
        <f t="shared" si="90"/>
        <v>122.43655207772224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36.459476617148596</v>
      </c>
      <c r="AV98" s="21">
        <f>EXP(-LN(2)/25)*AV97+(1-EXP(-LN(2)/25))/(LN(2)/25)*Calculateur!AQ98*Calculateur!AS98*VLOOKUP('Données projet'!$B$10,Paramètres!$A$1:$I$89,3,0)*0.475*44/12</f>
        <v>12.571585680264915</v>
      </c>
      <c r="AW98" s="21">
        <f>EXP(-LN(2)/2)*AW97+(1-EXP(-LN(2)/2))/(LN(2)/2)*AQ98*AT98*VLOOKUP('Données projet'!$B$10,Paramètres!$A$1:$I$89,3,0)*0.475*44/12</f>
        <v>2.3410631008925011E-4</v>
      </c>
      <c r="AX98" s="21">
        <f t="shared" si="60"/>
        <v>49.031296403723601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>
        <f>VLOOKUP(A98,'Données projet'!$A$87:$I$107,2,0)</f>
        <v>212</v>
      </c>
      <c r="BB98" s="12">
        <f>VLOOKUP(A98,'Données projet'!$A$87:$I$107,9,0)</f>
        <v>3.8</v>
      </c>
      <c r="BC98" s="12">
        <f t="array" ref="BC98">INDEX(BB:BB,MIN(IF(ISNUMBER(BB98:BB294),ROW(BB98:BB294),"")))</f>
        <v>3.8</v>
      </c>
      <c r="BD98" s="12">
        <f>IF('Données projet'!$A$88&gt;35,BD97+BC98-BL97,IF(A98&lt;'Données projet'!$A$88,$BA$205^A98,IF(A98='Données projet'!$A$88,'Données projet'!$B$88,BD97+BC98-BL97)))</f>
        <v>212</v>
      </c>
      <c r="BE98" s="13">
        <f>BD98*VLOOKUP('Données projet'!$B$11,Paramètres!$A$1:$I$89,3,0)*VLOOKUP('Données projet'!$B$11,Paramètres!$A$1:$I$89,5,0)</f>
        <v>214.96800000000002</v>
      </c>
      <c r="BF98" s="13">
        <f t="shared" si="91"/>
        <v>53.019736939093043</v>
      </c>
      <c r="BG98" s="20">
        <f t="shared" si="61"/>
        <v>466.74530850225375</v>
      </c>
      <c r="BH98" s="59">
        <f t="shared" si="62"/>
        <v>760.07864183558706</v>
      </c>
      <c r="BI98" s="59">
        <f ca="1">AVERAGE(OFFSET($BH$3,0,0,'Données projet'!$E$11+1,1))-AVERAGE(OFFSET($H$3,0,0,'Données projet'!$E$11+1,1))</f>
        <v>183.74583738362492</v>
      </c>
      <c r="BJ98" s="59">
        <f t="shared" si="92"/>
        <v>46.344307013926596</v>
      </c>
      <c r="BK98" s="15">
        <f>IF(ISNA(VLOOKUP(A98,'Données projet'!$A$87:$I$107,3,0)),0,VLOOKUP(A98,'Données projet'!$A$87:$I$107,3,0))</f>
        <v>13</v>
      </c>
      <c r="BL98" s="15">
        <f>IF(ISNA(VLOOKUP(A98,'Données projet'!$A$87:$I$107,4,0)),0,VLOOKUP(A98,'Données projet'!$A$87:$I$107,4,0))</f>
        <v>14</v>
      </c>
      <c r="BM98" s="16">
        <f>IF(ISNA(VLOOKUP(A98,'Données projet'!$A$87:$I$107,5,0)),0%,VLOOKUP(A98,'Données projet'!$A$87:$I$107,5,0)*VLOOKUP('Données projet'!$B$11,Paramètres!$A$1:$I$89,7,0))</f>
        <v>0.34400000000000003</v>
      </c>
      <c r="BN98" s="16">
        <f>IF(ISNA(VLOOKUP(A98,'Données projet'!$A$87:$I$107,6,0)),0%,VLOOKUP(A98,'Données projet'!$A$87:$I$107,6,0)*VLOOKUP('Données projet'!$B$11,Paramètres!$A$1:$I$89,7,0))</f>
        <v>1.72E-2</v>
      </c>
      <c r="BO98" s="16">
        <f>IF(ISNA(VLOOKUP(A98,'Données projet'!$A$87:$I$107,7,0)),0%,VLOOKUP(A98,'Données projet'!$A$87:$I$107,7,0))</f>
        <v>0.06</v>
      </c>
      <c r="BP98" s="21">
        <f>EXP(-LN(2)/35)*BP97+(1-EXP(-LN(2)/35))/(LN(2)/35)*BL98*BM98*VLOOKUP('Données projet'!$B$11,Paramètres!$A$1:$I$89,3,0)*0.475*44/12</f>
        <v>34.599063657211687</v>
      </c>
      <c r="BQ98" s="21">
        <f>EXP(-LN(2)/25)*BQ97+(1-EXP(-LN(2)/25))/(LN(2)/25)*Calculateur!BL98*Calculateur!BN98*VLOOKUP('Données projet'!$B$11,Paramètres!$A$1:$I$89,3,0)*0.475*44/12</f>
        <v>1.7693603461038168</v>
      </c>
      <c r="BR98" s="21">
        <f>EXP(-LN(2)/2)*BR97+(1-EXP(-LN(2)/2))/(LN(2)/2)*BL98*BO98*VLOOKUP('Données projet'!$B$11,Paramètres!$A$1:$I$89,3,0)*0.475*44/12</f>
        <v>0.97623403906506767</v>
      </c>
      <c r="BS98" s="22">
        <f t="shared" si="63"/>
        <v>37.344658042380573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789.00000000000045</v>
      </c>
      <c r="BZ98" s="13">
        <f>BY98*VLOOKUP('Données projet'!$B$12,Paramètres!$A$1:$I$89,3,0)*VLOOKUP('Données projet'!$B$12,Paramètres!$A$1:$I$89,5,0)</f>
        <v>348.73800000000023</v>
      </c>
      <c r="CA98" s="13">
        <f t="shared" si="93"/>
        <v>81.302597726165047</v>
      </c>
      <c r="CB98" s="20">
        <f t="shared" si="64"/>
        <v>748.98737437307125</v>
      </c>
      <c r="CC98" s="59">
        <f t="shared" si="65"/>
        <v>1042.3207077064046</v>
      </c>
      <c r="CD98" s="59">
        <f ca="1">AVERAGE(OFFSET($CC$3,0,0,'Données projet'!$E$12+1,1))-AVERAGE(OFFSET($H$3,0,0,'Données projet'!$E$12+1,1))</f>
        <v>333.00091572040611</v>
      </c>
      <c r="CE98" s="59">
        <f t="shared" si="94"/>
        <v>267.06874181561398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42.863713053318577</v>
      </c>
      <c r="CL98" s="21">
        <f>EXP(-LN(2)/25)*CL97+(1-EXP(-LN(2)/25))/(LN(2)/25)*Calculateur!CG98*Calculateur!CI98*VLOOKUP('Données projet'!$B$12,Paramètres!$A$1:$I$89,3,0)*0.475*44/12</f>
        <v>15.891374977050425</v>
      </c>
      <c r="CM98" s="21">
        <f>EXP(-LN(2)/2)*CM97+(1-EXP(-LN(2)/2))/(LN(2)/2)*CG98*CJ98*VLOOKUP('Données projet'!$B$12,Paramètres!$A$1:$I$89,3,0)*0.475*44/12</f>
        <v>1.1014706992057942E-2</v>
      </c>
      <c r="CN98" s="22">
        <f t="shared" si="66"/>
        <v>58.766102737361059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1">
        <f t="shared" si="86"/>
        <v>19.769582086327762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67">
        <f t="shared" si="56"/>
        <v>450.35639546702049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229</v>
      </c>
      <c r="O99" s="13">
        <f>N99*VLOOKUP('Données projet'!$B$9,Paramètres!$A$1:$I$89,3,0)*VLOOKUP('Données projet'!$B$9,Paramètres!$A$1:$I$89,5,0)</f>
        <v>136.94200000000001</v>
      </c>
      <c r="P99" s="13">
        <f t="shared" si="87"/>
        <v>35.595562742420903</v>
      </c>
      <c r="Q99" s="20">
        <f t="shared" ref="Q99:Q130" si="107">(O99+P99)*0.475*44/12</f>
        <v>300.50292177638306</v>
      </c>
      <c r="R99" s="59">
        <f t="shared" si="55"/>
        <v>593.83625510971638</v>
      </c>
      <c r="S99" s="59">
        <f ca="1">AVERAGE(OFFSET($R$3,0,0,'Données projet'!$E$9+1,1))-AVERAGE(OFFSET($H$3,0,0,'Données projet'!$E$9+1,1))</f>
        <v>125.14227069357082</v>
      </c>
      <c r="T99" s="59">
        <f t="shared" si="88"/>
        <v>193.39407925063165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10.568950723738203</v>
      </c>
      <c r="AA99" s="21">
        <f>EXP(-LN(2)/25)*AA98+(1-EXP(-LN(2)/25))/(LN(2)/25)*Calculateur!V99*Calculateur!X99*VLOOKUP('Données projet'!$B$9,Paramètres!$A$1:$I$89,3,0)*0.475*44/12</f>
        <v>4.7998617100790941</v>
      </c>
      <c r="AB99" s="21">
        <f>EXP(-LN(2)/2)*AB98+(1-EXP(-LN(2)/2))/(LN(2)/2)*V99*Y99*VLOOKUP('Données projet'!$B$9,Paramètres!$A$1:$I$89,3,0)*0.475*44/12</f>
        <v>5.6612110992923388E-6</v>
      </c>
      <c r="AC99" s="22">
        <f t="shared" si="57"/>
        <v>15.368818095028397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-5.999999999994543E-2</v>
      </c>
      <c r="AJ99" s="13">
        <f>AI99*VLOOKUP('Données projet'!$B$10,Paramètres!$A$1:$I$89,3,0)*VLOOKUP('Données projet'!$B$10,Paramètres!$A$1:$I$89,5,0)</f>
        <v>-2.8079999999974462E-2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74.573470247551825</v>
      </c>
      <c r="AO99" s="59">
        <f t="shared" si="90"/>
        <v>122.43655207772224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35.744528518771219</v>
      </c>
      <c r="AV99" s="21">
        <f>EXP(-LN(2)/25)*AV98+(1-EXP(-LN(2)/25))/(LN(2)/25)*Calculateur!AQ99*Calculateur!AS99*VLOOKUP('Données projet'!$B$10,Paramètres!$A$1:$I$89,3,0)*0.475*44/12</f>
        <v>12.227815008727113</v>
      </c>
      <c r="AW99" s="21">
        <f>EXP(-LN(2)/2)*AW98+(1-EXP(-LN(2)/2))/(LN(2)/2)*AQ99*AT99*VLOOKUP('Données projet'!$B$10,Paramètres!$A$1:$I$89,3,0)*0.475*44/12</f>
        <v>1.6553815938266943E-4</v>
      </c>
      <c r="AX99" s="21">
        <f t="shared" si="60"/>
        <v>47.972509065657711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3.6</v>
      </c>
      <c r="BD99" s="12">
        <f>IF('Données projet'!$A$88&gt;35,BD98+BC99-BL98,IF(A99&lt;'Données projet'!$A$88,$BA$205^A99,IF(A99='Données projet'!$A$88,'Données projet'!$B$88,BD98+BC99-BL98)))</f>
        <v>201.6</v>
      </c>
      <c r="BE99" s="13">
        <f>BD99*VLOOKUP('Données projet'!$B$11,Paramètres!$A$1:$I$89,3,0)*VLOOKUP('Données projet'!$B$11,Paramètres!$A$1:$I$89,5,0)</f>
        <v>204.42239999999998</v>
      </c>
      <c r="BF99" s="13">
        <f t="shared" si="91"/>
        <v>50.714836797527262</v>
      </c>
      <c r="BG99" s="20">
        <f t="shared" si="61"/>
        <v>444.36402075569328</v>
      </c>
      <c r="BH99" s="59">
        <f t="shared" si="62"/>
        <v>737.69735408902659</v>
      </c>
      <c r="BI99" s="59">
        <f ca="1">AVERAGE(OFFSET($BH$3,0,0,'Données projet'!$E$11+1,1))-AVERAGE(OFFSET($H$3,0,0,'Données projet'!$E$11+1,1))</f>
        <v>183.74583738362492</v>
      </c>
      <c r="BJ99" s="59">
        <f t="shared" si="92"/>
        <v>46.344307013926596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33.920597122238817</v>
      </c>
      <c r="BQ99" s="21">
        <f>EXP(-LN(2)/25)*BQ98+(1-EXP(-LN(2)/25))/(LN(2)/25)*Calculateur!BL99*Calculateur!BN99*VLOOKUP('Données projet'!$B$11,Paramètres!$A$1:$I$89,3,0)*0.475*44/12</f>
        <v>1.7209770943929912</v>
      </c>
      <c r="BR99" s="21">
        <f>EXP(-LN(2)/2)*BR98+(1-EXP(-LN(2)/2))/(LN(2)/2)*BL99*BO99*VLOOKUP('Données projet'!$B$11,Paramètres!$A$1:$I$89,3,0)*0.475*44/12</f>
        <v>0.69030170904804233</v>
      </c>
      <c r="BS99" s="22">
        <f t="shared" si="63"/>
        <v>36.331875925679853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789.00000000000045</v>
      </c>
      <c r="BZ99" s="13">
        <f>BY99*VLOOKUP('Données projet'!$B$12,Paramètres!$A$1:$I$89,3,0)*VLOOKUP('Données projet'!$B$12,Paramètres!$A$1:$I$89,5,0)</f>
        <v>348.73800000000023</v>
      </c>
      <c r="CA99" s="13">
        <f t="shared" si="93"/>
        <v>81.302597726165047</v>
      </c>
      <c r="CB99" s="20">
        <f t="shared" si="64"/>
        <v>748.98737437307125</v>
      </c>
      <c r="CC99" s="59">
        <f t="shared" si="65"/>
        <v>1042.3207077064046</v>
      </c>
      <c r="CD99" s="59">
        <f ca="1">AVERAGE(OFFSET($CC$3,0,0,'Données projet'!$E$12+1,1))-AVERAGE(OFFSET($H$3,0,0,'Données projet'!$E$12+1,1))</f>
        <v>333.00091572040611</v>
      </c>
      <c r="CE99" s="59">
        <f t="shared" si="94"/>
        <v>267.06874181561398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42.023181784626431</v>
      </c>
      <c r="CL99" s="21">
        <f>EXP(-LN(2)/25)*CL98+(1-EXP(-LN(2)/25))/(LN(2)/25)*Calculateur!CG99*Calculateur!CI99*VLOOKUP('Données projet'!$B$12,Paramètres!$A$1:$I$89,3,0)*0.475*44/12</f>
        <v>15.456824492611892</v>
      </c>
      <c r="CM99" s="21">
        <f>EXP(-LN(2)/2)*CM98+(1-EXP(-LN(2)/2))/(LN(2)/2)*CG99*CJ99*VLOOKUP('Données projet'!$B$12,Paramètres!$A$1:$I$89,3,0)*0.475*44/12</f>
        <v>7.7885740068670507E-3</v>
      </c>
      <c r="CN99" s="22">
        <f t="shared" si="66"/>
        <v>57.487794851245191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1">
        <f t="shared" si="86"/>
        <v>19.951434725279164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67">
        <f t="shared" si="56"/>
        <v>451.95011214652754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229</v>
      </c>
      <c r="O100" s="13">
        <f>N100*VLOOKUP('Données projet'!$B$9,Paramètres!$A$1:$I$89,3,0)*VLOOKUP('Données projet'!$B$9,Paramètres!$A$1:$I$89,5,0)</f>
        <v>136.94200000000001</v>
      </c>
      <c r="P100" s="13">
        <f t="shared" si="87"/>
        <v>35.595562742420903</v>
      </c>
      <c r="Q100" s="20">
        <f t="shared" si="107"/>
        <v>300.50292177638306</v>
      </c>
      <c r="R100" s="59">
        <f t="shared" si="55"/>
        <v>593.83625510971638</v>
      </c>
      <c r="S100" s="59">
        <f ca="1">AVERAGE(OFFSET($R$3,0,0,'Données projet'!$E$9+1,1))-AVERAGE(OFFSET($H$3,0,0,'Données projet'!$E$9+1,1))</f>
        <v>125.14227069357082</v>
      </c>
      <c r="T100" s="59">
        <f t="shared" si="88"/>
        <v>193.39407925063165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10.361700046469107</v>
      </c>
      <c r="AA100" s="21">
        <f>EXP(-LN(2)/25)*AA99+(1-EXP(-LN(2)/25))/(LN(2)/25)*Calculateur!V100*Calculateur!X100*VLOOKUP('Données projet'!$B$9,Paramètres!$A$1:$I$89,3,0)*0.475*44/12</f>
        <v>4.6686092392032243</v>
      </c>
      <c r="AB100" s="21">
        <f>EXP(-LN(2)/2)*AB99+(1-EXP(-LN(2)/2))/(LN(2)/2)*V100*Y100*VLOOKUP('Données projet'!$B$9,Paramètres!$A$1:$I$89,3,0)*0.475*44/12</f>
        <v>4.0030807580381619E-6</v>
      </c>
      <c r="AC100" s="22">
        <f t="shared" si="57"/>
        <v>15.030313288753089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-5.999999999994543E-2</v>
      </c>
      <c r="AJ100" s="13">
        <f>AI100*VLOOKUP('Données projet'!$B$10,Paramètres!$A$1:$I$89,3,0)*VLOOKUP('Données projet'!$B$10,Paramètres!$A$1:$I$89,5,0)</f>
        <v>-2.8079999999974462E-2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74.573470247551825</v>
      </c>
      <c r="AO100" s="59">
        <f t="shared" si="90"/>
        <v>122.43655207772224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35.043600116527742</v>
      </c>
      <c r="AV100" s="21">
        <f>EXP(-LN(2)/25)*AV99+(1-EXP(-LN(2)/25))/(LN(2)/25)*Calculateur!AQ100*Calculateur!AS100*VLOOKUP('Données projet'!$B$10,Paramètres!$A$1:$I$89,3,0)*0.475*44/12</f>
        <v>11.893444764280625</v>
      </c>
      <c r="AW100" s="21">
        <f>EXP(-LN(2)/2)*AW99+(1-EXP(-LN(2)/2))/(LN(2)/2)*AQ100*AT100*VLOOKUP('Données projet'!$B$10,Paramètres!$A$1:$I$89,3,0)*0.475*44/12</f>
        <v>1.1705315504462507E-4</v>
      </c>
      <c r="AX100" s="21">
        <f t="shared" si="60"/>
        <v>46.937161933963409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3.6</v>
      </c>
      <c r="BD100" s="12">
        <f>IF('Données projet'!$A$88&gt;35,BD99+BC100-BL99,IF(A100&lt;'Données projet'!$A$88,$BA$205^A100,IF(A100='Données projet'!$A$88,'Données projet'!$B$88,BD99+BC100-BL99)))</f>
        <v>205.2</v>
      </c>
      <c r="BE100" s="13">
        <f>BD100*VLOOKUP('Données projet'!$B$11,Paramètres!$A$1:$I$89,3,0)*VLOOKUP('Données projet'!$B$11,Paramètres!$A$1:$I$89,5,0)</f>
        <v>208.0728</v>
      </c>
      <c r="BF100" s="13">
        <f t="shared" si="91"/>
        <v>51.514218302854317</v>
      </c>
      <c r="BG100" s="20">
        <f t="shared" si="61"/>
        <v>452.11405687747123</v>
      </c>
      <c r="BH100" s="59">
        <f t="shared" si="62"/>
        <v>745.44739021080454</v>
      </c>
      <c r="BI100" s="59">
        <f ca="1">AVERAGE(OFFSET($BH$3,0,0,'Données projet'!$E$11+1,1))-AVERAGE(OFFSET($H$3,0,0,'Données projet'!$E$11+1,1))</f>
        <v>183.74583738362492</v>
      </c>
      <c r="BJ100" s="59">
        <f t="shared" si="92"/>
        <v>46.344307013926596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33.255434902193038</v>
      </c>
      <c r="BQ100" s="21">
        <f>EXP(-LN(2)/25)*BQ99+(1-EXP(-LN(2)/25))/(LN(2)/25)*Calculateur!BL100*Calculateur!BN100*VLOOKUP('Données projet'!$B$11,Paramètres!$A$1:$I$89,3,0)*0.475*44/12</f>
        <v>1.6739168852445627</v>
      </c>
      <c r="BR100" s="21">
        <f>EXP(-LN(2)/2)*BR99+(1-EXP(-LN(2)/2))/(LN(2)/2)*BL100*BO100*VLOOKUP('Données projet'!$B$11,Paramètres!$A$1:$I$89,3,0)*0.475*44/12</f>
        <v>0.48811701953253389</v>
      </c>
      <c r="BS100" s="22">
        <f t="shared" si="63"/>
        <v>35.417468806970135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789.00000000000045</v>
      </c>
      <c r="BZ100" s="13">
        <f>BY100*VLOOKUP('Données projet'!$B$12,Paramètres!$A$1:$I$89,3,0)*VLOOKUP('Données projet'!$B$12,Paramètres!$A$1:$I$89,5,0)</f>
        <v>348.73800000000023</v>
      </c>
      <c r="CA100" s="13">
        <f t="shared" si="93"/>
        <v>81.302597726165047</v>
      </c>
      <c r="CB100" s="20">
        <f t="shared" si="64"/>
        <v>748.98737437307125</v>
      </c>
      <c r="CC100" s="59">
        <f t="shared" si="65"/>
        <v>1042.3207077064046</v>
      </c>
      <c r="CD100" s="59">
        <f ca="1">AVERAGE(OFFSET($CC$3,0,0,'Données projet'!$E$12+1,1))-AVERAGE(OFFSET($H$3,0,0,'Données projet'!$E$12+1,1))</f>
        <v>333.00091572040611</v>
      </c>
      <c r="CE100" s="59">
        <f t="shared" si="94"/>
        <v>267.06874181561398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41.199132821439882</v>
      </c>
      <c r="CL100" s="21">
        <f>EXP(-LN(2)/25)*CL99+(1-EXP(-LN(2)/25))/(LN(2)/25)*Calculateur!CG100*Calculateur!CI100*VLOOKUP('Données projet'!$B$12,Paramètres!$A$1:$I$89,3,0)*0.475*44/12</f>
        <v>15.034156814022346</v>
      </c>
      <c r="CM100" s="21">
        <f>EXP(-LN(2)/2)*CM99+(1-EXP(-LN(2)/2))/(LN(2)/2)*CG100*CJ100*VLOOKUP('Données projet'!$B$12,Paramètres!$A$1:$I$89,3,0)*0.475*44/12</f>
        <v>5.5073534960289718E-3</v>
      </c>
      <c r="CN100" s="22">
        <f t="shared" si="66"/>
        <v>56.238796988958256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1">
        <f t="shared" si="86"/>
        <v>20.133069267859618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67">
        <f t="shared" si="56"/>
        <v>453.54344897485515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229</v>
      </c>
      <c r="O101" s="13">
        <f>N101*VLOOKUP('Données projet'!$B$9,Paramètres!$A$1:$I$89,3,0)*VLOOKUP('Données projet'!$B$9,Paramètres!$A$1:$I$89,5,0)</f>
        <v>136.94200000000001</v>
      </c>
      <c r="P101" s="13">
        <f t="shared" si="87"/>
        <v>35.595562742420903</v>
      </c>
      <c r="Q101" s="20">
        <f t="shared" si="107"/>
        <v>300.50292177638306</v>
      </c>
      <c r="R101" s="59">
        <f t="shared" si="55"/>
        <v>593.83625510971638</v>
      </c>
      <c r="S101" s="59">
        <f ca="1">AVERAGE(OFFSET($R$3,0,0,'Données projet'!$E$9+1,1))-AVERAGE(OFFSET($H$3,0,0,'Données projet'!$E$9+1,1))</f>
        <v>125.14227069357082</v>
      </c>
      <c r="T101" s="59">
        <f t="shared" si="88"/>
        <v>193.39407925063165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10.158513428570826</v>
      </c>
      <c r="AA101" s="21">
        <f>EXP(-LN(2)/25)*AA100+(1-EXP(-LN(2)/25))/(LN(2)/25)*Calculateur!V101*Calculateur!X101*VLOOKUP('Données projet'!$B$9,Paramètres!$A$1:$I$89,3,0)*0.475*44/12</f>
        <v>4.5409458740457227</v>
      </c>
      <c r="AB101" s="21">
        <f>EXP(-LN(2)/2)*AB100+(1-EXP(-LN(2)/2))/(LN(2)/2)*V101*Y101*VLOOKUP('Données projet'!$B$9,Paramètres!$A$1:$I$89,3,0)*0.475*44/12</f>
        <v>2.8306055496461694E-6</v>
      </c>
      <c r="AC101" s="22">
        <f t="shared" si="57"/>
        <v>14.699462133222099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-5.999999999994543E-2</v>
      </c>
      <c r="AJ101" s="13">
        <f>AI101*VLOOKUP('Données projet'!$B$10,Paramètres!$A$1:$I$89,3,0)*VLOOKUP('Données projet'!$B$10,Paramètres!$A$1:$I$89,5,0)</f>
        <v>-2.8079999999974462E-2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74.573470247551825</v>
      </c>
      <c r="AO101" s="59">
        <f t="shared" si="90"/>
        <v>122.43655207772224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34.356416492728151</v>
      </c>
      <c r="AV101" s="21">
        <f>EXP(-LN(2)/25)*AV100+(1-EXP(-LN(2)/25))/(LN(2)/25)*Calculateur!AQ101*Calculateur!AS101*VLOOKUP('Données projet'!$B$10,Paramètres!$A$1:$I$89,3,0)*0.475*44/12</f>
        <v>11.568217891752294</v>
      </c>
      <c r="AW101" s="21">
        <f>EXP(-LN(2)/2)*AW100+(1-EXP(-LN(2)/2))/(LN(2)/2)*AQ101*AT101*VLOOKUP('Données projet'!$B$10,Paramètres!$A$1:$I$89,3,0)*0.475*44/12</f>
        <v>8.2769079691334728E-5</v>
      </c>
      <c r="AX101" s="21">
        <f t="shared" si="60"/>
        <v>45.924717153560131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3.6</v>
      </c>
      <c r="BD101" s="12">
        <f>IF('Données projet'!$A$88&gt;35,BD100+BC101-BL100,IF(A101&lt;'Données projet'!$A$88,$BA$205^A101,IF(A101='Données projet'!$A$88,'Données projet'!$B$88,BD100+BC101-BL100)))</f>
        <v>208.79999999999998</v>
      </c>
      <c r="BE101" s="13">
        <f>BD101*VLOOKUP('Données projet'!$B$11,Paramètres!$A$1:$I$89,3,0)*VLOOKUP('Données projet'!$B$11,Paramètres!$A$1:$I$89,5,0)</f>
        <v>211.72319999999999</v>
      </c>
      <c r="BF101" s="13">
        <f t="shared" si="91"/>
        <v>52.311968964212078</v>
      </c>
      <c r="BG101" s="20">
        <f t="shared" si="61"/>
        <v>459.86125261266926</v>
      </c>
      <c r="BH101" s="59">
        <f t="shared" si="62"/>
        <v>753.19458594600258</v>
      </c>
      <c r="BI101" s="59">
        <f ca="1">AVERAGE(OFFSET($BH$3,0,0,'Données projet'!$E$11+1,1))-AVERAGE(OFFSET($H$3,0,0,'Données projet'!$E$11+1,1))</f>
        <v>183.74583738362492</v>
      </c>
      <c r="BJ101" s="59">
        <f t="shared" si="92"/>
        <v>46.344307013926596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32.603316107573463</v>
      </c>
      <c r="BQ101" s="21">
        <f>EXP(-LN(2)/25)*BQ100+(1-EXP(-LN(2)/25))/(LN(2)/25)*Calculateur!BL101*Calculateur!BN101*VLOOKUP('Données projet'!$B$11,Paramètres!$A$1:$I$89,3,0)*0.475*44/12</f>
        <v>1.628143539990087</v>
      </c>
      <c r="BR101" s="21">
        <f>EXP(-LN(2)/2)*BR100+(1-EXP(-LN(2)/2))/(LN(2)/2)*BL101*BO101*VLOOKUP('Données projet'!$B$11,Paramètres!$A$1:$I$89,3,0)*0.475*44/12</f>
        <v>0.34515085452402122</v>
      </c>
      <c r="BS101" s="22">
        <f t="shared" si="63"/>
        <v>34.576610502087568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789.00000000000045</v>
      </c>
      <c r="BZ101" s="13">
        <f>BY101*VLOOKUP('Données projet'!$B$12,Paramètres!$A$1:$I$89,3,0)*VLOOKUP('Données projet'!$B$12,Paramètres!$A$1:$I$89,5,0)</f>
        <v>348.73800000000023</v>
      </c>
      <c r="CA101" s="13">
        <f t="shared" si="93"/>
        <v>81.302597726165047</v>
      </c>
      <c r="CB101" s="20">
        <f t="shared" si="64"/>
        <v>748.98737437307125</v>
      </c>
      <c r="CC101" s="59">
        <f t="shared" si="65"/>
        <v>1042.3207077064046</v>
      </c>
      <c r="CD101" s="59">
        <f ca="1">AVERAGE(OFFSET($CC$3,0,0,'Données projet'!$E$12+1,1))-AVERAGE(OFFSET($H$3,0,0,'Données projet'!$E$12+1,1))</f>
        <v>333.00091572040611</v>
      </c>
      <c r="CE101" s="59">
        <f t="shared" si="94"/>
        <v>267.06874181561398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40.391242955801182</v>
      </c>
      <c r="CL101" s="21">
        <f>EXP(-LN(2)/25)*CL100+(1-EXP(-LN(2)/25))/(LN(2)/25)*Calculateur!CG101*Calculateur!CI101*VLOOKUP('Données projet'!$B$12,Paramètres!$A$1:$I$89,3,0)*0.475*44/12</f>
        <v>14.623047005330958</v>
      </c>
      <c r="CM101" s="21">
        <f>EXP(-LN(2)/2)*CM100+(1-EXP(-LN(2)/2))/(LN(2)/2)*CG101*CJ101*VLOOKUP('Données projet'!$B$12,Paramètres!$A$1:$I$89,3,0)*0.475*44/12</f>
        <v>3.8942870034335258E-3</v>
      </c>
      <c r="CN101" s="22">
        <f t="shared" si="66"/>
        <v>55.018184248135576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1">
        <f t="shared" si="86"/>
        <v>20.314488197199012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67">
        <f t="shared" si="56"/>
        <v>455.13641027678796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229</v>
      </c>
      <c r="O102" s="13">
        <f>N102*VLOOKUP('Données projet'!$B$9,Paramètres!$A$1:$I$89,3,0)*VLOOKUP('Données projet'!$B$9,Paramètres!$A$1:$I$89,5,0)</f>
        <v>136.94200000000001</v>
      </c>
      <c r="P102" s="13">
        <f t="shared" si="87"/>
        <v>35.595562742420903</v>
      </c>
      <c r="Q102" s="20">
        <f t="shared" si="107"/>
        <v>300.50292177638306</v>
      </c>
      <c r="R102" s="59">
        <f t="shared" si="55"/>
        <v>593.83625510971638</v>
      </c>
      <c r="S102" s="59">
        <f ca="1">AVERAGE(OFFSET($R$3,0,0,'Données projet'!$E$9+1,1))-AVERAGE(OFFSET($H$3,0,0,'Données projet'!$E$9+1,1))</f>
        <v>125.14227069357082</v>
      </c>
      <c r="T102" s="59">
        <f t="shared" si="88"/>
        <v>193.39407925063165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9.9593111763179305</v>
      </c>
      <c r="AA102" s="21">
        <f>EXP(-LN(2)/25)*AA101+(1-EXP(-LN(2)/25))/(LN(2)/25)*Calculateur!V102*Calculateur!X102*VLOOKUP('Données projet'!$B$9,Paramètres!$A$1:$I$89,3,0)*0.475*44/12</f>
        <v>4.416773470321977</v>
      </c>
      <c r="AB102" s="21">
        <f>EXP(-LN(2)/2)*AB101+(1-EXP(-LN(2)/2))/(LN(2)/2)*V102*Y102*VLOOKUP('Données projet'!$B$9,Paramètres!$A$1:$I$89,3,0)*0.475*44/12</f>
        <v>2.001540379019081E-6</v>
      </c>
      <c r="AC102" s="22">
        <f t="shared" si="57"/>
        <v>14.376086648180285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-5.999999999994543E-2</v>
      </c>
      <c r="AJ102" s="13">
        <f>AI102*VLOOKUP('Données projet'!$B$10,Paramètres!$A$1:$I$89,3,0)*VLOOKUP('Données projet'!$B$10,Paramètres!$A$1:$I$89,5,0)</f>
        <v>-2.8079999999974462E-2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74.573470247551825</v>
      </c>
      <c r="AO102" s="59">
        <f t="shared" si="90"/>
        <v>122.43655207772224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33.682708120650645</v>
      </c>
      <c r="AV102" s="21">
        <f>EXP(-LN(2)/25)*AV101+(1-EXP(-LN(2)/25))/(LN(2)/25)*Calculateur!AQ102*Calculateur!AS102*VLOOKUP('Données projet'!$B$10,Paramètres!$A$1:$I$89,3,0)*0.475*44/12</f>
        <v>11.251884365156188</v>
      </c>
      <c r="AW102" s="21">
        <f>EXP(-LN(2)/2)*AW101+(1-EXP(-LN(2)/2))/(LN(2)/2)*AQ102*AT102*VLOOKUP('Données projet'!$B$10,Paramètres!$A$1:$I$89,3,0)*0.475*44/12</f>
        <v>5.8526577522312547E-5</v>
      </c>
      <c r="AX102" s="21">
        <f t="shared" si="60"/>
        <v>44.934651012384357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3.6</v>
      </c>
      <c r="BD102" s="12">
        <f>IF('Données projet'!$A$88&gt;35,BD101+BC102-BL101,IF(A102&lt;'Données projet'!$A$88,$BA$205^A102,IF(A102='Données projet'!$A$88,'Données projet'!$B$88,BD101+BC102-BL101)))</f>
        <v>212.39999999999998</v>
      </c>
      <c r="BE102" s="13">
        <f>BD102*VLOOKUP('Données projet'!$B$11,Paramètres!$A$1:$I$89,3,0)*VLOOKUP('Données projet'!$B$11,Paramètres!$A$1:$I$89,5,0)</f>
        <v>215.37360000000001</v>
      </c>
      <c r="BF102" s="13">
        <f t="shared" si="91"/>
        <v>53.108120144188916</v>
      </c>
      <c r="BG102" s="20">
        <f t="shared" si="61"/>
        <v>467.60566258446232</v>
      </c>
      <c r="BH102" s="59">
        <f t="shared" si="62"/>
        <v>760.93899591779564</v>
      </c>
      <c r="BI102" s="59">
        <f ca="1">AVERAGE(OFFSET($BH$3,0,0,'Données projet'!$E$11+1,1))-AVERAGE(OFFSET($H$3,0,0,'Données projet'!$E$11+1,1))</f>
        <v>183.74583738362492</v>
      </c>
      <c r="BJ102" s="59">
        <f t="shared" si="92"/>
        <v>46.344307013926596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31.963984964763188</v>
      </c>
      <c r="BQ102" s="21">
        <f>EXP(-LN(2)/25)*BQ101+(1-EXP(-LN(2)/25))/(LN(2)/25)*Calculateur!BL102*Calculateur!BN102*VLOOKUP('Données projet'!$B$11,Paramètres!$A$1:$I$89,3,0)*0.475*44/12</f>
        <v>1.5836218692687105</v>
      </c>
      <c r="BR102" s="21">
        <f>EXP(-LN(2)/2)*BR101+(1-EXP(-LN(2)/2))/(LN(2)/2)*BL102*BO102*VLOOKUP('Données projet'!$B$11,Paramètres!$A$1:$I$89,3,0)*0.475*44/12</f>
        <v>0.244058509766267</v>
      </c>
      <c r="BS102" s="22">
        <f t="shared" si="63"/>
        <v>33.791665343798165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789.00000000000045</v>
      </c>
      <c r="BZ102" s="13">
        <f>BY102*VLOOKUP('Données projet'!$B$12,Paramètres!$A$1:$I$89,3,0)*VLOOKUP('Données projet'!$B$12,Paramètres!$A$1:$I$89,5,0)</f>
        <v>348.73800000000023</v>
      </c>
      <c r="CA102" s="13">
        <f t="shared" si="93"/>
        <v>81.302597726165047</v>
      </c>
      <c r="CB102" s="20">
        <f t="shared" si="64"/>
        <v>748.98737437307125</v>
      </c>
      <c r="CC102" s="59">
        <f t="shared" si="65"/>
        <v>1042.3207077064046</v>
      </c>
      <c r="CD102" s="59">
        <f ca="1">AVERAGE(OFFSET($CC$3,0,0,'Données projet'!$E$12+1,1))-AVERAGE(OFFSET($H$3,0,0,'Données projet'!$E$12+1,1))</f>
        <v>333.00091572040611</v>
      </c>
      <c r="CE102" s="59">
        <f t="shared" si="94"/>
        <v>267.06874181561398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39.599195317663501</v>
      </c>
      <c r="CL102" s="21">
        <f>EXP(-LN(2)/25)*CL101+(1-EXP(-LN(2)/25))/(LN(2)/25)*Calculateur!CG102*Calculateur!CI102*VLOOKUP('Données projet'!$B$12,Paramètres!$A$1:$I$89,3,0)*0.475*44/12</f>
        <v>14.223179015977562</v>
      </c>
      <c r="CM102" s="21">
        <f>EXP(-LN(2)/2)*CM101+(1-EXP(-LN(2)/2))/(LN(2)/2)*CG102*CJ102*VLOOKUP('Données projet'!$B$12,Paramètres!$A$1:$I$89,3,0)*0.475*44/12</f>
        <v>2.7536767480144863E-3</v>
      </c>
      <c r="CN102" s="22">
        <f t="shared" si="66"/>
        <v>53.825128010389079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1">
        <f t="shared" si="86"/>
        <v>20.495693943372022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67">
        <f t="shared" si="56"/>
        <v>456.72900028470588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229</v>
      </c>
      <c r="O103" s="13">
        <f>N103*VLOOKUP('Données projet'!$B$9,Paramètres!$A$1:$I$89,3,0)*VLOOKUP('Données projet'!$B$9,Paramètres!$A$1:$I$89,5,0)</f>
        <v>136.94200000000001</v>
      </c>
      <c r="P103" s="13">
        <f t="shared" si="87"/>
        <v>35.595562742420903</v>
      </c>
      <c r="Q103" s="20">
        <f t="shared" si="107"/>
        <v>300.50292177638306</v>
      </c>
      <c r="R103" s="59">
        <f t="shared" si="55"/>
        <v>593.83625510971638</v>
      </c>
      <c r="S103" s="59">
        <f ca="1">AVERAGE(OFFSET($R$3,0,0,'Données projet'!$E$9+1,1))-AVERAGE(OFFSET($H$3,0,0,'Données projet'!$E$9+1,1))</f>
        <v>125.14227069357082</v>
      </c>
      <c r="T103" s="59">
        <f t="shared" si="88"/>
        <v>193.39407925063165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9.7640151587303379</v>
      </c>
      <c r="AA103" s="21">
        <f>EXP(-LN(2)/25)*AA102+(1-EXP(-LN(2)/25))/(LN(2)/25)*Calculateur!V103*Calculateur!X103*VLOOKUP('Données projet'!$B$9,Paramètres!$A$1:$I$89,3,0)*0.475*44/12</f>
        <v>4.2959965675080003</v>
      </c>
      <c r="AB103" s="21">
        <f>EXP(-LN(2)/2)*AB102+(1-EXP(-LN(2)/2))/(LN(2)/2)*V103*Y103*VLOOKUP('Données projet'!$B$9,Paramètres!$A$1:$I$89,3,0)*0.475*44/12</f>
        <v>1.4153027748230847E-6</v>
      </c>
      <c r="AC103" s="22">
        <f t="shared" si="57"/>
        <v>14.060013141541113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-5.999999999994543E-2</v>
      </c>
      <c r="AJ103" s="13">
        <f>AI103*VLOOKUP('Données projet'!$B$10,Paramètres!$A$1:$I$89,3,0)*VLOOKUP('Données projet'!$B$10,Paramètres!$A$1:$I$89,5,0)</f>
        <v>-2.8079999999974462E-2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74.573470247551825</v>
      </c>
      <c r="AO103" s="59">
        <f t="shared" si="90"/>
        <v>122.43655207772224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33.022210758828045</v>
      </c>
      <c r="AV103" s="21">
        <f>EXP(-LN(2)/25)*AV102+(1-EXP(-LN(2)/25))/(LN(2)/25)*Calculateur!AQ103*Calculateur!AS103*VLOOKUP('Données projet'!$B$10,Paramètres!$A$1:$I$89,3,0)*0.475*44/12</f>
        <v>10.944200995480109</v>
      </c>
      <c r="AW103" s="21">
        <f>EXP(-LN(2)/2)*AW102+(1-EXP(-LN(2)/2))/(LN(2)/2)*AQ103*AT103*VLOOKUP('Données projet'!$B$10,Paramètres!$A$1:$I$89,3,0)*0.475*44/12</f>
        <v>4.1384539845667371E-5</v>
      </c>
      <c r="AX103" s="21">
        <f t="shared" si="60"/>
        <v>43.966453138848003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216</v>
      </c>
      <c r="BB103" s="12">
        <f>VLOOKUP(A103,'Données projet'!$A$87:$I$107,9,0)</f>
        <v>3.6</v>
      </c>
      <c r="BC103" s="12">
        <f t="array" ref="BC103">INDEX(BB:BB,MIN(IF(ISNUMBER(BB103:BB299),ROW(BB103:BB299),"")))</f>
        <v>3.6</v>
      </c>
      <c r="BD103" s="12">
        <f>IF('Données projet'!$A$88&gt;35,BD102+BC103-BL102,IF(A103&lt;'Données projet'!$A$88,$BA$205^A103,IF(A103='Données projet'!$A$88,'Données projet'!$B$88,BD102+BC103-BL102)))</f>
        <v>215.99999999999997</v>
      </c>
      <c r="BE103" s="13">
        <f>BD103*VLOOKUP('Données projet'!$B$11,Paramètres!$A$1:$I$89,3,0)*VLOOKUP('Données projet'!$B$11,Paramètres!$A$1:$I$89,5,0)</f>
        <v>219.02399999999997</v>
      </c>
      <c r="BF103" s="13">
        <f t="shared" si="91"/>
        <v>53.902702081308355</v>
      </c>
      <c r="BG103" s="20">
        <f t="shared" si="61"/>
        <v>475.34733945827867</v>
      </c>
      <c r="BH103" s="59">
        <f t="shared" si="62"/>
        <v>768.68067279161198</v>
      </c>
      <c r="BI103" s="59">
        <f ca="1">AVERAGE(OFFSET($BH$3,0,0,'Données projet'!$E$11+1,1))-AVERAGE(OFFSET($H$3,0,0,'Données projet'!$E$11+1,1))</f>
        <v>183.74583738362492</v>
      </c>
      <c r="BJ103" s="59">
        <f t="shared" si="92"/>
        <v>46.344307013926596</v>
      </c>
      <c r="BK103" s="15">
        <f>IF(ISNA(VLOOKUP(A103,'Données projet'!$A$87:$I$107,3,0)),0,VLOOKUP(A103,'Données projet'!$A$87:$I$107,3,0))</f>
        <v>14</v>
      </c>
      <c r="BL103" s="15">
        <f>IF(ISNA(VLOOKUP(A103,'Données projet'!$A$87:$I$107,4,0)),0,VLOOKUP(A103,'Données projet'!$A$87:$I$107,4,0))</f>
        <v>14</v>
      </c>
      <c r="BM103" s="16">
        <f>IF(ISNA(VLOOKUP(A103,'Données projet'!$A$87:$I$107,5,0)),0%,VLOOKUP(A103,'Données projet'!$A$87:$I$107,5,0)*VLOOKUP('Données projet'!$B$11,Paramètres!$A$1:$I$89,7,0))</f>
        <v>0.34400000000000003</v>
      </c>
      <c r="BN103" s="16">
        <f>IF(ISNA(VLOOKUP(A103,'Données projet'!$A$87:$I$107,6,0)),0%,VLOOKUP(A103,'Données projet'!$A$87:$I$107,6,0)*VLOOKUP('Données projet'!$B$11,Paramètres!$A$1:$I$89,7,0))</f>
        <v>1.72E-2</v>
      </c>
      <c r="BO103" s="16">
        <f>IF(ISNA(VLOOKUP(A103,'Données projet'!$A$87:$I$107,7,0)),0%,VLOOKUP(A103,'Données projet'!$A$87:$I$107,7,0))</f>
        <v>0.06</v>
      </c>
      <c r="BP103" s="21">
        <f>EXP(-LN(2)/35)*BP102+(1-EXP(-LN(2)/35))/(LN(2)/35)*BL103*BM103*VLOOKUP('Données projet'!$B$11,Paramètres!$A$1:$I$89,3,0)*0.475*44/12</f>
        <v>36.735671298410246</v>
      </c>
      <c r="BQ103" s="21">
        <f>EXP(-LN(2)/25)*BQ102+(1-EXP(-LN(2)/25))/(LN(2)/25)*Calculateur!BL103*Calculateur!BN103*VLOOKUP('Données projet'!$B$11,Paramètres!$A$1:$I$89,3,0)*0.475*44/12</f>
        <v>1.8091788813576959</v>
      </c>
      <c r="BR103" s="21">
        <f>EXP(-LN(2)/2)*BR102+(1-EXP(-LN(2)/2))/(LN(2)/2)*BL103*BO103*VLOOKUP('Données projet'!$B$11,Paramètres!$A$1:$I$89,3,0)*0.475*44/12</f>
        <v>0.97623391204629617</v>
      </c>
      <c r="BS103" s="22">
        <f t="shared" si="63"/>
        <v>39.521084091814238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789.00000000000045</v>
      </c>
      <c r="BZ103" s="13">
        <f>BY103*VLOOKUP('Données projet'!$B$12,Paramètres!$A$1:$I$89,3,0)*VLOOKUP('Données projet'!$B$12,Paramètres!$A$1:$I$89,5,0)</f>
        <v>348.73800000000023</v>
      </c>
      <c r="CA103" s="13">
        <f t="shared" si="93"/>
        <v>81.302597726165047</v>
      </c>
      <c r="CB103" s="20">
        <f t="shared" si="64"/>
        <v>748.98737437307125</v>
      </c>
      <c r="CC103" s="59">
        <f t="shared" si="65"/>
        <v>1042.3207077064046</v>
      </c>
      <c r="CD103" s="59">
        <f ca="1">AVERAGE(OFFSET($CC$3,0,0,'Données projet'!$E$12+1,1))-AVERAGE(OFFSET($H$3,0,0,'Données projet'!$E$12+1,1))</f>
        <v>333.00091572040611</v>
      </c>
      <c r="CE103" s="59">
        <f t="shared" si="94"/>
        <v>267.06874181561398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38.822679250608338</v>
      </c>
      <c r="CL103" s="21">
        <f>EXP(-LN(2)/25)*CL102+(1-EXP(-LN(2)/25))/(LN(2)/25)*Calculateur!CG103*Calculateur!CI103*VLOOKUP('Données projet'!$B$12,Paramètres!$A$1:$I$89,3,0)*0.475*44/12</f>
        <v>13.834245437821179</v>
      </c>
      <c r="CM103" s="21">
        <f>EXP(-LN(2)/2)*CM102+(1-EXP(-LN(2)/2))/(LN(2)/2)*CG103*CJ103*VLOOKUP('Données projet'!$B$12,Paramètres!$A$1:$I$89,3,0)*0.475*44/12</f>
        <v>1.9471435017167633E-3</v>
      </c>
      <c r="CN103" s="22">
        <f t="shared" si="66"/>
        <v>52.658871831931236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1">
        <f t="shared" si="86"/>
        <v>20.676688885050506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67">
        <f t="shared" si="56"/>
        <v>458.32122314146261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229</v>
      </c>
      <c r="O104" s="13">
        <f>N104*VLOOKUP('Données projet'!$B$9,Paramètres!$A$1:$I$89,3,0)*VLOOKUP('Données projet'!$B$9,Paramètres!$A$1:$I$89,5,0)</f>
        <v>136.94200000000001</v>
      </c>
      <c r="P104" s="13">
        <f t="shared" si="87"/>
        <v>35.595562742420903</v>
      </c>
      <c r="Q104" s="20">
        <f t="shared" si="107"/>
        <v>300.50292177638306</v>
      </c>
      <c r="R104" s="59">
        <f t="shared" si="55"/>
        <v>593.83625510971638</v>
      </c>
      <c r="S104" s="59">
        <f ca="1">AVERAGE(OFFSET($R$3,0,0,'Données projet'!$E$9+1,1))-AVERAGE(OFFSET($H$3,0,0,'Données projet'!$E$9+1,1))</f>
        <v>125.14227069357082</v>
      </c>
      <c r="T104" s="59">
        <f t="shared" si="88"/>
        <v>193.39407925063165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9.57254877692883</v>
      </c>
      <c r="AA104" s="21">
        <f>EXP(-LN(2)/25)*AA103+(1-EXP(-LN(2)/25))/(LN(2)/25)*Calculateur!V104*Calculateur!X104*VLOOKUP('Données projet'!$B$9,Paramètres!$A$1:$I$89,3,0)*0.475*44/12</f>
        <v>4.1785223154528532</v>
      </c>
      <c r="AB104" s="21">
        <f>EXP(-LN(2)/2)*AB103+(1-EXP(-LN(2)/2))/(LN(2)/2)*V104*Y104*VLOOKUP('Données projet'!$B$9,Paramètres!$A$1:$I$89,3,0)*0.475*44/12</f>
        <v>1.0007701895095405E-6</v>
      </c>
      <c r="AC104" s="22">
        <f t="shared" si="57"/>
        <v>13.751072093151873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-5.999999999994543E-2</v>
      </c>
      <c r="AJ104" s="13">
        <f>AI104*VLOOKUP('Données projet'!$B$10,Paramètres!$A$1:$I$89,3,0)*VLOOKUP('Données projet'!$B$10,Paramètres!$A$1:$I$89,5,0)</f>
        <v>-2.8079999999974462E-2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74.573470247551825</v>
      </c>
      <c r="AO104" s="59">
        <f t="shared" si="90"/>
        <v>122.43655207772224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32.374665347407173</v>
      </c>
      <c r="AV104" s="21">
        <f>EXP(-LN(2)/25)*AV103+(1-EXP(-LN(2)/25))/(LN(2)/25)*Calculateur!AQ104*Calculateur!AS104*VLOOKUP('Données projet'!$B$10,Paramètres!$A$1:$I$89,3,0)*0.475*44/12</f>
        <v>10.644931243728189</v>
      </c>
      <c r="AW104" s="21">
        <f>EXP(-LN(2)/2)*AW103+(1-EXP(-LN(2)/2))/(LN(2)/2)*AQ104*AT104*VLOOKUP('Données projet'!$B$10,Paramètres!$A$1:$I$89,3,0)*0.475*44/12</f>
        <v>2.9263288761156277E-5</v>
      </c>
      <c r="AX104" s="21">
        <f t="shared" si="60"/>
        <v>43.01962585442412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3.2</v>
      </c>
      <c r="BD104" s="12">
        <f>IF('Données projet'!$A$88&gt;35,BD103+BC104-BL103,IF(A104&lt;'Données projet'!$A$88,$BA$205^A104,IF(A104='Données projet'!$A$88,'Données projet'!$B$88,BD103+BC104-BL103)))</f>
        <v>205.19999999999996</v>
      </c>
      <c r="BE104" s="13">
        <f>BD104*VLOOKUP('Données projet'!$B$11,Paramètres!$A$1:$I$89,3,0)*VLOOKUP('Données projet'!$B$11,Paramètres!$A$1:$I$89,5,0)</f>
        <v>208.07279999999994</v>
      </c>
      <c r="BF104" s="13">
        <f t="shared" si="91"/>
        <v>51.514218302854317</v>
      </c>
      <c r="BG104" s="20">
        <f t="shared" si="61"/>
        <v>452.11405687747123</v>
      </c>
      <c r="BH104" s="59">
        <f t="shared" si="62"/>
        <v>745.44739021080454</v>
      </c>
      <c r="BI104" s="59">
        <f ca="1">AVERAGE(OFFSET($BH$3,0,0,'Données projet'!$E$11+1,1))-AVERAGE(OFFSET($H$3,0,0,'Données projet'!$E$11+1,1))</f>
        <v>183.74583738362492</v>
      </c>
      <c r="BJ104" s="59">
        <f t="shared" si="92"/>
        <v>46.344307013926596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36.015307190795447</v>
      </c>
      <c r="BQ104" s="21">
        <f>EXP(-LN(2)/25)*BQ103+(1-EXP(-LN(2)/25))/(LN(2)/25)*Calculateur!BL104*Calculateur!BN104*VLOOKUP('Données projet'!$B$11,Paramètres!$A$1:$I$89,3,0)*0.475*44/12</f>
        <v>1.7597067897063872</v>
      </c>
      <c r="BR104" s="21">
        <f>EXP(-LN(2)/2)*BR103+(1-EXP(-LN(2)/2))/(LN(2)/2)*BL104*BO104*VLOOKUP('Données projet'!$B$11,Paramètres!$A$1:$I$89,3,0)*0.475*44/12</f>
        <v>0.69030161923220767</v>
      </c>
      <c r="BS104" s="22">
        <f t="shared" si="63"/>
        <v>38.465315599734041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789.00000000000045</v>
      </c>
      <c r="BZ104" s="13">
        <f>BY104*VLOOKUP('Données projet'!$B$12,Paramètres!$A$1:$I$89,3,0)*VLOOKUP('Données projet'!$B$12,Paramètres!$A$1:$I$89,5,0)</f>
        <v>348.73800000000023</v>
      </c>
      <c r="CA104" s="13">
        <f t="shared" si="93"/>
        <v>81.302597726165047</v>
      </c>
      <c r="CB104" s="20">
        <f t="shared" si="64"/>
        <v>748.98737437307125</v>
      </c>
      <c r="CC104" s="59">
        <f t="shared" si="65"/>
        <v>1042.3207077064046</v>
      </c>
      <c r="CD104" s="59">
        <f ca="1">AVERAGE(OFFSET($CC$3,0,0,'Données projet'!$E$12+1,1))-AVERAGE(OFFSET($H$3,0,0,'Données projet'!$E$12+1,1))</f>
        <v>333.00091572040611</v>
      </c>
      <c r="CE104" s="59">
        <f t="shared" si="94"/>
        <v>267.06874181561398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38.061390190000097</v>
      </c>
      <c r="CL104" s="21">
        <f>EXP(-LN(2)/25)*CL103+(1-EXP(-LN(2)/25))/(LN(2)/25)*Calculateur!CG104*Calculateur!CI104*VLOOKUP('Données projet'!$B$12,Paramètres!$A$1:$I$89,3,0)*0.475*44/12</f>
        <v>13.45594726881261</v>
      </c>
      <c r="CM104" s="21">
        <f>EXP(-LN(2)/2)*CM103+(1-EXP(-LN(2)/2))/(LN(2)/2)*CG104*CJ104*VLOOKUP('Données projet'!$B$12,Paramètres!$A$1:$I$89,3,0)*0.475*44/12</f>
        <v>1.3768383740072434E-3</v>
      </c>
      <c r="CN104" s="22">
        <f t="shared" si="66"/>
        <v>51.518714297186712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1">
        <f t="shared" si="86"/>
        <v>20.857475351088922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67">
        <f t="shared" si="56"/>
        <v>459.91308290314612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229</v>
      </c>
      <c r="O105" s="13">
        <f>N105*VLOOKUP('Données projet'!$B$9,Paramètres!$A$1:$I$89,3,0)*VLOOKUP('Données projet'!$B$9,Paramètres!$A$1:$I$89,5,0)</f>
        <v>136.94200000000001</v>
      </c>
      <c r="P105" s="13">
        <f t="shared" si="87"/>
        <v>35.595562742420903</v>
      </c>
      <c r="Q105" s="20">
        <f t="shared" si="107"/>
        <v>300.50292177638306</v>
      </c>
      <c r="R105" s="59">
        <f t="shared" si="55"/>
        <v>593.83625510971638</v>
      </c>
      <c r="S105" s="59">
        <f ca="1">AVERAGE(OFFSET($R$3,0,0,'Données projet'!$E$9+1,1))-AVERAGE(OFFSET($H$3,0,0,'Données projet'!$E$9+1,1))</f>
        <v>125.14227069357082</v>
      </c>
      <c r="T105" s="59">
        <f t="shared" si="88"/>
        <v>193.39407925063165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9.3848369340914886</v>
      </c>
      <c r="AA105" s="21">
        <f>EXP(-LN(2)/25)*AA104+(1-EXP(-LN(2)/25))/(LN(2)/25)*Calculateur!V105*Calculateur!X105*VLOOKUP('Données projet'!$B$9,Paramètres!$A$1:$I$89,3,0)*0.475*44/12</f>
        <v>4.0642604029978564</v>
      </c>
      <c r="AB105" s="21">
        <f>EXP(-LN(2)/2)*AB104+(1-EXP(-LN(2)/2))/(LN(2)/2)*V105*Y105*VLOOKUP('Données projet'!$B$9,Paramètres!$A$1:$I$89,3,0)*0.475*44/12</f>
        <v>7.0765138741154236E-7</v>
      </c>
      <c r="AC105" s="22">
        <f t="shared" si="57"/>
        <v>13.449098044740733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-5.999999999994543E-2</v>
      </c>
      <c r="AJ105" s="13">
        <f>AI105*VLOOKUP('Données projet'!$B$10,Paramètres!$A$1:$I$89,3,0)*VLOOKUP('Données projet'!$B$10,Paramètres!$A$1:$I$89,5,0)</f>
        <v>-2.8079999999974462E-2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74.573470247551825</v>
      </c>
      <c r="AO105" s="59">
        <f t="shared" si="90"/>
        <v>122.43655207772224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31.739817906540566</v>
      </c>
      <c r="AV105" s="21">
        <f>EXP(-LN(2)/25)*AV104+(1-EXP(-LN(2)/25))/(LN(2)/25)*Calculateur!AQ105*Calculateur!AS105*VLOOKUP('Données projet'!$B$10,Paramètres!$A$1:$I$89,3,0)*0.475*44/12</f>
        <v>10.353845039075837</v>
      </c>
      <c r="AW105" s="21">
        <f>EXP(-LN(2)/2)*AW104+(1-EXP(-LN(2)/2))/(LN(2)/2)*AQ105*AT105*VLOOKUP('Données projet'!$B$10,Paramètres!$A$1:$I$89,3,0)*0.475*44/12</f>
        <v>2.0692269922833689E-5</v>
      </c>
      <c r="AX105" s="21">
        <f t="shared" si="60"/>
        <v>42.093683637886322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3.2</v>
      </c>
      <c r="BD105" s="12">
        <f>IF('Données projet'!$A$88&gt;35,BD104+BC105-BL104,IF(A105&lt;'Données projet'!$A$88,$BA$205^A105,IF(A105='Données projet'!$A$88,'Données projet'!$B$88,BD104+BC105-BL104)))</f>
        <v>208.39999999999995</v>
      </c>
      <c r="BE105" s="13">
        <f>BD105*VLOOKUP('Données projet'!$B$11,Paramètres!$A$1:$I$89,3,0)*VLOOKUP('Données projet'!$B$11,Paramètres!$A$1:$I$89,5,0)</f>
        <v>211.31759999999997</v>
      </c>
      <c r="BF105" s="13">
        <f t="shared" si="91"/>
        <v>52.223409552263242</v>
      </c>
      <c r="BG105" s="20">
        <f t="shared" si="61"/>
        <v>459.00059163685847</v>
      </c>
      <c r="BH105" s="59">
        <f t="shared" si="62"/>
        <v>752.33392497019179</v>
      </c>
      <c r="BI105" s="59">
        <f ca="1">AVERAGE(OFFSET($BH$3,0,0,'Données projet'!$E$11+1,1))-AVERAGE(OFFSET($H$3,0,0,'Données projet'!$E$11+1,1))</f>
        <v>183.74583738362492</v>
      </c>
      <c r="BJ105" s="59">
        <f t="shared" si="92"/>
        <v>46.344307013926596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35.309068983952258</v>
      </c>
      <c r="BQ105" s="21">
        <f>EXP(-LN(2)/25)*BQ104+(1-EXP(-LN(2)/25))/(LN(2)/25)*Calculateur!BL105*Calculateur!BN105*VLOOKUP('Données projet'!$B$11,Paramètres!$A$1:$I$89,3,0)*0.475*44/12</f>
        <v>1.7115875150029078</v>
      </c>
      <c r="BR105" s="21">
        <f>EXP(-LN(2)/2)*BR104+(1-EXP(-LN(2)/2))/(LN(2)/2)*BL105*BO105*VLOOKUP('Données projet'!$B$11,Paramètres!$A$1:$I$89,3,0)*0.475*44/12</f>
        <v>0.48811695602314814</v>
      </c>
      <c r="BS105" s="22">
        <f t="shared" si="63"/>
        <v>37.508773454978318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789.00000000000045</v>
      </c>
      <c r="BZ105" s="13">
        <f>BY105*VLOOKUP('Données projet'!$B$12,Paramètres!$A$1:$I$89,3,0)*VLOOKUP('Données projet'!$B$12,Paramètres!$A$1:$I$89,5,0)</f>
        <v>348.73800000000023</v>
      </c>
      <c r="CA105" s="13">
        <f t="shared" si="93"/>
        <v>81.302597726165047</v>
      </c>
      <c r="CB105" s="20">
        <f t="shared" si="64"/>
        <v>748.98737437307125</v>
      </c>
      <c r="CC105" s="59">
        <f t="shared" si="65"/>
        <v>1042.3207077064046</v>
      </c>
      <c r="CD105" s="59">
        <f ca="1">AVERAGE(OFFSET($CC$3,0,0,'Données projet'!$E$12+1,1))-AVERAGE(OFFSET($H$3,0,0,'Données projet'!$E$12+1,1))</f>
        <v>333.00091572040611</v>
      </c>
      <c r="CE105" s="59">
        <f t="shared" si="94"/>
        <v>267.06874181561398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37.315029543529903</v>
      </c>
      <c r="CL105" s="21">
        <f>EXP(-LN(2)/25)*CL104+(1-EXP(-LN(2)/25))/(LN(2)/25)*Calculateur!CG105*Calculateur!CI105*VLOOKUP('Données projet'!$B$12,Paramètres!$A$1:$I$89,3,0)*0.475*44/12</f>
        <v>13.087993683129415</v>
      </c>
      <c r="CM105" s="21">
        <f>EXP(-LN(2)/2)*CM104+(1-EXP(-LN(2)/2))/(LN(2)/2)*CG105*CJ105*VLOOKUP('Données projet'!$B$12,Paramètres!$A$1:$I$89,3,0)*0.475*44/12</f>
        <v>9.7357175085838177E-4</v>
      </c>
      <c r="CN105" s="22">
        <f t="shared" si="66"/>
        <v>50.403996798410176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1">
        <f t="shared" si="86"/>
        <v>21.038055622045484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67">
        <f t="shared" si="56"/>
        <v>461.50458354172883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229</v>
      </c>
      <c r="O106" s="13">
        <f>N106*VLOOKUP('Données projet'!$B$9,Paramètres!$A$1:$I$89,3,0)*VLOOKUP('Données projet'!$B$9,Paramètres!$A$1:$I$89,5,0)</f>
        <v>136.94200000000001</v>
      </c>
      <c r="P106" s="13">
        <f t="shared" si="87"/>
        <v>35.595562742420903</v>
      </c>
      <c r="Q106" s="20">
        <f t="shared" si="107"/>
        <v>300.50292177638306</v>
      </c>
      <c r="R106" s="59">
        <f t="shared" si="55"/>
        <v>593.83625510971638</v>
      </c>
      <c r="S106" s="59">
        <f ca="1">AVERAGE(OFFSET($R$3,0,0,'Données projet'!$E$9+1,1))-AVERAGE(OFFSET($H$3,0,0,'Données projet'!$E$9+1,1))</f>
        <v>125.14227069357082</v>
      </c>
      <c r="T106" s="59">
        <f t="shared" si="88"/>
        <v>193.39407925063165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9.2008060059992687</v>
      </c>
      <c r="AA106" s="21">
        <f>EXP(-LN(2)/25)*AA105+(1-EXP(-LN(2)/25))/(LN(2)/25)*Calculateur!V106*Calculateur!X106*VLOOKUP('Données projet'!$B$9,Paramètres!$A$1:$I$89,3,0)*0.475*44/12</f>
        <v>3.9531229885477144</v>
      </c>
      <c r="AB106" s="21">
        <f>EXP(-LN(2)/2)*AB105+(1-EXP(-LN(2)/2))/(LN(2)/2)*V106*Y106*VLOOKUP('Données projet'!$B$9,Paramètres!$A$1:$I$89,3,0)*0.475*44/12</f>
        <v>5.0038509475477024E-7</v>
      </c>
      <c r="AC106" s="22">
        <f t="shared" si="57"/>
        <v>13.153929494932079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-5.999999999994543E-2</v>
      </c>
      <c r="AJ106" s="13">
        <f>AI106*VLOOKUP('Données projet'!$B$10,Paramètres!$A$1:$I$89,3,0)*VLOOKUP('Données projet'!$B$10,Paramètres!$A$1:$I$89,5,0)</f>
        <v>-2.8079999999974462E-2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74.573470247551825</v>
      </c>
      <c r="AO106" s="59">
        <f t="shared" si="90"/>
        <v>122.43655207772224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31.11741943677065</v>
      </c>
      <c r="AV106" s="21">
        <f>EXP(-LN(2)/25)*AV105+(1-EXP(-LN(2)/25))/(LN(2)/25)*Calculateur!AQ106*Calculateur!AS106*VLOOKUP('Données projet'!$B$10,Paramètres!$A$1:$I$89,3,0)*0.475*44/12</f>
        <v>10.070718601997262</v>
      </c>
      <c r="AW106" s="21">
        <f>EXP(-LN(2)/2)*AW105+(1-EXP(-LN(2)/2))/(LN(2)/2)*AQ106*AT106*VLOOKUP('Données projet'!$B$10,Paramètres!$A$1:$I$89,3,0)*0.475*44/12</f>
        <v>1.463164438057814E-5</v>
      </c>
      <c r="AX106" s="21">
        <f t="shared" si="60"/>
        <v>41.188152670412293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3.2</v>
      </c>
      <c r="BD106" s="12">
        <f>IF('Données projet'!$A$88&gt;35,BD105+BC106-BL105,IF(A106&lt;'Données projet'!$A$88,$BA$205^A106,IF(A106='Données projet'!$A$88,'Données projet'!$B$88,BD105+BC106-BL105)))</f>
        <v>211.59999999999994</v>
      </c>
      <c r="BE106" s="13">
        <f>BD106*VLOOKUP('Données projet'!$B$11,Paramètres!$A$1:$I$89,3,0)*VLOOKUP('Données projet'!$B$11,Paramètres!$A$1:$I$89,5,0)</f>
        <v>214.56239999999994</v>
      </c>
      <c r="BF106" s="13">
        <f t="shared" si="91"/>
        <v>52.931334320900206</v>
      </c>
      <c r="BG106" s="20">
        <f t="shared" si="61"/>
        <v>465.88492060890104</v>
      </c>
      <c r="BH106" s="59">
        <f t="shared" si="62"/>
        <v>759.21825394223436</v>
      </c>
      <c r="BI106" s="59">
        <f ca="1">AVERAGE(OFFSET($BH$3,0,0,'Données projet'!$E$11+1,1))-AVERAGE(OFFSET($H$3,0,0,'Données projet'!$E$11+1,1))</f>
        <v>183.74583738362492</v>
      </c>
      <c r="BJ106" s="59">
        <f t="shared" si="92"/>
        <v>46.344307013926596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34.616679677582489</v>
      </c>
      <c r="BQ106" s="21">
        <f>EXP(-LN(2)/25)*BQ105+(1-EXP(-LN(2)/25))/(LN(2)/25)*Calculateur!BL106*Calculateur!BN106*VLOOKUP('Données projet'!$B$11,Paramètres!$A$1:$I$89,3,0)*0.475*44/12</f>
        <v>1.6647840643966778</v>
      </c>
      <c r="BR106" s="21">
        <f>EXP(-LN(2)/2)*BR105+(1-EXP(-LN(2)/2))/(LN(2)/2)*BL106*BO106*VLOOKUP('Données projet'!$B$11,Paramètres!$A$1:$I$89,3,0)*0.475*44/12</f>
        <v>0.34515080961610389</v>
      </c>
      <c r="BS106" s="22">
        <f t="shared" si="63"/>
        <v>36.626614551595267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789.00000000000045</v>
      </c>
      <c r="BZ106" s="13">
        <f>BY106*VLOOKUP('Données projet'!$B$12,Paramètres!$A$1:$I$89,3,0)*VLOOKUP('Données projet'!$B$12,Paramètres!$A$1:$I$89,5,0)</f>
        <v>348.73800000000023</v>
      </c>
      <c r="CA106" s="13">
        <f t="shared" si="93"/>
        <v>81.302597726165047</v>
      </c>
      <c r="CB106" s="20">
        <f t="shared" si="64"/>
        <v>748.98737437307125</v>
      </c>
      <c r="CC106" s="59">
        <f t="shared" si="65"/>
        <v>1042.3207077064046</v>
      </c>
      <c r="CD106" s="59">
        <f ca="1">AVERAGE(OFFSET($CC$3,0,0,'Données projet'!$E$12+1,1))-AVERAGE(OFFSET($H$3,0,0,'Données projet'!$E$12+1,1))</f>
        <v>333.00091572040611</v>
      </c>
      <c r="CE106" s="59">
        <f t="shared" si="94"/>
        <v>267.06874181561398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36.583304574101945</v>
      </c>
      <c r="CL106" s="21">
        <f>EXP(-LN(2)/25)*CL105+(1-EXP(-LN(2)/25))/(LN(2)/25)*Calculateur!CG106*Calculateur!CI106*VLOOKUP('Données projet'!$B$12,Paramètres!$A$1:$I$89,3,0)*0.475*44/12</f>
        <v>12.730101807596567</v>
      </c>
      <c r="CM106" s="21">
        <f>EXP(-LN(2)/2)*CM105+(1-EXP(-LN(2)/2))/(LN(2)/2)*CG106*CJ106*VLOOKUP('Données projet'!$B$12,Paramètres!$A$1:$I$89,3,0)*0.475*44/12</f>
        <v>6.884191870036218E-4</v>
      </c>
      <c r="CN106" s="22">
        <f t="shared" si="66"/>
        <v>49.31409480088552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1">
        <f t="shared" si="86"/>
        <v>21.21843193164279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67">
        <f t="shared" si="56"/>
        <v>463.09572894761084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229</v>
      </c>
      <c r="O107" s="13">
        <f>N107*VLOOKUP('Données projet'!$B$9,Paramètres!$A$1:$I$89,3,0)*VLOOKUP('Données projet'!$B$9,Paramètres!$A$1:$I$89,5,0)</f>
        <v>136.94200000000001</v>
      </c>
      <c r="P107" s="13">
        <f t="shared" si="87"/>
        <v>35.595562742420903</v>
      </c>
      <c r="Q107" s="20">
        <f t="shared" si="107"/>
        <v>300.50292177638306</v>
      </c>
      <c r="R107" s="59">
        <f t="shared" si="55"/>
        <v>593.83625510971638</v>
      </c>
      <c r="S107" s="59">
        <f ca="1">AVERAGE(OFFSET($R$3,0,0,'Données projet'!$E$9+1,1))-AVERAGE(OFFSET($H$3,0,0,'Données projet'!$E$9+1,1))</f>
        <v>125.14227069357082</v>
      </c>
      <c r="T107" s="59">
        <f t="shared" si="88"/>
        <v>193.39407925063165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9.0203838121591531</v>
      </c>
      <c r="AA107" s="21">
        <f>EXP(-LN(2)/25)*AA106+(1-EXP(-LN(2)/25))/(LN(2)/25)*Calculateur!V107*Calculateur!X107*VLOOKUP('Données projet'!$B$9,Paramètres!$A$1:$I$89,3,0)*0.475*44/12</f>
        <v>3.845024632540174</v>
      </c>
      <c r="AB107" s="21">
        <f>EXP(-LN(2)/2)*AB106+(1-EXP(-LN(2)/2))/(LN(2)/2)*V107*Y107*VLOOKUP('Données projet'!$B$9,Paramètres!$A$1:$I$89,3,0)*0.475*44/12</f>
        <v>3.5382569370577118E-7</v>
      </c>
      <c r="AC107" s="22">
        <f t="shared" si="57"/>
        <v>12.865408798525021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-5.999999999994543E-2</v>
      </c>
      <c r="AJ107" s="13">
        <f>AI107*VLOOKUP('Données projet'!$B$10,Paramètres!$A$1:$I$89,3,0)*VLOOKUP('Données projet'!$B$10,Paramètres!$A$1:$I$89,5,0)</f>
        <v>-2.8079999999974462E-2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74.573470247551825</v>
      </c>
      <c r="AO107" s="59">
        <f t="shared" si="90"/>
        <v>122.43655207772224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30.507225821367339</v>
      </c>
      <c r="AV107" s="21">
        <f>EXP(-LN(2)/25)*AV106+(1-EXP(-LN(2)/25))/(LN(2)/25)*Calculateur!AQ107*Calculateur!AS107*VLOOKUP('Données projet'!$B$10,Paramètres!$A$1:$I$89,3,0)*0.475*44/12</f>
        <v>9.7953342722295726</v>
      </c>
      <c r="AW107" s="21">
        <f>EXP(-LN(2)/2)*AW106+(1-EXP(-LN(2)/2))/(LN(2)/2)*AQ107*AT107*VLOOKUP('Données projet'!$B$10,Paramètres!$A$1:$I$89,3,0)*0.475*44/12</f>
        <v>1.0346134961416846E-5</v>
      </c>
      <c r="AX107" s="21">
        <f t="shared" si="60"/>
        <v>40.302570439731873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3.2</v>
      </c>
      <c r="BD107" s="12">
        <f>IF('Données projet'!$A$88&gt;35,BD106+BC107-BL106,IF(A107&lt;'Données projet'!$A$88,$BA$205^A107,IF(A107='Données projet'!$A$88,'Données projet'!$B$88,BD106+BC107-BL106)))</f>
        <v>214.79999999999993</v>
      </c>
      <c r="BE107" s="13">
        <f>BD107*VLOOKUP('Données projet'!$B$11,Paramètres!$A$1:$I$89,3,0)*VLOOKUP('Données projet'!$B$11,Paramètres!$A$1:$I$89,5,0)</f>
        <v>217.80719999999994</v>
      </c>
      <c r="BF107" s="13">
        <f t="shared" si="91"/>
        <v>53.638013973813976</v>
      </c>
      <c r="BG107" s="20">
        <f t="shared" si="61"/>
        <v>472.76708100439259</v>
      </c>
      <c r="BH107" s="59">
        <f t="shared" si="62"/>
        <v>766.10041433772585</v>
      </c>
      <c r="BI107" s="59">
        <f ca="1">AVERAGE(OFFSET($BH$3,0,0,'Données projet'!$E$11+1,1))-AVERAGE(OFFSET($H$3,0,0,'Données projet'!$E$11+1,1))</f>
        <v>183.74583738362492</v>
      </c>
      <c r="BJ107" s="59">
        <f t="shared" si="92"/>
        <v>46.344307013926596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33.937867703194854</v>
      </c>
      <c r="BQ107" s="21">
        <f>EXP(-LN(2)/25)*BQ106+(1-EXP(-LN(2)/25))/(LN(2)/25)*Calculateur!BL107*Calculateur!BN107*VLOOKUP('Données projet'!$B$11,Paramètres!$A$1:$I$89,3,0)*0.475*44/12</f>
        <v>1.6192604566085615</v>
      </c>
      <c r="BR107" s="21">
        <f>EXP(-LN(2)/2)*BR106+(1-EXP(-LN(2)/2))/(LN(2)/2)*BL107*BO107*VLOOKUP('Données projet'!$B$11,Paramètres!$A$1:$I$89,3,0)*0.475*44/12</f>
        <v>0.24405847801157413</v>
      </c>
      <c r="BS107" s="22">
        <f t="shared" si="63"/>
        <v>35.801186637814993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789.00000000000045</v>
      </c>
      <c r="BZ107" s="13">
        <f>BY107*VLOOKUP('Données projet'!$B$12,Paramètres!$A$1:$I$89,3,0)*VLOOKUP('Données projet'!$B$12,Paramètres!$A$1:$I$89,5,0)</f>
        <v>348.73800000000023</v>
      </c>
      <c r="CA107" s="13">
        <f t="shared" si="93"/>
        <v>81.302597726165047</v>
      </c>
      <c r="CB107" s="20">
        <f t="shared" si="64"/>
        <v>748.98737437307125</v>
      </c>
      <c r="CC107" s="59">
        <f t="shared" si="65"/>
        <v>1042.3207077064046</v>
      </c>
      <c r="CD107" s="59">
        <f ca="1">AVERAGE(OFFSET($CC$3,0,0,'Données projet'!$E$12+1,1))-AVERAGE(OFFSET($H$3,0,0,'Données projet'!$E$12+1,1))</f>
        <v>333.00091572040611</v>
      </c>
      <c r="CE107" s="59">
        <f t="shared" si="94"/>
        <v>267.06874181561398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35.865928285016309</v>
      </c>
      <c r="CL107" s="21">
        <f>EXP(-LN(2)/25)*CL106+(1-EXP(-LN(2)/25))/(LN(2)/25)*Calculateur!CG107*Calculateur!CI107*VLOOKUP('Données projet'!$B$12,Paramètres!$A$1:$I$89,3,0)*0.475*44/12</f>
        <v>12.381996504220879</v>
      </c>
      <c r="CM107" s="21">
        <f>EXP(-LN(2)/2)*CM106+(1-EXP(-LN(2)/2))/(LN(2)/2)*CG107*CJ107*VLOOKUP('Données projet'!$B$12,Paramètres!$A$1:$I$89,3,0)*0.475*44/12</f>
        <v>4.8678587542919099E-4</v>
      </c>
      <c r="CN107" s="22">
        <f t="shared" si="66"/>
        <v>48.24841157511262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1">
        <f t="shared" si="86"/>
        <v>21.398606468170534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67">
        <f t="shared" si="56"/>
        <v>464.68652293206327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229</v>
      </c>
      <c r="O108" s="13">
        <f>N108*VLOOKUP('Données projet'!$B$9,Paramètres!$A$1:$I$89,3,0)*VLOOKUP('Données projet'!$B$9,Paramètres!$A$1:$I$89,5,0)</f>
        <v>136.94200000000001</v>
      </c>
      <c r="P108" s="13">
        <f t="shared" si="87"/>
        <v>35.595562742420903</v>
      </c>
      <c r="Q108" s="20">
        <f t="shared" si="107"/>
        <v>300.50292177638306</v>
      </c>
      <c r="R108" s="59">
        <f t="shared" si="55"/>
        <v>593.83625510971638</v>
      </c>
      <c r="S108" s="59">
        <f ca="1">AVERAGE(OFFSET($R$3,0,0,'Données projet'!$E$9+1,1))-AVERAGE(OFFSET($H$3,0,0,'Données projet'!$E$9+1,1))</f>
        <v>125.14227069357082</v>
      </c>
      <c r="T108" s="59">
        <f t="shared" si="88"/>
        <v>193.39407925063165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8.8434995874935716</v>
      </c>
      <c r="AA108" s="21">
        <f>EXP(-LN(2)/25)*AA107+(1-EXP(-LN(2)/25))/(LN(2)/25)*Calculateur!V108*Calculateur!X108*VLOOKUP('Données projet'!$B$9,Paramètres!$A$1:$I$89,3,0)*0.475*44/12</f>
        <v>3.7398822317623055</v>
      </c>
      <c r="AB108" s="21">
        <f>EXP(-LN(2)/2)*AB107+(1-EXP(-LN(2)/2))/(LN(2)/2)*V108*Y108*VLOOKUP('Données projet'!$B$9,Paramètres!$A$1:$I$89,3,0)*0.475*44/12</f>
        <v>2.5019254737738512E-7</v>
      </c>
      <c r="AC108" s="22">
        <f t="shared" si="57"/>
        <v>12.583382069448424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-5.999999999994543E-2</v>
      </c>
      <c r="AJ108" s="13">
        <f>AI108*VLOOKUP('Données projet'!$B$10,Paramètres!$A$1:$I$89,3,0)*VLOOKUP('Données projet'!$B$10,Paramètres!$A$1:$I$89,5,0)</f>
        <v>-2.8079999999974462E-2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74.573470247551825</v>
      </c>
      <c r="AO108" s="59">
        <f t="shared" si="90"/>
        <v>122.43655207772224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29.90899773058073</v>
      </c>
      <c r="AV108" s="21">
        <f>EXP(-LN(2)/25)*AV107+(1-EXP(-LN(2)/25))/(LN(2)/25)*Calculateur!AQ108*Calculateur!AS108*VLOOKUP('Données projet'!$B$10,Paramètres!$A$1:$I$89,3,0)*0.475*44/12</f>
        <v>9.5274803414412137</v>
      </c>
      <c r="AW108" s="21">
        <f>EXP(-LN(2)/2)*AW107+(1-EXP(-LN(2)/2))/(LN(2)/2)*AQ108*AT108*VLOOKUP('Données projet'!$B$10,Paramètres!$A$1:$I$89,3,0)*0.475*44/12</f>
        <v>7.3158221902890717E-6</v>
      </c>
      <c r="AX108" s="21">
        <f t="shared" si="60"/>
        <v>39.436485387844129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>
        <f>VLOOKUP(A108,'Données projet'!$A$87:$I$107,2,0)</f>
        <v>218</v>
      </c>
      <c r="BB108" s="12">
        <f>VLOOKUP(A108,'Données projet'!$A$87:$I$107,9,0)</f>
        <v>3.2</v>
      </c>
      <c r="BC108" s="12">
        <f t="array" ref="BC108">INDEX(BB:BB,MIN(IF(ISNUMBER(BB108:BB304),ROW(BB108:BB304),"")))</f>
        <v>3.2</v>
      </c>
      <c r="BD108" s="12">
        <f>IF('Données projet'!$A$88&gt;35,BD107+BC108-BL107,IF(A108&lt;'Données projet'!$A$88,$BA$205^A108,IF(A108='Données projet'!$A$88,'Données projet'!$B$88,BD107+BC108-BL107)))</f>
        <v>217.99999999999991</v>
      </c>
      <c r="BE108" s="13">
        <f>BD108*VLOOKUP('Données projet'!$B$11,Paramètres!$A$1:$I$89,3,0)*VLOOKUP('Données projet'!$B$11,Paramètres!$A$1:$I$89,5,0)</f>
        <v>221.05199999999994</v>
      </c>
      <c r="BF108" s="13">
        <f t="shared" si="91"/>
        <v>54.343469202939204</v>
      </c>
      <c r="BG108" s="20">
        <f t="shared" si="61"/>
        <v>479.64710886178568</v>
      </c>
      <c r="BH108" s="59">
        <f t="shared" si="62"/>
        <v>772.98044219511894</v>
      </c>
      <c r="BI108" s="59">
        <f ca="1">AVERAGE(OFFSET($BH$3,0,0,'Données projet'!$E$11+1,1))-AVERAGE(OFFSET($H$3,0,0,'Données projet'!$E$11+1,1))</f>
        <v>183.74583738362492</v>
      </c>
      <c r="BJ108" s="59">
        <f t="shared" si="92"/>
        <v>46.344307013926596</v>
      </c>
      <c r="BK108" s="15">
        <f>IF(ISNA(VLOOKUP(A108,'Données projet'!$A$87:$I$107,3,0)),0,VLOOKUP(A108,'Données projet'!$A$87:$I$107,3,0))</f>
        <v>15</v>
      </c>
      <c r="BL108" s="15">
        <f>IF(ISNA(VLOOKUP(A108,'Données projet'!$A$87:$I$107,4,0)),0,VLOOKUP(A108,'Données projet'!$A$87:$I$107,4,0))</f>
        <v>14</v>
      </c>
      <c r="BM108" s="16">
        <f>IF(ISNA(VLOOKUP(A108,'Données projet'!$A$87:$I$107,5,0)),0%,VLOOKUP(A108,'Données projet'!$A$87:$I$107,5,0)*VLOOKUP('Données projet'!$B$11,Paramètres!$A$1:$I$89,7,0))</f>
        <v>0.34400000000000003</v>
      </c>
      <c r="BN108" s="16">
        <f>IF(ISNA(VLOOKUP(A108,'Données projet'!$A$87:$I$107,6,0)),0%,VLOOKUP(A108,'Données projet'!$A$87:$I$107,6,0)*VLOOKUP('Données projet'!$B$11,Paramètres!$A$1:$I$89,7,0))</f>
        <v>1.72E-2</v>
      </c>
      <c r="BO108" s="16">
        <f>IF(ISNA(VLOOKUP(A108,'Données projet'!$A$87:$I$107,7,0)),0%,VLOOKUP(A108,'Données projet'!$A$87:$I$107,7,0))</f>
        <v>0.06</v>
      </c>
      <c r="BP108" s="21">
        <f>EXP(-LN(2)/35)*BP107+(1-EXP(-LN(2)/35))/(LN(2)/35)*BL108*BM108*VLOOKUP('Données projet'!$B$11,Paramètres!$A$1:$I$89,3,0)*0.475*44/12</f>
        <v>38.67084740029086</v>
      </c>
      <c r="BQ108" s="21">
        <f>EXP(-LN(2)/25)*BQ107+(1-EXP(-LN(2)/25))/(LN(2)/25)*Calculateur!BL108*Calculateur!BN108*VLOOKUP('Données projet'!$B$11,Paramètres!$A$1:$I$89,3,0)*0.475*44/12</f>
        <v>1.8438429296525869</v>
      </c>
      <c r="BR108" s="21">
        <f>EXP(-LN(2)/2)*BR107+(1-EXP(-LN(2)/2))/(LN(2)/2)*BL108*BO108*VLOOKUP('Données projet'!$B$11,Paramètres!$A$1:$I$89,3,0)*0.475*44/12</f>
        <v>0.97623388959233748</v>
      </c>
      <c r="BS108" s="22">
        <f t="shared" si="63"/>
        <v>41.490924219535785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789.00000000000045</v>
      </c>
      <c r="BZ108" s="13">
        <f>BY108*VLOOKUP('Données projet'!$B$12,Paramètres!$A$1:$I$89,3,0)*VLOOKUP('Données projet'!$B$12,Paramètres!$A$1:$I$89,5,0)</f>
        <v>348.73800000000023</v>
      </c>
      <c r="CA108" s="13">
        <f t="shared" si="93"/>
        <v>81.302597726165047</v>
      </c>
      <c r="CB108" s="20">
        <f t="shared" si="64"/>
        <v>748.98737437307125</v>
      </c>
      <c r="CC108" s="59">
        <f t="shared" si="65"/>
        <v>1042.3207077064046</v>
      </c>
      <c r="CD108" s="59">
        <f ca="1">AVERAGE(OFFSET($CC$3,0,0,'Données projet'!$E$12+1,1))-AVERAGE(OFFSET($H$3,0,0,'Données projet'!$E$12+1,1))</f>
        <v>333.00091572040611</v>
      </c>
      <c r="CE108" s="59">
        <f t="shared" si="94"/>
        <v>267.06874181561398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35.162619307403311</v>
      </c>
      <c r="CL108" s="21">
        <f>EXP(-LN(2)/25)*CL107+(1-EXP(-LN(2)/25))/(LN(2)/25)*Calculateur!CG108*Calculateur!CI108*VLOOKUP('Données projet'!$B$12,Paramètres!$A$1:$I$89,3,0)*0.475*44/12</f>
        <v>12.043410158672062</v>
      </c>
      <c r="CM108" s="21">
        <f>EXP(-LN(2)/2)*CM107+(1-EXP(-LN(2)/2))/(LN(2)/2)*CG108*CJ108*VLOOKUP('Données projet'!$B$12,Paramètres!$A$1:$I$89,3,0)*0.475*44/12</f>
        <v>3.4420959350181095E-4</v>
      </c>
      <c r="CN108" s="22">
        <f t="shared" si="66"/>
        <v>47.206373675668871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1">
        <f t="shared" si="86"/>
        <v>21.578581375833281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67">
        <f t="shared" si="56"/>
        <v>466.27696922957591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229</v>
      </c>
      <c r="O109" s="13">
        <f>N109*VLOOKUP('Données projet'!$B$9,Paramètres!$A$1:$I$89,3,0)*VLOOKUP('Données projet'!$B$9,Paramètres!$A$1:$I$89,5,0)</f>
        <v>136.94200000000001</v>
      </c>
      <c r="P109" s="13">
        <f t="shared" si="87"/>
        <v>35.595562742420903</v>
      </c>
      <c r="Q109" s="20">
        <f t="shared" si="107"/>
        <v>300.50292177638306</v>
      </c>
      <c r="R109" s="59">
        <f t="shared" si="55"/>
        <v>593.83625510971638</v>
      </c>
      <c r="S109" s="59">
        <f ca="1">AVERAGE(OFFSET($R$3,0,0,'Données projet'!$E$9+1,1))-AVERAGE(OFFSET($H$3,0,0,'Données projet'!$E$9+1,1))</f>
        <v>125.14227069357082</v>
      </c>
      <c r="T109" s="59">
        <f t="shared" si="88"/>
        <v>193.39407925063165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8.6700839545849568</v>
      </c>
      <c r="AA109" s="21">
        <f>EXP(-LN(2)/25)*AA108+(1-EXP(-LN(2)/25))/(LN(2)/25)*Calculateur!V109*Calculateur!X109*VLOOKUP('Données projet'!$B$9,Paramètres!$A$1:$I$89,3,0)*0.475*44/12</f>
        <v>3.6376149554629063</v>
      </c>
      <c r="AB109" s="21">
        <f>EXP(-LN(2)/2)*AB108+(1-EXP(-LN(2)/2))/(LN(2)/2)*V109*Y109*VLOOKUP('Données projet'!$B$9,Paramètres!$A$1:$I$89,3,0)*0.475*44/12</f>
        <v>1.7691284685288559E-7</v>
      </c>
      <c r="AC109" s="22">
        <f t="shared" si="57"/>
        <v>12.30769908696071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-5.999999999994543E-2</v>
      </c>
      <c r="AJ109" s="13">
        <f>AI109*VLOOKUP('Données projet'!$B$10,Paramètres!$A$1:$I$89,3,0)*VLOOKUP('Données projet'!$B$10,Paramètres!$A$1:$I$89,5,0)</f>
        <v>-2.8079999999974462E-2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74.573470247551825</v>
      </c>
      <c r="AO109" s="59">
        <f t="shared" si="90"/>
        <v>122.43655207772224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29.322500527771343</v>
      </c>
      <c r="AV109" s="21">
        <f>EXP(-LN(2)/25)*AV108+(1-EXP(-LN(2)/25))/(LN(2)/25)*Calculateur!AQ109*Calculateur!AS109*VLOOKUP('Données projet'!$B$10,Paramètres!$A$1:$I$89,3,0)*0.475*44/12</f>
        <v>9.2669508904760871</v>
      </c>
      <c r="AW109" s="21">
        <f>EXP(-LN(2)/2)*AW108+(1-EXP(-LN(2)/2))/(LN(2)/2)*AQ109*AT109*VLOOKUP('Données projet'!$B$10,Paramètres!$A$1:$I$89,3,0)*0.475*44/12</f>
        <v>5.1730674807084239E-6</v>
      </c>
      <c r="AX109" s="21">
        <f t="shared" si="60"/>
        <v>38.589456591314907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</v>
      </c>
      <c r="BD109" s="12">
        <f>IF('Données projet'!$A$88&gt;35,BD108+BC109-BL108,IF(A109&lt;'Données projet'!$A$88,$BA$205^A109,IF(A109='Données projet'!$A$88,'Données projet'!$B$88,BD108+BC109-BL108)))</f>
        <v>206.99999999999991</v>
      </c>
      <c r="BE109" s="13">
        <f>BD109*VLOOKUP('Données projet'!$B$11,Paramètres!$A$1:$I$89,3,0)*VLOOKUP('Données projet'!$B$11,Paramètres!$A$1:$I$89,5,0)</f>
        <v>209.89799999999994</v>
      </c>
      <c r="BF109" s="13">
        <f t="shared" si="91"/>
        <v>51.913295501810218</v>
      </c>
      <c r="BG109" s="20">
        <f t="shared" si="61"/>
        <v>455.98800633231934</v>
      </c>
      <c r="BH109" s="59">
        <f t="shared" si="62"/>
        <v>749.32133966565266</v>
      </c>
      <c r="BI109" s="59">
        <f ca="1">AVERAGE(OFFSET($BH$3,0,0,'Données projet'!$E$11+1,1))-AVERAGE(OFFSET($H$3,0,0,'Données projet'!$E$11+1,1))</f>
        <v>183.74583738362492</v>
      </c>
      <c r="BJ109" s="59">
        <f t="shared" si="92"/>
        <v>46.344307013926596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37.912535669659057</v>
      </c>
      <c r="BQ109" s="21">
        <f>EXP(-LN(2)/25)*BQ108+(1-EXP(-LN(2)/25))/(LN(2)/25)*Calculateur!BL109*Calculateur!BN109*VLOOKUP('Données projet'!$B$11,Paramètres!$A$1:$I$89,3,0)*0.475*44/12</f>
        <v>1.7934229477777515</v>
      </c>
      <c r="BR109" s="21">
        <f>EXP(-LN(2)/2)*BR108+(1-EXP(-LN(2)/2))/(LN(2)/2)*BL109*BO109*VLOOKUP('Données projet'!$B$11,Paramètres!$A$1:$I$89,3,0)*0.475*44/12</f>
        <v>0.69030160335486124</v>
      </c>
      <c r="BS109" s="22">
        <f t="shared" si="63"/>
        <v>40.396260220791667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789.00000000000045</v>
      </c>
      <c r="BZ109" s="13">
        <f>BY109*VLOOKUP('Données projet'!$B$12,Paramètres!$A$1:$I$89,3,0)*VLOOKUP('Données projet'!$B$12,Paramètres!$A$1:$I$89,5,0)</f>
        <v>348.73800000000023</v>
      </c>
      <c r="CA109" s="13">
        <f t="shared" si="93"/>
        <v>81.302597726165047</v>
      </c>
      <c r="CB109" s="20">
        <f t="shared" si="64"/>
        <v>748.98737437307125</v>
      </c>
      <c r="CC109" s="59">
        <f t="shared" si="65"/>
        <v>1042.3207077064046</v>
      </c>
      <c r="CD109" s="59">
        <f ca="1">AVERAGE(OFFSET($CC$3,0,0,'Données projet'!$E$12+1,1))-AVERAGE(OFFSET($H$3,0,0,'Données projet'!$E$12+1,1))</f>
        <v>333.00091572040611</v>
      </c>
      <c r="CE109" s="59">
        <f t="shared" si="94"/>
        <v>267.06874181561398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34.47310178986519</v>
      </c>
      <c r="CL109" s="21">
        <f>EXP(-LN(2)/25)*CL108+(1-EXP(-LN(2)/25))/(LN(2)/25)*Calculateur!CG109*Calculateur!CI109*VLOOKUP('Données projet'!$B$12,Paramètres!$A$1:$I$89,3,0)*0.475*44/12</f>
        <v>11.714082474547761</v>
      </c>
      <c r="CM109" s="21">
        <f>EXP(-LN(2)/2)*CM108+(1-EXP(-LN(2)/2))/(LN(2)/2)*CG109*CJ109*VLOOKUP('Données projet'!$B$12,Paramètres!$A$1:$I$89,3,0)*0.475*44/12</f>
        <v>2.4339293771459552E-4</v>
      </c>
      <c r="CN109" s="22">
        <f t="shared" si="66"/>
        <v>46.187427657350661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1">
        <f t="shared" si="86"/>
        <v>21.758358756045919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67">
        <f t="shared" si="56"/>
        <v>467.86707150011296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229</v>
      </c>
      <c r="O110" s="13">
        <f>N110*VLOOKUP('Données projet'!$B$9,Paramètres!$A$1:$I$89,3,0)*VLOOKUP('Données projet'!$B$9,Paramètres!$A$1:$I$89,5,0)</f>
        <v>136.94200000000001</v>
      </c>
      <c r="P110" s="13">
        <f t="shared" si="87"/>
        <v>35.595562742420903</v>
      </c>
      <c r="Q110" s="20">
        <f t="shared" si="107"/>
        <v>300.50292177638306</v>
      </c>
      <c r="R110" s="59">
        <f t="shared" si="55"/>
        <v>593.83625510971638</v>
      </c>
      <c r="S110" s="59">
        <f ca="1">AVERAGE(OFFSET($R$3,0,0,'Données projet'!$E$9+1,1))-AVERAGE(OFFSET($H$3,0,0,'Données projet'!$E$9+1,1))</f>
        <v>125.14227069357082</v>
      </c>
      <c r="T110" s="59">
        <f t="shared" si="88"/>
        <v>193.39407925063165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8.5000688964645885</v>
      </c>
      <c r="AA110" s="21">
        <f>EXP(-LN(2)/25)*AA109+(1-EXP(-LN(2)/25))/(LN(2)/25)*Calculateur!V110*Calculateur!X110*VLOOKUP('Données projet'!$B$9,Paramètres!$A$1:$I$89,3,0)*0.475*44/12</f>
        <v>3.5381441832119163</v>
      </c>
      <c r="AB110" s="21">
        <f>EXP(-LN(2)/2)*AB109+(1-EXP(-LN(2)/2))/(LN(2)/2)*V110*Y110*VLOOKUP('Données projet'!$B$9,Paramètres!$A$1:$I$89,3,0)*0.475*44/12</f>
        <v>1.2509627368869256E-7</v>
      </c>
      <c r="AC110" s="22">
        <f t="shared" si="57"/>
        <v>12.038213204772777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-5.999999999994543E-2</v>
      </c>
      <c r="AJ110" s="13">
        <f>AI110*VLOOKUP('Données projet'!$B$10,Paramètres!$A$1:$I$89,3,0)*VLOOKUP('Données projet'!$B$10,Paramètres!$A$1:$I$89,5,0)</f>
        <v>-2.8079999999974462E-2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74.573470247551825</v>
      </c>
      <c r="AO110" s="59">
        <f t="shared" si="90"/>
        <v>122.43655207772224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28.747504177381074</v>
      </c>
      <c r="AV110" s="21">
        <f>EXP(-LN(2)/25)*AV109+(1-EXP(-LN(2)/25))/(LN(2)/25)*Calculateur!AQ110*Calculateur!AS110*VLOOKUP('Données projet'!$B$10,Paramètres!$A$1:$I$89,3,0)*0.475*44/12</f>
        <v>9.0135456310482507</v>
      </c>
      <c r="AW110" s="21">
        <f>EXP(-LN(2)/2)*AW109+(1-EXP(-LN(2)/2))/(LN(2)/2)*AQ110*AT110*VLOOKUP('Données projet'!$B$10,Paramètres!$A$1:$I$89,3,0)*0.475*44/12</f>
        <v>3.6579110951445363E-6</v>
      </c>
      <c r="AX110" s="21">
        <f t="shared" si="60"/>
        <v>37.761053466340421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</v>
      </c>
      <c r="BD110" s="12">
        <f>IF('Données projet'!$A$88&gt;35,BD109+BC110-BL109,IF(A110&lt;'Données projet'!$A$88,$BA$205^A110,IF(A110='Données projet'!$A$88,'Données projet'!$B$88,BD109+BC110-BL109)))</f>
        <v>209.99999999999991</v>
      </c>
      <c r="BE110" s="13">
        <f>BD110*VLOOKUP('Données projet'!$B$11,Paramètres!$A$1:$I$89,3,0)*VLOOKUP('Données projet'!$B$11,Paramètres!$A$1:$I$89,5,0)</f>
        <v>212.93999999999991</v>
      </c>
      <c r="BF110" s="13">
        <f t="shared" si="91"/>
        <v>52.577528895212815</v>
      </c>
      <c r="BG110" s="20">
        <f t="shared" si="61"/>
        <v>462.44302949249544</v>
      </c>
      <c r="BH110" s="59">
        <f t="shared" si="62"/>
        <v>755.77636282582876</v>
      </c>
      <c r="BI110" s="59">
        <f ca="1">AVERAGE(OFFSET($BH$3,0,0,'Données projet'!$E$11+1,1))-AVERAGE(OFFSET($H$3,0,0,'Données projet'!$E$11+1,1))</f>
        <v>183.74583738362492</v>
      </c>
      <c r="BJ110" s="59">
        <f t="shared" si="92"/>
        <v>46.344307013926596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37.169093969540462</v>
      </c>
      <c r="BQ110" s="21">
        <f>EXP(-LN(2)/25)*BQ109+(1-EXP(-LN(2)/25))/(LN(2)/25)*Calculateur!BL110*Calculateur!BN110*VLOOKUP('Données projet'!$B$11,Paramètres!$A$1:$I$89,3,0)*0.475*44/12</f>
        <v>1.7443817029587549</v>
      </c>
      <c r="BR110" s="21">
        <f>EXP(-LN(2)/2)*BR109+(1-EXP(-LN(2)/2))/(LN(2)/2)*BL110*BO110*VLOOKUP('Données projet'!$B$11,Paramètres!$A$1:$I$89,3,0)*0.475*44/12</f>
        <v>0.48811694479616879</v>
      </c>
      <c r="BS110" s="22">
        <f t="shared" si="63"/>
        <v>39.401592617295385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789.00000000000045</v>
      </c>
      <c r="BZ110" s="13">
        <f>BY110*VLOOKUP('Données projet'!$B$12,Paramètres!$A$1:$I$89,3,0)*VLOOKUP('Données projet'!$B$12,Paramètres!$A$1:$I$89,5,0)</f>
        <v>348.73800000000023</v>
      </c>
      <c r="CA110" s="13">
        <f t="shared" si="93"/>
        <v>81.302597726165047</v>
      </c>
      <c r="CB110" s="20">
        <f t="shared" si="64"/>
        <v>748.98737437307125</v>
      </c>
      <c r="CC110" s="59">
        <f t="shared" si="65"/>
        <v>1042.3207077064046</v>
      </c>
      <c r="CD110" s="59">
        <f ca="1">AVERAGE(OFFSET($CC$3,0,0,'Données projet'!$E$12+1,1))-AVERAGE(OFFSET($H$3,0,0,'Données projet'!$E$12+1,1))</f>
        <v>333.00091572040611</v>
      </c>
      <c r="CE110" s="59">
        <f t="shared" si="94"/>
        <v>267.06874181561398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33.797105290281827</v>
      </c>
      <c r="CL110" s="21">
        <f>EXP(-LN(2)/25)*CL109+(1-EXP(-LN(2)/25))/(LN(2)/25)*Calculateur!CG110*Calculateur!CI110*VLOOKUP('Données projet'!$B$12,Paramètres!$A$1:$I$89,3,0)*0.475*44/12</f>
        <v>11.393760273264428</v>
      </c>
      <c r="CM110" s="21">
        <f>EXP(-LN(2)/2)*CM109+(1-EXP(-LN(2)/2))/(LN(2)/2)*CG110*CJ110*VLOOKUP('Données projet'!$B$12,Paramètres!$A$1:$I$89,3,0)*0.475*44/12</f>
        <v>1.721047967509055E-4</v>
      </c>
      <c r="CN110" s="22">
        <f t="shared" si="66"/>
        <v>45.191037668343007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1">
        <f t="shared" si="86"/>
        <v>21.937940668679364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67">
        <f t="shared" si="56"/>
        <v>469.45683333128278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229</v>
      </c>
      <c r="O111" s="13">
        <f>N111*VLOOKUP('Données projet'!$B$9,Paramètres!$A$1:$I$89,3,0)*VLOOKUP('Données projet'!$B$9,Paramètres!$A$1:$I$89,5,0)</f>
        <v>136.94200000000001</v>
      </c>
      <c r="P111" s="13">
        <f t="shared" si="87"/>
        <v>35.595562742420903</v>
      </c>
      <c r="Q111" s="20">
        <f t="shared" si="107"/>
        <v>300.50292177638306</v>
      </c>
      <c r="R111" s="59">
        <f t="shared" si="55"/>
        <v>593.83625510971638</v>
      </c>
      <c r="S111" s="59">
        <f ca="1">AVERAGE(OFFSET($R$3,0,0,'Données projet'!$E$9+1,1))-AVERAGE(OFFSET($H$3,0,0,'Données projet'!$E$9+1,1))</f>
        <v>125.14227069357082</v>
      </c>
      <c r="T111" s="59">
        <f t="shared" si="88"/>
        <v>193.39407925063165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8.3333877299350156</v>
      </c>
      <c r="AA111" s="21">
        <f>EXP(-LN(2)/25)*AA110+(1-EXP(-LN(2)/25))/(LN(2)/25)*Calculateur!V111*Calculateur!X111*VLOOKUP('Données projet'!$B$9,Paramètres!$A$1:$I$89,3,0)*0.475*44/12</f>
        <v>3.4413934444590701</v>
      </c>
      <c r="AB111" s="21">
        <f>EXP(-LN(2)/2)*AB110+(1-EXP(-LN(2)/2))/(LN(2)/2)*V111*Y111*VLOOKUP('Données projet'!$B$9,Paramètres!$A$1:$I$89,3,0)*0.475*44/12</f>
        <v>8.8456423426442794E-8</v>
      </c>
      <c r="AC111" s="22">
        <f t="shared" si="57"/>
        <v>11.774781262850508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-5.999999999994543E-2</v>
      </c>
      <c r="AJ111" s="13">
        <f>AI111*VLOOKUP('Données projet'!$B$10,Paramètres!$A$1:$I$89,3,0)*VLOOKUP('Données projet'!$B$10,Paramètres!$A$1:$I$89,5,0)</f>
        <v>-2.8079999999974462E-2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74.573470247551825</v>
      </c>
      <c r="AO111" s="59">
        <f t="shared" si="90"/>
        <v>122.43655207772224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28.183783154708816</v>
      </c>
      <c r="AV111" s="21">
        <f>EXP(-LN(2)/25)*AV110+(1-EXP(-LN(2)/25))/(LN(2)/25)*Calculateur!AQ111*Calculateur!AS111*VLOOKUP('Données projet'!$B$10,Paramètres!$A$1:$I$89,3,0)*0.475*44/12</f>
        <v>8.7670697517654723</v>
      </c>
      <c r="AW111" s="21">
        <f>EXP(-LN(2)/2)*AW110+(1-EXP(-LN(2)/2))/(LN(2)/2)*AQ111*AT111*VLOOKUP('Données projet'!$B$10,Paramètres!$A$1:$I$89,3,0)*0.475*44/12</f>
        <v>2.5865337403542124E-6</v>
      </c>
      <c r="AX111" s="21">
        <f t="shared" si="60"/>
        <v>36.950855493008028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</v>
      </c>
      <c r="BD111" s="12">
        <f>IF('Données projet'!$A$88&gt;35,BD110+BC111-BL110,IF(A111&lt;'Données projet'!$A$88,$BA$205^A111,IF(A111='Données projet'!$A$88,'Données projet'!$B$88,BD110+BC111-BL110)))</f>
        <v>212.99999999999991</v>
      </c>
      <c r="BE111" s="13">
        <f>BD111*VLOOKUP('Données projet'!$B$11,Paramètres!$A$1:$I$89,3,0)*VLOOKUP('Données projet'!$B$11,Paramètres!$A$1:$I$89,5,0)</f>
        <v>215.98199999999994</v>
      </c>
      <c r="BF111" s="13">
        <f t="shared" si="91"/>
        <v>53.240658641505036</v>
      </c>
      <c r="BG111" s="20">
        <f t="shared" si="61"/>
        <v>468.89613046728778</v>
      </c>
      <c r="BH111" s="59">
        <f t="shared" si="62"/>
        <v>762.22946380062103</v>
      </c>
      <c r="BI111" s="59">
        <f ca="1">AVERAGE(OFFSET($BH$3,0,0,'Données projet'!$E$11+1,1))-AVERAGE(OFFSET($H$3,0,0,'Données projet'!$E$11+1,1))</f>
        <v>183.74583738362492</v>
      </c>
      <c r="BJ111" s="59">
        <f t="shared" si="92"/>
        <v>46.344307013926596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36.440230707706526</v>
      </c>
      <c r="BQ111" s="21">
        <f>EXP(-LN(2)/25)*BQ110+(1-EXP(-LN(2)/25))/(LN(2)/25)*Calculateur!BL111*Calculateur!BN111*VLOOKUP('Données projet'!$B$11,Paramètres!$A$1:$I$89,3,0)*0.475*44/12</f>
        <v>1.6966814935583008</v>
      </c>
      <c r="BR111" s="21">
        <f>EXP(-LN(2)/2)*BR110+(1-EXP(-LN(2)/2))/(LN(2)/2)*BL111*BO111*VLOOKUP('Données projet'!$B$11,Paramètres!$A$1:$I$89,3,0)*0.475*44/12</f>
        <v>0.34515080167743067</v>
      </c>
      <c r="BS111" s="22">
        <f t="shared" si="63"/>
        <v>38.482063002942262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789.00000000000045</v>
      </c>
      <c r="BZ111" s="13">
        <f>BY111*VLOOKUP('Données projet'!$B$12,Paramètres!$A$1:$I$89,3,0)*VLOOKUP('Données projet'!$B$12,Paramètres!$A$1:$I$89,5,0)</f>
        <v>348.73800000000023</v>
      </c>
      <c r="CA111" s="13">
        <f t="shared" si="93"/>
        <v>81.302597726165047</v>
      </c>
      <c r="CB111" s="20">
        <f t="shared" si="64"/>
        <v>748.98737437307125</v>
      </c>
      <c r="CC111" s="59">
        <f t="shared" si="65"/>
        <v>1042.3207077064046</v>
      </c>
      <c r="CD111" s="59">
        <f ca="1">AVERAGE(OFFSET($CC$3,0,0,'Données projet'!$E$12+1,1))-AVERAGE(OFFSET($H$3,0,0,'Données projet'!$E$12+1,1))</f>
        <v>333.00091572040611</v>
      </c>
      <c r="CE111" s="59">
        <f t="shared" si="94"/>
        <v>267.06874181561398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33.134364669738147</v>
      </c>
      <c r="CL111" s="21">
        <f>EXP(-LN(2)/25)*CL110+(1-EXP(-LN(2)/25))/(LN(2)/25)*Calculateur!CG111*Calculateur!CI111*VLOOKUP('Données projet'!$B$12,Paramètres!$A$1:$I$89,3,0)*0.475*44/12</f>
        <v>11.082197299420201</v>
      </c>
      <c r="CM111" s="21">
        <f>EXP(-LN(2)/2)*CM110+(1-EXP(-LN(2)/2))/(LN(2)/2)*CG111*CJ111*VLOOKUP('Données projet'!$B$12,Paramètres!$A$1:$I$89,3,0)*0.475*44/12</f>
        <v>1.2169646885729778E-4</v>
      </c>
      <c r="CN111" s="22">
        <f t="shared" si="66"/>
        <v>44.216683665627208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1">
        <f t="shared" si="86"/>
        <v>22.117329133258693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67">
        <f t="shared" si="56"/>
        <v>471.04625824042512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229</v>
      </c>
      <c r="O112" s="13">
        <f>N112*VLOOKUP('Données projet'!$B$9,Paramètres!$A$1:$I$89,3,0)*VLOOKUP('Données projet'!$B$9,Paramètres!$A$1:$I$89,5,0)</f>
        <v>136.94200000000001</v>
      </c>
      <c r="P112" s="13">
        <f t="shared" si="87"/>
        <v>35.595562742420903</v>
      </c>
      <c r="Q112" s="20">
        <f t="shared" si="107"/>
        <v>300.50292177638306</v>
      </c>
      <c r="R112" s="59">
        <f t="shared" si="55"/>
        <v>593.83625510971638</v>
      </c>
      <c r="S112" s="59">
        <f ca="1">AVERAGE(OFFSET($R$3,0,0,'Données projet'!$E$9+1,1))-AVERAGE(OFFSET($H$3,0,0,'Données projet'!$E$9+1,1))</f>
        <v>125.14227069357082</v>
      </c>
      <c r="T112" s="59">
        <f t="shared" si="88"/>
        <v>193.39407925063165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8.1699750794156145</v>
      </c>
      <c r="AA112" s="21">
        <f>EXP(-LN(2)/25)*AA111+(1-EXP(-LN(2)/25))/(LN(2)/25)*Calculateur!V112*Calculateur!X112*VLOOKUP('Données projet'!$B$9,Paramètres!$A$1:$I$89,3,0)*0.475*44/12</f>
        <v>3.3472883597453209</v>
      </c>
      <c r="AB112" s="21">
        <f>EXP(-LN(2)/2)*AB111+(1-EXP(-LN(2)/2))/(LN(2)/2)*V112*Y112*VLOOKUP('Données projet'!$B$9,Paramètres!$A$1:$I$89,3,0)*0.475*44/12</f>
        <v>6.254813684434628E-8</v>
      </c>
      <c r="AC112" s="22">
        <f t="shared" si="57"/>
        <v>11.517263501709072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-5.999999999994543E-2</v>
      </c>
      <c r="AJ112" s="13">
        <f>AI112*VLOOKUP('Données projet'!$B$10,Paramètres!$A$1:$I$89,3,0)*VLOOKUP('Données projet'!$B$10,Paramètres!$A$1:$I$89,5,0)</f>
        <v>-2.8079999999974462E-2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74.573470247551825</v>
      </c>
      <c r="AO112" s="59">
        <f t="shared" si="90"/>
        <v>122.43655207772224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27.631116357455287</v>
      </c>
      <c r="AV112" s="21">
        <f>EXP(-LN(2)/25)*AV111+(1-EXP(-LN(2)/25))/(LN(2)/25)*Calculateur!AQ112*Calculateur!AS112*VLOOKUP('Données projet'!$B$10,Paramètres!$A$1:$I$89,3,0)*0.475*44/12</f>
        <v>8.5273337683632846</v>
      </c>
      <c r="AW112" s="21">
        <f>EXP(-LN(2)/2)*AW111+(1-EXP(-LN(2)/2))/(LN(2)/2)*AQ112*AT112*VLOOKUP('Données projet'!$B$10,Paramètres!$A$1:$I$89,3,0)*0.475*44/12</f>
        <v>1.8289555475722686E-6</v>
      </c>
      <c r="AX112" s="21">
        <f t="shared" si="60"/>
        <v>36.158451954774122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</v>
      </c>
      <c r="BD112" s="12">
        <f>IF('Données projet'!$A$88&gt;35,BD111+BC112-BL111,IF(A112&lt;'Données projet'!$A$88,$BA$205^A112,IF(A112='Données projet'!$A$88,'Données projet'!$B$88,BD111+BC112-BL111)))</f>
        <v>215.99999999999991</v>
      </c>
      <c r="BE112" s="13">
        <f>BD112*VLOOKUP('Données projet'!$B$11,Paramètres!$A$1:$I$89,3,0)*VLOOKUP('Données projet'!$B$11,Paramètres!$A$1:$I$89,5,0)</f>
        <v>219.02399999999992</v>
      </c>
      <c r="BF112" s="13">
        <f t="shared" si="91"/>
        <v>53.902702081308306</v>
      </c>
      <c r="BG112" s="20">
        <f t="shared" si="61"/>
        <v>475.34733945827844</v>
      </c>
      <c r="BH112" s="59">
        <f t="shared" si="62"/>
        <v>768.68067279161176</v>
      </c>
      <c r="BI112" s="59">
        <f ca="1">AVERAGE(OFFSET($BH$3,0,0,'Données projet'!$E$11+1,1))-AVERAGE(OFFSET($H$3,0,0,'Données projet'!$E$11+1,1))</f>
        <v>183.74583738362492</v>
      </c>
      <c r="BJ112" s="59">
        <f t="shared" si="92"/>
        <v>46.344307013926596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35.72566000987446</v>
      </c>
      <c r="BQ112" s="21">
        <f>EXP(-LN(2)/25)*BQ111+(1-EXP(-LN(2)/25))/(LN(2)/25)*Calculateur!BL112*Calculateur!BN112*VLOOKUP('Données projet'!$B$11,Paramètres!$A$1:$I$89,3,0)*0.475*44/12</f>
        <v>1.6502856488923472</v>
      </c>
      <c r="BR112" s="21">
        <f>EXP(-LN(2)/2)*BR111+(1-EXP(-LN(2)/2))/(LN(2)/2)*BL112*BO112*VLOOKUP('Données projet'!$B$11,Paramètres!$A$1:$I$89,3,0)*0.475*44/12</f>
        <v>0.24405847239808445</v>
      </c>
      <c r="BS112" s="22">
        <f t="shared" si="63"/>
        <v>37.620004131164897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789.00000000000045</v>
      </c>
      <c r="BZ112" s="13">
        <f>BY112*VLOOKUP('Données projet'!$B$12,Paramètres!$A$1:$I$89,3,0)*VLOOKUP('Données projet'!$B$12,Paramètres!$A$1:$I$89,5,0)</f>
        <v>348.73800000000023</v>
      </c>
      <c r="CA112" s="13">
        <f t="shared" si="93"/>
        <v>81.302597726165047</v>
      </c>
      <c r="CB112" s="20">
        <f t="shared" si="64"/>
        <v>748.98737437307125</v>
      </c>
      <c r="CC112" s="59">
        <f t="shared" si="65"/>
        <v>1042.3207077064046</v>
      </c>
      <c r="CD112" s="59">
        <f ca="1">AVERAGE(OFFSET($CC$3,0,0,'Données projet'!$E$12+1,1))-AVERAGE(OFFSET($H$3,0,0,'Données projet'!$E$12+1,1))</f>
        <v>333.00091572040611</v>
      </c>
      <c r="CE112" s="59">
        <f t="shared" si="94"/>
        <v>267.06874181561398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32.484619988531463</v>
      </c>
      <c r="CL112" s="21">
        <f>EXP(-LN(2)/25)*CL111+(1-EXP(-LN(2)/25))/(LN(2)/25)*Calculateur!CG112*Calculateur!CI112*VLOOKUP('Données projet'!$B$12,Paramètres!$A$1:$I$89,3,0)*0.475*44/12</f>
        <v>10.779154031480129</v>
      </c>
      <c r="CM112" s="21">
        <f>EXP(-LN(2)/2)*CM111+(1-EXP(-LN(2)/2))/(LN(2)/2)*CG112*CJ112*VLOOKUP('Données projet'!$B$12,Paramètres!$A$1:$I$89,3,0)*0.475*44/12</f>
        <v>8.6052398375452766E-5</v>
      </c>
      <c r="CN112" s="22">
        <f t="shared" si="66"/>
        <v>43.263860072409969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1">
        <f t="shared" si="86"/>
        <v>22.296526130116188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67">
        <f t="shared" si="56"/>
        <v>472.6353496766186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229</v>
      </c>
      <c r="O113" s="13">
        <f>N113*VLOOKUP('Données projet'!$B$9,Paramètres!$A$1:$I$89,3,0)*VLOOKUP('Données projet'!$B$9,Paramètres!$A$1:$I$89,5,0)</f>
        <v>136.94200000000001</v>
      </c>
      <c r="P113" s="13">
        <f t="shared" si="87"/>
        <v>35.595562742420903</v>
      </c>
      <c r="Q113" s="20">
        <f t="shared" si="107"/>
        <v>300.50292177638306</v>
      </c>
      <c r="R113" s="59">
        <f t="shared" si="55"/>
        <v>593.83625510971638</v>
      </c>
      <c r="S113" s="59">
        <f ca="1">AVERAGE(OFFSET($R$3,0,0,'Données projet'!$E$9+1,1))-AVERAGE(OFFSET($H$3,0,0,'Données projet'!$E$9+1,1))</f>
        <v>125.14227069357082</v>
      </c>
      <c r="T113" s="59">
        <f t="shared" si="88"/>
        <v>193.39407925063165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8.0097668513010234</v>
      </c>
      <c r="AA113" s="21">
        <f>EXP(-LN(2)/25)*AA112+(1-EXP(-LN(2)/25))/(LN(2)/25)*Calculateur!V113*Calculateur!X113*VLOOKUP('Données projet'!$B$9,Paramètres!$A$1:$I$89,3,0)*0.475*44/12</f>
        <v>3.2557565835218405</v>
      </c>
      <c r="AB113" s="21">
        <f>EXP(-LN(2)/2)*AB112+(1-EXP(-LN(2)/2))/(LN(2)/2)*V113*Y113*VLOOKUP('Données projet'!$B$9,Paramètres!$A$1:$I$89,3,0)*0.475*44/12</f>
        <v>4.4228211713221397E-8</v>
      </c>
      <c r="AC113" s="22">
        <f t="shared" si="57"/>
        <v>11.265523479051076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-5.999999999994543E-2</v>
      </c>
      <c r="AJ113" s="13">
        <f>AI113*VLOOKUP('Données projet'!$B$10,Paramètres!$A$1:$I$89,3,0)*VLOOKUP('Données projet'!$B$10,Paramètres!$A$1:$I$89,5,0)</f>
        <v>-2.8079999999974462E-2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74.573470247551825</v>
      </c>
      <c r="AO113" s="59">
        <f t="shared" si="90"/>
        <v>122.43655207772224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27.089287019002441</v>
      </c>
      <c r="AV113" s="21">
        <f>EXP(-LN(2)/25)*AV112+(1-EXP(-LN(2)/25))/(LN(2)/25)*Calculateur!AQ113*Calculateur!AS113*VLOOKUP('Données projet'!$B$10,Paramètres!$A$1:$I$89,3,0)*0.475*44/12</f>
        <v>8.2941533780343963</v>
      </c>
      <c r="AW113" s="21">
        <f>EXP(-LN(2)/2)*AW112+(1-EXP(-LN(2)/2))/(LN(2)/2)*AQ113*AT113*VLOOKUP('Données projet'!$B$10,Paramètres!$A$1:$I$89,3,0)*0.475*44/12</f>
        <v>1.2932668701771064E-6</v>
      </c>
      <c r="AX113" s="21">
        <f t="shared" si="60"/>
        <v>35.383441690303705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219</v>
      </c>
      <c r="BB113" s="12">
        <f>VLOOKUP(A113,'Données projet'!$A$87:$I$107,9,0)</f>
        <v>3</v>
      </c>
      <c r="BC113" s="12">
        <f t="array" ref="BC113">INDEX(BB:BB,MIN(IF(ISNUMBER(BB113:BB309),ROW(BB113:BB309),"")))</f>
        <v>3</v>
      </c>
      <c r="BD113" s="12">
        <f>IF('Données projet'!$A$88&gt;35,BD112+BC113-BL112,IF(A113&lt;'Données projet'!$A$88,$BA$205^A113,IF(A113='Données projet'!$A$88,'Données projet'!$B$88,BD112+BC113-BL112)))</f>
        <v>218.99999999999991</v>
      </c>
      <c r="BE113" s="13">
        <f>BD113*VLOOKUP('Données projet'!$B$11,Paramètres!$A$1:$I$89,3,0)*VLOOKUP('Données projet'!$B$11,Paramètres!$A$1:$I$89,5,0)</f>
        <v>222.06599999999992</v>
      </c>
      <c r="BF113" s="13">
        <f t="shared" si="91"/>
        <v>54.563676045889338</v>
      </c>
      <c r="BG113" s="20">
        <f t="shared" si="61"/>
        <v>481.79668577992373</v>
      </c>
      <c r="BH113" s="59">
        <f t="shared" si="62"/>
        <v>775.13001911325705</v>
      </c>
      <c r="BI113" s="59">
        <f ca="1">AVERAGE(OFFSET($BH$3,0,0,'Données projet'!$E$11+1,1))-AVERAGE(OFFSET($H$3,0,0,'Données projet'!$E$11+1,1))</f>
        <v>183.74583738362492</v>
      </c>
      <c r="BJ113" s="59">
        <f t="shared" si="92"/>
        <v>46.344307013926596</v>
      </c>
      <c r="BK113" s="15">
        <f>IF(ISNA(VLOOKUP(A113,'Données projet'!$A$87:$I$107,3,0)),0,VLOOKUP(A113,'Données projet'!$A$87:$I$107,3,0))</f>
        <v>16</v>
      </c>
      <c r="BL113" s="15">
        <f>IF(ISNA(VLOOKUP(A113,'Données projet'!$A$87:$I$107,4,0)),0,VLOOKUP(A113,'Données projet'!$A$87:$I$107,4,0))</f>
        <v>13</v>
      </c>
      <c r="BM113" s="16">
        <f>IF(ISNA(VLOOKUP(A113,'Données projet'!$A$87:$I$107,5,0)),0%,VLOOKUP(A113,'Données projet'!$A$87:$I$107,5,0)*VLOOKUP('Données projet'!$B$11,Paramètres!$A$1:$I$89,7,0))</f>
        <v>0.34400000000000003</v>
      </c>
      <c r="BN113" s="16">
        <f>IF(ISNA(VLOOKUP(A113,'Données projet'!$A$87:$I$107,6,0)),0%,VLOOKUP(A113,'Données projet'!$A$87:$I$107,6,0)*VLOOKUP('Données projet'!$B$11,Paramètres!$A$1:$I$89,7,0))</f>
        <v>1.72E-2</v>
      </c>
      <c r="BO113" s="16">
        <f>IF(ISNA(VLOOKUP(A113,'Données projet'!$A$87:$I$107,7,0)),0%,VLOOKUP(A113,'Données projet'!$A$87:$I$107,7,0))</f>
        <v>0.06</v>
      </c>
      <c r="BP113" s="21">
        <f>EXP(-LN(2)/35)*BP112+(1-EXP(-LN(2)/35))/(LN(2)/35)*BL113*BM113*VLOOKUP('Données projet'!$B$11,Paramètres!$A$1:$I$89,3,0)*0.475*44/12</f>
        <v>40.037976434374947</v>
      </c>
      <c r="BQ113" s="21">
        <f>EXP(-LN(2)/25)*BQ112+(1-EXP(-LN(2)/25))/(LN(2)/25)*Calculateur!BL113*Calculateur!BN113*VLOOKUP('Données projet'!$B$11,Paramètres!$A$1:$I$89,3,0)*0.475*44/12</f>
        <v>1.8548153624658863</v>
      </c>
      <c r="BR113" s="21">
        <f>EXP(-LN(2)/2)*BR112+(1-EXP(-LN(2)/2))/(LN(2)/2)*BL113*BO113*VLOOKUP('Données projet'!$B$11,Paramètres!$A$1:$I$89,3,0)*0.475*44/12</f>
        <v>0.91882970813840892</v>
      </c>
      <c r="BS113" s="22">
        <f t="shared" si="63"/>
        <v>42.811621504979243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789.00000000000045</v>
      </c>
      <c r="BZ113" s="13">
        <f>BY113*VLOOKUP('Données projet'!$B$12,Paramètres!$A$1:$I$89,3,0)*VLOOKUP('Données projet'!$B$12,Paramètres!$A$1:$I$89,5,0)</f>
        <v>348.73800000000023</v>
      </c>
      <c r="CA113" s="13">
        <f t="shared" si="93"/>
        <v>81.302597726165047</v>
      </c>
      <c r="CB113" s="20">
        <f t="shared" si="64"/>
        <v>748.98737437307125</v>
      </c>
      <c r="CC113" s="59">
        <f t="shared" si="65"/>
        <v>1042.3207077064046</v>
      </c>
      <c r="CD113" s="59">
        <f ca="1">AVERAGE(OFFSET($CC$3,0,0,'Données projet'!$E$12+1,1))-AVERAGE(OFFSET($H$3,0,0,'Données projet'!$E$12+1,1))</f>
        <v>333.00091572040611</v>
      </c>
      <c r="CE113" s="59">
        <f t="shared" si="94"/>
        <v>267.06874181561398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31.847616404218119</v>
      </c>
      <c r="CL113" s="21">
        <f>EXP(-LN(2)/25)*CL112+(1-EXP(-LN(2)/25))/(LN(2)/25)*Calculateur!CG113*Calculateur!CI113*VLOOKUP('Données projet'!$B$12,Paramètres!$A$1:$I$89,3,0)*0.475*44/12</f>
        <v>10.484397497638231</v>
      </c>
      <c r="CM113" s="21">
        <f>EXP(-LN(2)/2)*CM112+(1-EXP(-LN(2)/2))/(LN(2)/2)*CG113*CJ113*VLOOKUP('Données projet'!$B$12,Paramètres!$A$1:$I$89,3,0)*0.475*44/12</f>
        <v>6.0848234428648901E-5</v>
      </c>
      <c r="CN113" s="22">
        <f t="shared" si="66"/>
        <v>42.332074750090776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1">
        <f t="shared" si="86"/>
        <v>22.475533601501073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67">
        <f t="shared" si="56"/>
        <v>474.2241110226139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229</v>
      </c>
      <c r="O114" s="13">
        <f>N114*VLOOKUP('Données projet'!$B$9,Paramètres!$A$1:$I$89,3,0)*VLOOKUP('Données projet'!$B$9,Paramètres!$A$1:$I$89,5,0)</f>
        <v>136.94200000000001</v>
      </c>
      <c r="P114" s="13">
        <f t="shared" si="87"/>
        <v>35.595562742420903</v>
      </c>
      <c r="Q114" s="20">
        <f t="shared" si="107"/>
        <v>300.50292177638306</v>
      </c>
      <c r="R114" s="59">
        <f t="shared" si="55"/>
        <v>593.83625510971638</v>
      </c>
      <c r="S114" s="59">
        <f ca="1">AVERAGE(OFFSET($R$3,0,0,'Données projet'!$E$9+1,1))-AVERAGE(OFFSET($H$3,0,0,'Données projet'!$E$9+1,1))</f>
        <v>125.14227069357082</v>
      </c>
      <c r="T114" s="59">
        <f t="shared" si="88"/>
        <v>193.39407925063165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7.8527002088223892</v>
      </c>
      <c r="AA114" s="21">
        <f>EXP(-LN(2)/25)*AA113+(1-EXP(-LN(2)/25))/(LN(2)/25)*Calculateur!V114*Calculateur!X114*VLOOKUP('Données projet'!$B$9,Paramètres!$A$1:$I$89,3,0)*0.475*44/12</f>
        <v>3.1667277485326384</v>
      </c>
      <c r="AB114" s="21">
        <f>EXP(-LN(2)/2)*AB113+(1-EXP(-LN(2)/2))/(LN(2)/2)*V114*Y114*VLOOKUP('Données projet'!$B$9,Paramètres!$A$1:$I$89,3,0)*0.475*44/12</f>
        <v>3.127406842217314E-8</v>
      </c>
      <c r="AC114" s="22">
        <f t="shared" si="57"/>
        <v>11.019427988629095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-5.999999999994543E-2</v>
      </c>
      <c r="AJ114" s="13">
        <f>AI114*VLOOKUP('Données projet'!$B$10,Paramètres!$A$1:$I$89,3,0)*VLOOKUP('Données projet'!$B$10,Paramètres!$A$1:$I$89,5,0)</f>
        <v>-2.8079999999974462E-2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74.573470247551825</v>
      </c>
      <c r="AO114" s="59">
        <f t="shared" si="90"/>
        <v>122.43655207772224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26.558082623393389</v>
      </c>
      <c r="AV114" s="21">
        <f>EXP(-LN(2)/25)*AV113+(1-EXP(-LN(2)/25))/(LN(2)/25)*Calculateur!AQ114*Calculateur!AS114*VLOOKUP('Données projet'!$B$10,Paramètres!$A$1:$I$89,3,0)*0.475*44/12</f>
        <v>8.0673493177414759</v>
      </c>
      <c r="AW114" s="21">
        <f>EXP(-LN(2)/2)*AW113+(1-EXP(-LN(2)/2))/(LN(2)/2)*AQ114*AT114*VLOOKUP('Données projet'!$B$10,Paramètres!$A$1:$I$89,3,0)*0.475*44/12</f>
        <v>9.1447777378613439E-7</v>
      </c>
      <c r="AX114" s="21">
        <f t="shared" si="60"/>
        <v>34.625432855612637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</v>
      </c>
      <c r="BD114" s="12">
        <f>IF('Données projet'!$A$88&gt;35,BD113+BC114-BL113,IF(A114&lt;'Données projet'!$A$88,$BA$205^A114,IF(A114='Données projet'!$A$88,'Données projet'!$B$88,BD113+BC114-BL113)))</f>
        <v>208.99999999999991</v>
      </c>
      <c r="BE114" s="13">
        <f>BD114*VLOOKUP('Données projet'!$B$11,Paramètres!$A$1:$I$89,3,0)*VLOOKUP('Données projet'!$B$11,Paramètres!$A$1:$I$89,5,0)</f>
        <v>211.9259999999999</v>
      </c>
      <c r="BF114" s="13">
        <f t="shared" si="91"/>
        <v>52.356241262970116</v>
      </c>
      <c r="BG114" s="20">
        <f t="shared" si="61"/>
        <v>460.29157019967283</v>
      </c>
      <c r="BH114" s="59">
        <f t="shared" si="62"/>
        <v>753.62490353300609</v>
      </c>
      <c r="BI114" s="59">
        <f ca="1">AVERAGE(OFFSET($BH$3,0,0,'Données projet'!$E$11+1,1))-AVERAGE(OFFSET($H$3,0,0,'Données projet'!$E$11+1,1))</f>
        <v>183.74583738362492</v>
      </c>
      <c r="BJ114" s="59">
        <f t="shared" si="92"/>
        <v>46.344307013926596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39.252856137251129</v>
      </c>
      <c r="BQ114" s="21">
        <f>EXP(-LN(2)/25)*BQ113+(1-EXP(-LN(2)/25))/(LN(2)/25)*Calculateur!BL114*Calculateur!BN114*VLOOKUP('Données projet'!$B$11,Paramètres!$A$1:$I$89,3,0)*0.475*44/12</f>
        <v>1.8040953388387559</v>
      </c>
      <c r="BR114" s="21">
        <f>EXP(-LN(2)/2)*BR113+(1-EXP(-LN(2)/2))/(LN(2)/2)*BL114*BO114*VLOOKUP('Données projet'!$B$11,Paramètres!$A$1:$I$89,3,0)*0.475*44/12</f>
        <v>0.64971071738032526</v>
      </c>
      <c r="BS114" s="22">
        <f t="shared" si="63"/>
        <v>41.706662193470208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789.00000000000045</v>
      </c>
      <c r="BZ114" s="13">
        <f>BY114*VLOOKUP('Données projet'!$B$12,Paramètres!$A$1:$I$89,3,0)*VLOOKUP('Données projet'!$B$12,Paramètres!$A$1:$I$89,5,0)</f>
        <v>348.73800000000023</v>
      </c>
      <c r="CA114" s="13">
        <f t="shared" si="93"/>
        <v>81.302597726165047</v>
      </c>
      <c r="CB114" s="20">
        <f t="shared" si="64"/>
        <v>748.98737437307125</v>
      </c>
      <c r="CC114" s="59">
        <f t="shared" si="65"/>
        <v>1042.3207077064046</v>
      </c>
      <c r="CD114" s="59">
        <f ca="1">AVERAGE(OFFSET($CC$3,0,0,'Données projet'!$E$12+1,1))-AVERAGE(OFFSET($H$3,0,0,'Données projet'!$E$12+1,1))</f>
        <v>333.00091572040611</v>
      </c>
      <c r="CE114" s="59">
        <f t="shared" si="94"/>
        <v>267.06874181561398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31.223104071659336</v>
      </c>
      <c r="CL114" s="21">
        <f>EXP(-LN(2)/25)*CL113+(1-EXP(-LN(2)/25))/(LN(2)/25)*Calculateur!CG114*Calculateur!CI114*VLOOKUP('Données projet'!$B$12,Paramètres!$A$1:$I$89,3,0)*0.475*44/12</f>
        <v>10.197701096714811</v>
      </c>
      <c r="CM114" s="21">
        <f>EXP(-LN(2)/2)*CM113+(1-EXP(-LN(2)/2))/(LN(2)/2)*CG114*CJ114*VLOOKUP('Données projet'!$B$12,Paramètres!$A$1:$I$89,3,0)*0.475*44/12</f>
        <v>4.302619918772639E-5</v>
      </c>
      <c r="CN114" s="22">
        <f t="shared" si="66"/>
        <v>41.420848194573331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1">
        <f t="shared" si="86"/>
        <v>22.654353452648337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67">
        <f t="shared" si="56"/>
        <v>475.81254559669543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229</v>
      </c>
      <c r="O115" s="13">
        <f>N115*VLOOKUP('Données projet'!$B$9,Paramètres!$A$1:$I$89,3,0)*VLOOKUP('Données projet'!$B$9,Paramètres!$A$1:$I$89,5,0)</f>
        <v>136.94200000000001</v>
      </c>
      <c r="P115" s="13">
        <f t="shared" si="87"/>
        <v>35.595562742420903</v>
      </c>
      <c r="Q115" s="20">
        <f t="shared" si="107"/>
        <v>300.50292177638306</v>
      </c>
      <c r="R115" s="59">
        <f t="shared" si="55"/>
        <v>593.83625510971638</v>
      </c>
      <c r="S115" s="59">
        <f ca="1">AVERAGE(OFFSET($R$3,0,0,'Données projet'!$E$9+1,1))-AVERAGE(OFFSET($H$3,0,0,'Données projet'!$E$9+1,1))</f>
        <v>125.14227069357082</v>
      </c>
      <c r="T115" s="59">
        <f t="shared" si="88"/>
        <v>193.39407925063165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7.6987135474015682</v>
      </c>
      <c r="AA115" s="21">
        <f>EXP(-LN(2)/25)*AA114+(1-EXP(-LN(2)/25))/(LN(2)/25)*Calculateur!V115*Calculateur!X115*VLOOKUP('Données projet'!$B$9,Paramètres!$A$1:$I$89,3,0)*0.475*44/12</f>
        <v>3.0801334117180388</v>
      </c>
      <c r="AB115" s="21">
        <f>EXP(-LN(2)/2)*AB114+(1-EXP(-LN(2)/2))/(LN(2)/2)*V115*Y115*VLOOKUP('Données projet'!$B$9,Paramètres!$A$1:$I$89,3,0)*0.475*44/12</f>
        <v>2.2114105856610699E-8</v>
      </c>
      <c r="AC115" s="22">
        <f t="shared" si="57"/>
        <v>10.778846981233713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-5.999999999994543E-2</v>
      </c>
      <c r="AJ115" s="13">
        <f>AI115*VLOOKUP('Données projet'!$B$10,Paramètres!$A$1:$I$89,3,0)*VLOOKUP('Données projet'!$B$10,Paramètres!$A$1:$I$89,5,0)</f>
        <v>-2.8079999999974462E-2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74.573470247551825</v>
      </c>
      <c r="AO115" s="59">
        <f t="shared" si="90"/>
        <v>122.43655207772224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26.037294821979543</v>
      </c>
      <c r="AV115" s="21">
        <f>EXP(-LN(2)/25)*AV114+(1-EXP(-LN(2)/25))/(LN(2)/25)*Calculateur!AQ115*Calculateur!AS115*VLOOKUP('Données projet'!$B$10,Paramètres!$A$1:$I$89,3,0)*0.475*44/12</f>
        <v>7.8467472264043732</v>
      </c>
      <c r="AW115" s="21">
        <f>EXP(-LN(2)/2)*AW114+(1-EXP(-LN(2)/2))/(LN(2)/2)*AQ115*AT115*VLOOKUP('Données projet'!$B$10,Paramètres!$A$1:$I$89,3,0)*0.475*44/12</f>
        <v>6.466334350885533E-7</v>
      </c>
      <c r="AX115" s="21">
        <f t="shared" si="60"/>
        <v>33.884042695017357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</v>
      </c>
      <c r="BD115" s="12">
        <f>IF('Données projet'!$A$88&gt;35,BD114+BC115-BL114,IF(A115&lt;'Données projet'!$A$88,$BA$205^A115,IF(A115='Données projet'!$A$88,'Données projet'!$B$88,BD114+BC115-BL114)))</f>
        <v>211.99999999999991</v>
      </c>
      <c r="BE115" s="13">
        <f>BD115*VLOOKUP('Données projet'!$B$11,Paramètres!$A$1:$I$89,3,0)*VLOOKUP('Données projet'!$B$11,Paramètres!$A$1:$I$89,5,0)</f>
        <v>214.96799999999993</v>
      </c>
      <c r="BF115" s="13">
        <f t="shared" si="91"/>
        <v>53.019736939092994</v>
      </c>
      <c r="BG115" s="20">
        <f t="shared" si="61"/>
        <v>466.74530850225352</v>
      </c>
      <c r="BH115" s="59">
        <f t="shared" si="62"/>
        <v>760.07864183558684</v>
      </c>
      <c r="BI115" s="59">
        <f ca="1">AVERAGE(OFFSET($BH$3,0,0,'Données projet'!$E$11+1,1))-AVERAGE(OFFSET($H$3,0,0,'Données projet'!$E$11+1,1))</f>
        <v>183.74583738362492</v>
      </c>
      <c r="BJ115" s="59">
        <f t="shared" si="92"/>
        <v>46.344307013926596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38.483131570277813</v>
      </c>
      <c r="BQ115" s="21">
        <f>EXP(-LN(2)/25)*BQ114+(1-EXP(-LN(2)/25))/(LN(2)/25)*Calculateur!BL115*Calculateur!BN115*VLOOKUP('Données projet'!$B$11,Paramètres!$A$1:$I$89,3,0)*0.475*44/12</f>
        <v>1.7547622569249597</v>
      </c>
      <c r="BR115" s="21">
        <f>EXP(-LN(2)/2)*BR114+(1-EXP(-LN(2)/2))/(LN(2)/2)*BL115*BO115*VLOOKUP('Données projet'!$B$11,Paramètres!$A$1:$I$89,3,0)*0.475*44/12</f>
        <v>0.45941485406920451</v>
      </c>
      <c r="BS115" s="22">
        <f t="shared" si="63"/>
        <v>40.697308681271977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789.00000000000045</v>
      </c>
      <c r="BZ115" s="13">
        <f>BY115*VLOOKUP('Données projet'!$B$12,Paramètres!$A$1:$I$89,3,0)*VLOOKUP('Données projet'!$B$12,Paramètres!$A$1:$I$89,5,0)</f>
        <v>348.73800000000023</v>
      </c>
      <c r="CA115" s="13">
        <f t="shared" si="93"/>
        <v>81.302597726165047</v>
      </c>
      <c r="CB115" s="20">
        <f t="shared" si="64"/>
        <v>748.98737437307125</v>
      </c>
      <c r="CC115" s="59">
        <f t="shared" si="65"/>
        <v>1042.3207077064046</v>
      </c>
      <c r="CD115" s="59">
        <f ca="1">AVERAGE(OFFSET($CC$3,0,0,'Données projet'!$E$12+1,1))-AVERAGE(OFFSET($H$3,0,0,'Données projet'!$E$12+1,1))</f>
        <v>333.00091572040611</v>
      </c>
      <c r="CE115" s="59">
        <f t="shared" si="94"/>
        <v>267.06874181561398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30.610838045027119</v>
      </c>
      <c r="CL115" s="21">
        <f>EXP(-LN(2)/25)*CL114+(1-EXP(-LN(2)/25))/(LN(2)/25)*Calculateur!CG115*Calculateur!CI115*VLOOKUP('Données projet'!$B$12,Paramètres!$A$1:$I$89,3,0)*0.475*44/12</f>
        <v>9.9188444239513505</v>
      </c>
      <c r="CM115" s="21">
        <f>EXP(-LN(2)/2)*CM114+(1-EXP(-LN(2)/2))/(LN(2)/2)*CG115*CJ115*VLOOKUP('Données projet'!$B$12,Paramètres!$A$1:$I$89,3,0)*0.475*44/12</f>
        <v>3.0424117214324454E-5</v>
      </c>
      <c r="CN115" s="22">
        <f t="shared" si="66"/>
        <v>40.529712893095684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1">
        <f t="shared" si="86"/>
        <v>22.832987552808103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67">
        <f t="shared" si="56"/>
        <v>477.40065665447366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229</v>
      </c>
      <c r="O116" s="13">
        <f>N116*VLOOKUP('Données projet'!$B$9,Paramètres!$A$1:$I$89,3,0)*VLOOKUP('Données projet'!$B$9,Paramètres!$A$1:$I$89,5,0)</f>
        <v>136.94200000000001</v>
      </c>
      <c r="P116" s="13">
        <f t="shared" si="87"/>
        <v>35.595562742420903</v>
      </c>
      <c r="Q116" s="20">
        <f t="shared" si="107"/>
        <v>300.50292177638306</v>
      </c>
      <c r="R116" s="59">
        <f t="shared" si="55"/>
        <v>593.83625510971638</v>
      </c>
      <c r="S116" s="59">
        <f ca="1">AVERAGE(OFFSET($R$3,0,0,'Données projet'!$E$9+1,1))-AVERAGE(OFFSET($H$3,0,0,'Données projet'!$E$9+1,1))</f>
        <v>125.14227069357082</v>
      </c>
      <c r="T116" s="59">
        <f t="shared" si="88"/>
        <v>193.39407925063165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7.5477464704886206</v>
      </c>
      <c r="AA116" s="21">
        <f>EXP(-LN(2)/25)*AA115+(1-EXP(-LN(2)/25))/(LN(2)/25)*Calculateur!V116*Calculateur!X116*VLOOKUP('Données projet'!$B$9,Paramètres!$A$1:$I$89,3,0)*0.475*44/12</f>
        <v>2.9959070015974327</v>
      </c>
      <c r="AB116" s="21">
        <f>EXP(-LN(2)/2)*AB115+(1-EXP(-LN(2)/2))/(LN(2)/2)*V116*Y116*VLOOKUP('Données projet'!$B$9,Paramètres!$A$1:$I$89,3,0)*0.475*44/12</f>
        <v>1.563703421108657E-8</v>
      </c>
      <c r="AC116" s="22">
        <f t="shared" si="57"/>
        <v>10.543653487723088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-5.999999999994543E-2</v>
      </c>
      <c r="AJ116" s="13">
        <f>AI116*VLOOKUP('Données projet'!$B$10,Paramètres!$A$1:$I$89,3,0)*VLOOKUP('Données projet'!$B$10,Paramètres!$A$1:$I$89,5,0)</f>
        <v>-2.8079999999974462E-2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74.573470247551825</v>
      </c>
      <c r="AO116" s="59">
        <f t="shared" si="90"/>
        <v>122.43655207772224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25.52671935170223</v>
      </c>
      <c r="AV116" s="21">
        <f>EXP(-LN(2)/25)*AV115+(1-EXP(-LN(2)/25))/(LN(2)/25)*Calculateur!AQ116*Calculateur!AS116*VLOOKUP('Données projet'!$B$10,Paramètres!$A$1:$I$89,3,0)*0.475*44/12</f>
        <v>7.6321775108558425</v>
      </c>
      <c r="AW116" s="21">
        <f>EXP(-LN(2)/2)*AW115+(1-EXP(-LN(2)/2))/(LN(2)/2)*AQ116*AT116*VLOOKUP('Données projet'!$B$10,Paramètres!$A$1:$I$89,3,0)*0.475*44/12</f>
        <v>4.572388868930673E-7</v>
      </c>
      <c r="AX116" s="21">
        <f t="shared" si="60"/>
        <v>33.158897319796964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</v>
      </c>
      <c r="BD116" s="12">
        <f>IF('Données projet'!$A$88&gt;35,BD115+BC116-BL115,IF(A116&lt;'Données projet'!$A$88,$BA$205^A116,IF(A116='Données projet'!$A$88,'Données projet'!$B$88,BD115+BC116-BL115)))</f>
        <v>214.99999999999991</v>
      </c>
      <c r="BE116" s="13">
        <f>BD116*VLOOKUP('Données projet'!$B$11,Paramètres!$A$1:$I$89,3,0)*VLOOKUP('Données projet'!$B$11,Paramètres!$A$1:$I$89,5,0)</f>
        <v>218.00999999999991</v>
      </c>
      <c r="BF116" s="13">
        <f t="shared" si="91"/>
        <v>53.682140586224357</v>
      </c>
      <c r="BG116" s="20">
        <f t="shared" si="61"/>
        <v>473.19714485434059</v>
      </c>
      <c r="BH116" s="59">
        <f t="shared" si="62"/>
        <v>766.53047818767391</v>
      </c>
      <c r="BI116" s="59">
        <f ca="1">AVERAGE(OFFSET($BH$3,0,0,'Données projet'!$E$11+1,1))-AVERAGE(OFFSET($H$3,0,0,'Données projet'!$E$11+1,1))</f>
        <v>183.74583738362492</v>
      </c>
      <c r="BJ116" s="59">
        <f t="shared" si="92"/>
        <v>46.344307013926596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37.728500832577218</v>
      </c>
      <c r="BQ116" s="21">
        <f>EXP(-LN(2)/25)*BQ115+(1-EXP(-LN(2)/25))/(LN(2)/25)*Calculateur!BL116*Calculateur!BN116*VLOOKUP('Données projet'!$B$11,Paramètres!$A$1:$I$89,3,0)*0.475*44/12</f>
        <v>1.70677819073041</v>
      </c>
      <c r="BR116" s="21">
        <f>EXP(-LN(2)/2)*BR115+(1-EXP(-LN(2)/2))/(LN(2)/2)*BL116*BO116*VLOOKUP('Données projet'!$B$11,Paramètres!$A$1:$I$89,3,0)*0.475*44/12</f>
        <v>0.32485535869016269</v>
      </c>
      <c r="BS116" s="22">
        <f t="shared" si="63"/>
        <v>39.760134381997794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789.00000000000045</v>
      </c>
      <c r="BZ116" s="13">
        <f>BY116*VLOOKUP('Données projet'!$B$12,Paramètres!$A$1:$I$89,3,0)*VLOOKUP('Données projet'!$B$12,Paramètres!$A$1:$I$89,5,0)</f>
        <v>348.73800000000023</v>
      </c>
      <c r="CA116" s="13">
        <f t="shared" si="93"/>
        <v>81.302597726165047</v>
      </c>
      <c r="CB116" s="20">
        <f t="shared" si="64"/>
        <v>748.98737437307125</v>
      </c>
      <c r="CC116" s="59">
        <f t="shared" si="65"/>
        <v>1042.3207077064046</v>
      </c>
      <c r="CD116" s="59">
        <f ca="1">AVERAGE(OFFSET($CC$3,0,0,'Données projet'!$E$12+1,1))-AVERAGE(OFFSET($H$3,0,0,'Données projet'!$E$12+1,1))</f>
        <v>333.00091572040611</v>
      </c>
      <c r="CE116" s="59">
        <f t="shared" si="94"/>
        <v>267.06874181561398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30.010578181731759</v>
      </c>
      <c r="CL116" s="21">
        <f>EXP(-LN(2)/25)*CL115+(1-EXP(-LN(2)/25))/(LN(2)/25)*Calculateur!CG116*Calculateur!CI116*VLOOKUP('Données projet'!$B$12,Paramètres!$A$1:$I$89,3,0)*0.475*44/12</f>
        <v>9.6476131015690427</v>
      </c>
      <c r="CM116" s="21">
        <f>EXP(-LN(2)/2)*CM115+(1-EXP(-LN(2)/2))/(LN(2)/2)*CG116*CJ116*VLOOKUP('Données projet'!$B$12,Paramètres!$A$1:$I$89,3,0)*0.475*44/12</f>
        <v>2.1513099593863198E-5</v>
      </c>
      <c r="CN116" s="22">
        <f t="shared" si="66"/>
        <v>39.658212796400399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1">
        <f t="shared" si="86"/>
        <v>23.011437736237557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67">
        <f t="shared" si="56"/>
        <v>478.98844739061326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229</v>
      </c>
      <c r="O117" s="13">
        <f>N117*VLOOKUP('Données projet'!$B$9,Paramètres!$A$1:$I$89,3,0)*VLOOKUP('Données projet'!$B$9,Paramètres!$A$1:$I$89,5,0)</f>
        <v>136.94200000000001</v>
      </c>
      <c r="P117" s="13">
        <f t="shared" si="87"/>
        <v>35.595562742420903</v>
      </c>
      <c r="Q117" s="20">
        <f t="shared" si="107"/>
        <v>300.50292177638306</v>
      </c>
      <c r="R117" s="59">
        <f t="shared" si="55"/>
        <v>593.83625510971638</v>
      </c>
      <c r="S117" s="59">
        <f ca="1">AVERAGE(OFFSET($R$3,0,0,'Données projet'!$E$9+1,1))-AVERAGE(OFFSET($H$3,0,0,'Données projet'!$E$9+1,1))</f>
        <v>125.14227069357082</v>
      </c>
      <c r="T117" s="59">
        <f t="shared" si="88"/>
        <v>193.39407925063165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7.399739765873111</v>
      </c>
      <c r="AA117" s="21">
        <f>EXP(-LN(2)/25)*AA116+(1-EXP(-LN(2)/25))/(LN(2)/25)*Calculateur!V117*Calculateur!X117*VLOOKUP('Données projet'!$B$9,Paramètres!$A$1:$I$89,3,0)*0.475*44/12</f>
        <v>2.9139837670908491</v>
      </c>
      <c r="AB117" s="21">
        <f>EXP(-LN(2)/2)*AB116+(1-EXP(-LN(2)/2))/(LN(2)/2)*V117*Y117*VLOOKUP('Données projet'!$B$9,Paramètres!$A$1:$I$89,3,0)*0.475*44/12</f>
        <v>1.1057052928305349E-8</v>
      </c>
      <c r="AC117" s="22">
        <f t="shared" si="57"/>
        <v>10.313723544021013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-5.999999999994543E-2</v>
      </c>
      <c r="AJ117" s="13">
        <f>AI117*VLOOKUP('Données projet'!$B$10,Paramètres!$A$1:$I$89,3,0)*VLOOKUP('Données projet'!$B$10,Paramètres!$A$1:$I$89,5,0)</f>
        <v>-2.8079999999974462E-2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74.573470247551825</v>
      </c>
      <c r="AO117" s="59">
        <f t="shared" si="90"/>
        <v>122.43655207772224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25.026155954976769</v>
      </c>
      <c r="AV117" s="21">
        <f>EXP(-LN(2)/25)*AV116+(1-EXP(-LN(2)/25))/(LN(2)/25)*Calculateur!AQ117*Calculateur!AS117*VLOOKUP('Données projet'!$B$10,Paramètres!$A$1:$I$89,3,0)*0.475*44/12</f>
        <v>7.4234752154627177</v>
      </c>
      <c r="AW117" s="21">
        <f>EXP(-LN(2)/2)*AW116+(1-EXP(-LN(2)/2))/(LN(2)/2)*AQ117*AT117*VLOOKUP('Données projet'!$B$10,Paramètres!$A$1:$I$89,3,0)*0.475*44/12</f>
        <v>3.2331671754427671E-7</v>
      </c>
      <c r="AX117" s="21">
        <f t="shared" si="60"/>
        <v>32.449631493756208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</v>
      </c>
      <c r="BD117" s="12">
        <f>IF('Données projet'!$A$88&gt;35,BD116+BC117-BL116,IF(A117&lt;'Données projet'!$A$88,$BA$205^A117,IF(A117='Données projet'!$A$88,'Données projet'!$B$88,BD116+BC117-BL116)))</f>
        <v>217.99999999999991</v>
      </c>
      <c r="BE117" s="13">
        <f>BD117*VLOOKUP('Données projet'!$B$11,Paramètres!$A$1:$I$89,3,0)*VLOOKUP('Données projet'!$B$11,Paramètres!$A$1:$I$89,5,0)</f>
        <v>221.05199999999994</v>
      </c>
      <c r="BF117" s="13">
        <f t="shared" si="91"/>
        <v>54.343469202939204</v>
      </c>
      <c r="BG117" s="20">
        <f t="shared" si="61"/>
        <v>479.64710886178568</v>
      </c>
      <c r="BH117" s="59">
        <f t="shared" si="62"/>
        <v>772.98044219511894</v>
      </c>
      <c r="BI117" s="59">
        <f ca="1">AVERAGE(OFFSET($BH$3,0,0,'Données projet'!$E$11+1,1))-AVERAGE(OFFSET($H$3,0,0,'Données projet'!$E$11+1,1))</f>
        <v>183.74583738362492</v>
      </c>
      <c r="BJ117" s="59">
        <f t="shared" si="92"/>
        <v>46.344307013926596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36.98866794336363</v>
      </c>
      <c r="BQ117" s="21">
        <f>EXP(-LN(2)/25)*BQ116+(1-EXP(-LN(2)/25))/(LN(2)/25)*Calculateur!BL117*Calculateur!BN117*VLOOKUP('Données projet'!$B$11,Paramètres!$A$1:$I$89,3,0)*0.475*44/12</f>
        <v>1.6601062513493228</v>
      </c>
      <c r="BR117" s="21">
        <f>EXP(-LN(2)/2)*BR116+(1-EXP(-LN(2)/2))/(LN(2)/2)*BL117*BO117*VLOOKUP('Données projet'!$B$11,Paramètres!$A$1:$I$89,3,0)*0.475*44/12</f>
        <v>0.22970742703460229</v>
      </c>
      <c r="BS117" s="22">
        <f t="shared" si="63"/>
        <v>38.878481621747561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789.00000000000045</v>
      </c>
      <c r="BZ117" s="13">
        <f>BY117*VLOOKUP('Données projet'!$B$12,Paramètres!$A$1:$I$89,3,0)*VLOOKUP('Données projet'!$B$12,Paramètres!$A$1:$I$89,5,0)</f>
        <v>348.73800000000023</v>
      </c>
      <c r="CA117" s="13">
        <f t="shared" si="93"/>
        <v>81.302597726165047</v>
      </c>
      <c r="CB117" s="20">
        <f t="shared" si="64"/>
        <v>748.98737437307125</v>
      </c>
      <c r="CC117" s="59">
        <f t="shared" si="65"/>
        <v>1042.3207077064046</v>
      </c>
      <c r="CD117" s="59">
        <f ca="1">AVERAGE(OFFSET($CC$3,0,0,'Données projet'!$E$12+1,1))-AVERAGE(OFFSET($H$3,0,0,'Données projet'!$E$12+1,1))</f>
        <v>333.00091572040611</v>
      </c>
      <c r="CE117" s="59">
        <f t="shared" si="94"/>
        <v>267.06874181561398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29.422089048233257</v>
      </c>
      <c r="CL117" s="21">
        <f>EXP(-LN(2)/25)*CL116+(1-EXP(-LN(2)/25))/(LN(2)/25)*Calculateur!CG117*Calculateur!CI117*VLOOKUP('Données projet'!$B$12,Paramètres!$A$1:$I$89,3,0)*0.475*44/12</f>
        <v>9.3837986139607139</v>
      </c>
      <c r="CM117" s="21">
        <f>EXP(-LN(2)/2)*CM116+(1-EXP(-LN(2)/2))/(LN(2)/2)*CG117*CJ117*VLOOKUP('Données projet'!$B$12,Paramètres!$A$1:$I$89,3,0)*0.475*44/12</f>
        <v>1.521205860716223E-5</v>
      </c>
      <c r="CN117" s="22">
        <f t="shared" si="66"/>
        <v>38.805902874252574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1">
        <f t="shared" si="86"/>
        <v>23.189705803157189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67">
        <f t="shared" si="56"/>
        <v>480.57592094049829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229</v>
      </c>
      <c r="O118" s="13">
        <f>N118*VLOOKUP('Données projet'!$B$9,Paramètres!$A$1:$I$89,3,0)*VLOOKUP('Données projet'!$B$9,Paramètres!$A$1:$I$89,5,0)</f>
        <v>136.94200000000001</v>
      </c>
      <c r="P118" s="13">
        <f t="shared" si="87"/>
        <v>35.595562742420903</v>
      </c>
      <c r="Q118" s="20">
        <f t="shared" si="107"/>
        <v>300.50292177638306</v>
      </c>
      <c r="R118" s="59">
        <f t="shared" si="55"/>
        <v>593.83625510971638</v>
      </c>
      <c r="S118" s="59">
        <f ca="1">AVERAGE(OFFSET($R$3,0,0,'Données projet'!$E$9+1,1))-AVERAGE(OFFSET($H$3,0,0,'Données projet'!$E$9+1,1))</f>
        <v>125.14227069357082</v>
      </c>
      <c r="T118" s="59">
        <f t="shared" si="88"/>
        <v>193.39407925063165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7.2546353824599361</v>
      </c>
      <c r="AA118" s="21">
        <f>EXP(-LN(2)/25)*AA117+(1-EXP(-LN(2)/25))/(LN(2)/25)*Calculateur!V118*Calculateur!X118*VLOOKUP('Données projet'!$B$9,Paramètres!$A$1:$I$89,3,0)*0.475*44/12</f>
        <v>2.8343007277400036</v>
      </c>
      <c r="AB118" s="21">
        <f>EXP(-LN(2)/2)*AB117+(1-EXP(-LN(2)/2))/(LN(2)/2)*V118*Y118*VLOOKUP('Données projet'!$B$9,Paramètres!$A$1:$I$89,3,0)*0.475*44/12</f>
        <v>7.818517105543285E-9</v>
      </c>
      <c r="AC118" s="22">
        <f t="shared" si="57"/>
        <v>10.088936118018458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-5.999999999994543E-2</v>
      </c>
      <c r="AJ118" s="13">
        <f>AI118*VLOOKUP('Données projet'!$B$10,Paramètres!$A$1:$I$89,3,0)*VLOOKUP('Données projet'!$B$10,Paramètres!$A$1:$I$89,5,0)</f>
        <v>-2.8079999999974462E-2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74.573470247551825</v>
      </c>
      <c r="AO118" s="59">
        <f t="shared" si="90"/>
        <v>122.43655207772224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24.535408301147569</v>
      </c>
      <c r="AV118" s="21">
        <f>EXP(-LN(2)/25)*AV117+(1-EXP(-LN(2)/25))/(LN(2)/25)*Calculateur!AQ118*Calculateur!AS118*VLOOKUP('Données projet'!$B$10,Paramètres!$A$1:$I$89,3,0)*0.475*44/12</f>
        <v>7.2204798953122946</v>
      </c>
      <c r="AW118" s="21">
        <f>EXP(-LN(2)/2)*AW117+(1-EXP(-LN(2)/2))/(LN(2)/2)*AQ118*AT118*VLOOKUP('Données projet'!$B$10,Paramètres!$A$1:$I$89,3,0)*0.475*44/12</f>
        <v>2.2861944344653368E-7</v>
      </c>
      <c r="AX118" s="21">
        <f t="shared" si="60"/>
        <v>31.755888425079309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>
        <f>VLOOKUP(A118,'Données projet'!$A$87:$I$107,2,0)</f>
        <v>221</v>
      </c>
      <c r="BB118" s="12">
        <f>VLOOKUP(A118,'Données projet'!$A$87:$I$107,9,0)</f>
        <v>3</v>
      </c>
      <c r="BC118" s="12">
        <f t="array" ref="BC118">INDEX(BB:BB,MIN(IF(ISNUMBER(BB118:BB314),ROW(BB118:BB314),"")))</f>
        <v>3</v>
      </c>
      <c r="BD118" s="12">
        <f>IF('Données projet'!$A$88&gt;35,BD117+BC118-BL117,IF(A118&lt;'Données projet'!$A$88,$BA$205^A118,IF(A118='Données projet'!$A$88,'Données projet'!$B$88,BD117+BC118-BL117)))</f>
        <v>220.99999999999991</v>
      </c>
      <c r="BE118" s="13">
        <f>BD118*VLOOKUP('Données projet'!$B$11,Paramètres!$A$1:$I$89,3,0)*VLOOKUP('Données projet'!$B$11,Paramètres!$A$1:$I$89,5,0)</f>
        <v>224.09399999999994</v>
      </c>
      <c r="BF118" s="13">
        <f t="shared" si="91"/>
        <v>55.003739293082667</v>
      </c>
      <c r="BG118" s="20">
        <f t="shared" si="61"/>
        <v>486.09522926878554</v>
      </c>
      <c r="BH118" s="59">
        <f t="shared" si="62"/>
        <v>779.42856260211886</v>
      </c>
      <c r="BI118" s="59">
        <f ca="1">AVERAGE(OFFSET($BH$3,0,0,'Données projet'!$E$11+1,1))-AVERAGE(OFFSET($H$3,0,0,'Données projet'!$E$11+1,1))</f>
        <v>183.74583738362492</v>
      </c>
      <c r="BJ118" s="59">
        <f t="shared" si="92"/>
        <v>46.344307013926596</v>
      </c>
      <c r="BK118" s="15">
        <f>IF(ISNA(VLOOKUP(A118,'Données projet'!$A$87:$I$107,3,0)),0,VLOOKUP(A118,'Données projet'!$A$87:$I$107,3,0))</f>
        <v>17</v>
      </c>
      <c r="BL118" s="15">
        <f>IF(ISNA(VLOOKUP(A118,'Données projet'!$A$87:$I$107,4,0)),0,VLOOKUP(A118,'Données projet'!$A$87:$I$107,4,0))</f>
        <v>13</v>
      </c>
      <c r="BM118" s="16">
        <f>IF(ISNA(VLOOKUP(A118,'Données projet'!$A$87:$I$107,5,0)),0%,VLOOKUP(A118,'Données projet'!$A$87:$I$107,5,0)*VLOOKUP('Données projet'!$B$11,Paramètres!$A$1:$I$89,7,0))</f>
        <v>0.34400000000000003</v>
      </c>
      <c r="BN118" s="16">
        <f>IF(ISNA(VLOOKUP(A118,'Données projet'!$A$87:$I$107,6,0)),0%,VLOOKUP(A118,'Données projet'!$A$87:$I$107,6,0)*VLOOKUP('Données projet'!$B$11,Paramètres!$A$1:$I$89,7,0))</f>
        <v>1.72E-2</v>
      </c>
      <c r="BO118" s="16">
        <f>IF(ISNA(VLOOKUP(A118,'Données projet'!$A$87:$I$107,7,0)),0%,VLOOKUP(A118,'Données projet'!$A$87:$I$107,7,0))</f>
        <v>0.06</v>
      </c>
      <c r="BP118" s="21">
        <f>EXP(-LN(2)/35)*BP117+(1-EXP(-LN(2)/35))/(LN(2)/35)*BL118*BM118*VLOOKUP('Données projet'!$B$11,Paramètres!$A$1:$I$89,3,0)*0.475*44/12</f>
        <v>41.276217552647168</v>
      </c>
      <c r="BQ118" s="21">
        <f>EXP(-LN(2)/25)*BQ117+(1-EXP(-LN(2)/25))/(LN(2)/25)*Calculateur!BL118*Calculateur!BN118*VLOOKUP('Données projet'!$B$11,Paramètres!$A$1:$I$89,3,0)*0.475*44/12</f>
        <v>1.8643674200322327</v>
      </c>
      <c r="BR118" s="21">
        <f>EXP(-LN(2)/2)*BR117+(1-EXP(-LN(2)/2))/(LN(2)/2)*BL118*BO118*VLOOKUP('Données projet'!$B$11,Paramètres!$A$1:$I$89,3,0)*0.475*44/12</f>
        <v>0.90868198664477495</v>
      </c>
      <c r="BS118" s="22">
        <f t="shared" si="63"/>
        <v>44.049266959324171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789.00000000000045</v>
      </c>
      <c r="BZ118" s="13">
        <f>BY118*VLOOKUP('Données projet'!$B$12,Paramètres!$A$1:$I$89,3,0)*VLOOKUP('Données projet'!$B$12,Paramètres!$A$1:$I$89,5,0)</f>
        <v>348.73800000000023</v>
      </c>
      <c r="CA118" s="13">
        <f t="shared" si="93"/>
        <v>81.302597726165047</v>
      </c>
      <c r="CB118" s="20">
        <f t="shared" si="64"/>
        <v>748.98737437307125</v>
      </c>
      <c r="CC118" s="59">
        <f t="shared" si="65"/>
        <v>1042.3207077064046</v>
      </c>
      <c r="CD118" s="59">
        <f ca="1">AVERAGE(OFFSET($CC$3,0,0,'Données projet'!$E$12+1,1))-AVERAGE(OFFSET($H$3,0,0,'Données projet'!$E$12+1,1))</f>
        <v>333.00091572040611</v>
      </c>
      <c r="CE118" s="59">
        <f t="shared" si="94"/>
        <v>267.06874181561398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28.845139827699732</v>
      </c>
      <c r="CL118" s="21">
        <f>EXP(-LN(2)/25)*CL117+(1-EXP(-LN(2)/25))/(LN(2)/25)*Calculateur!CG118*Calculateur!CI118*VLOOKUP('Données projet'!$B$12,Paramètres!$A$1:$I$89,3,0)*0.475*44/12</f>
        <v>9.1271981473894357</v>
      </c>
      <c r="CM118" s="21">
        <f>EXP(-LN(2)/2)*CM117+(1-EXP(-LN(2)/2))/(LN(2)/2)*CG118*CJ118*VLOOKUP('Données projet'!$B$12,Paramètres!$A$1:$I$89,3,0)*0.475*44/12</f>
        <v>1.0756549796931601E-5</v>
      </c>
      <c r="CN118" s="22">
        <f t="shared" si="66"/>
        <v>37.972348731638967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1">
        <f t="shared" si="86"/>
        <v>23.367793520672667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67">
        <f t="shared" si="56"/>
        <v>482.16308038183774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229</v>
      </c>
      <c r="O119" s="13">
        <f>N119*VLOOKUP('Données projet'!$B$9,Paramètres!$A$1:$I$89,3,0)*VLOOKUP('Données projet'!$B$9,Paramètres!$A$1:$I$89,5,0)</f>
        <v>136.94200000000001</v>
      </c>
      <c r="P119" s="13">
        <f t="shared" si="87"/>
        <v>35.595562742420903</v>
      </c>
      <c r="Q119" s="20">
        <f t="shared" si="107"/>
        <v>300.50292177638306</v>
      </c>
      <c r="R119" s="59">
        <f t="shared" si="55"/>
        <v>593.83625510971638</v>
      </c>
      <c r="S119" s="59">
        <f ca="1">AVERAGE(OFFSET($R$3,0,0,'Données projet'!$E$9+1,1))-AVERAGE(OFFSET($H$3,0,0,'Données projet'!$E$9+1,1))</f>
        <v>125.14227069357082</v>
      </c>
      <c r="T119" s="59">
        <f t="shared" si="88"/>
        <v>193.39407925063165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7.112376407500558</v>
      </c>
      <c r="AA119" s="21">
        <f>EXP(-LN(2)/25)*AA118+(1-EXP(-LN(2)/25))/(LN(2)/25)*Calculateur!V119*Calculateur!X119*VLOOKUP('Données projet'!$B$9,Paramètres!$A$1:$I$89,3,0)*0.475*44/12</f>
        <v>2.7567966252905558</v>
      </c>
      <c r="AB119" s="21">
        <f>EXP(-LN(2)/2)*AB118+(1-EXP(-LN(2)/2))/(LN(2)/2)*V119*Y119*VLOOKUP('Données projet'!$B$9,Paramètres!$A$1:$I$89,3,0)*0.475*44/12</f>
        <v>5.5285264641526746E-9</v>
      </c>
      <c r="AC119" s="22">
        <f t="shared" si="57"/>
        <v>9.8691730383196408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-5.999999999994543E-2</v>
      </c>
      <c r="AJ119" s="13">
        <f>AI119*VLOOKUP('Données projet'!$B$10,Paramètres!$A$1:$I$89,3,0)*VLOOKUP('Données projet'!$B$10,Paramètres!$A$1:$I$89,5,0)</f>
        <v>-2.8079999999974462E-2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74.573470247551825</v>
      </c>
      <c r="AO119" s="59">
        <f t="shared" si="90"/>
        <v>122.43655207772224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24.054283909483445</v>
      </c>
      <c r="AV119" s="21">
        <f>EXP(-LN(2)/25)*AV118+(1-EXP(-LN(2)/25))/(LN(2)/25)*Calculateur!AQ119*Calculateur!AS119*VLOOKUP('Données projet'!$B$10,Paramètres!$A$1:$I$89,3,0)*0.475*44/12</f>
        <v>7.0230354928664447</v>
      </c>
      <c r="AW119" s="21">
        <f>EXP(-LN(2)/2)*AW118+(1-EXP(-LN(2)/2))/(LN(2)/2)*AQ119*AT119*VLOOKUP('Données projet'!$B$10,Paramètres!$A$1:$I$89,3,0)*0.475*44/12</f>
        <v>1.6165835877213838E-7</v>
      </c>
      <c r="AX119" s="21">
        <f t="shared" si="60"/>
        <v>31.077319564008249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2.6</v>
      </c>
      <c r="BD119" s="12">
        <f>IF('Données projet'!$A$88&gt;35,BD118+BC119-BL118,IF(A119&lt;'Données projet'!$A$88,$BA$205^A119,IF(A119='Données projet'!$A$88,'Données projet'!$B$88,BD118+BC119-BL118)))</f>
        <v>210.59999999999991</v>
      </c>
      <c r="BE119" s="13">
        <f>BD119*VLOOKUP('Données projet'!$B$11,Paramètres!$A$1:$I$89,3,0)*VLOOKUP('Données projet'!$B$11,Paramètres!$A$1:$I$89,5,0)</f>
        <v>213.54839999999993</v>
      </c>
      <c r="BF119" s="13">
        <f t="shared" si="91"/>
        <v>52.710242573823805</v>
      </c>
      <c r="BG119" s="20">
        <f t="shared" si="61"/>
        <v>463.73380248274299</v>
      </c>
      <c r="BH119" s="59">
        <f t="shared" si="62"/>
        <v>757.0671358160763</v>
      </c>
      <c r="BI119" s="59">
        <f ca="1">AVERAGE(OFFSET($BH$3,0,0,'Données projet'!$E$11+1,1))-AVERAGE(OFFSET($H$3,0,0,'Données projet'!$E$11+1,1))</f>
        <v>183.74583738362492</v>
      </c>
      <c r="BJ119" s="59">
        <f t="shared" si="92"/>
        <v>46.344307013926596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40.466816102446543</v>
      </c>
      <c r="BQ119" s="21">
        <f>EXP(-LN(2)/25)*BQ118+(1-EXP(-LN(2)/25))/(LN(2)/25)*Calculateur!BL119*Calculateur!BN119*VLOOKUP('Données projet'!$B$11,Paramètres!$A$1:$I$89,3,0)*0.475*44/12</f>
        <v>1.8133861948886296</v>
      </c>
      <c r="BR119" s="21">
        <f>EXP(-LN(2)/2)*BR118+(1-EXP(-LN(2)/2))/(LN(2)/2)*BL119*BO119*VLOOKUP('Données projet'!$B$11,Paramètres!$A$1:$I$89,3,0)*0.475*44/12</f>
        <v>0.64253519469858422</v>
      </c>
      <c r="BS119" s="22">
        <f t="shared" si="63"/>
        <v>42.922737492033754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789.00000000000045</v>
      </c>
      <c r="BZ119" s="13">
        <f>BY119*VLOOKUP('Données projet'!$B$12,Paramètres!$A$1:$I$89,3,0)*VLOOKUP('Données projet'!$B$12,Paramètres!$A$1:$I$89,5,0)</f>
        <v>348.73800000000023</v>
      </c>
      <c r="CA119" s="13">
        <f t="shared" si="93"/>
        <v>81.302597726165047</v>
      </c>
      <c r="CB119" s="20">
        <f t="shared" si="64"/>
        <v>748.98737437307125</v>
      </c>
      <c r="CC119" s="59">
        <f t="shared" si="65"/>
        <v>1042.3207077064046</v>
      </c>
      <c r="CD119" s="59">
        <f ca="1">AVERAGE(OFFSET($CC$3,0,0,'Données projet'!$E$12+1,1))-AVERAGE(OFFSET($H$3,0,0,'Données projet'!$E$12+1,1))</f>
        <v>333.00091572040611</v>
      </c>
      <c r="CE119" s="59">
        <f t="shared" si="94"/>
        <v>267.06874181561398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28.279504229476593</v>
      </c>
      <c r="CL119" s="21">
        <f>EXP(-LN(2)/25)*CL118+(1-EXP(-LN(2)/25))/(LN(2)/25)*Calculateur!CG119*Calculateur!CI119*VLOOKUP('Données projet'!$B$12,Paramètres!$A$1:$I$89,3,0)*0.475*44/12</f>
        <v>8.8776144340705816</v>
      </c>
      <c r="CM119" s="21">
        <f>EXP(-LN(2)/2)*CM118+(1-EXP(-LN(2)/2))/(LN(2)/2)*CG119*CJ119*VLOOKUP('Données projet'!$B$12,Paramètres!$A$1:$I$89,3,0)*0.475*44/12</f>
        <v>7.6060293035811161E-6</v>
      </c>
      <c r="CN119" s="22">
        <f t="shared" si="66"/>
        <v>37.15712626957648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1">
        <f t="shared" si="86"/>
        <v>23.545702623664145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67">
        <f t="shared" si="56"/>
        <v>483.7499287362146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229</v>
      </c>
      <c r="O120" s="13">
        <f>N120*VLOOKUP('Données projet'!$B$9,Paramètres!$A$1:$I$89,3,0)*VLOOKUP('Données projet'!$B$9,Paramètres!$A$1:$I$89,5,0)</f>
        <v>136.94200000000001</v>
      </c>
      <c r="P120" s="13">
        <f t="shared" si="87"/>
        <v>35.595562742420903</v>
      </c>
      <c r="Q120" s="20">
        <f t="shared" si="107"/>
        <v>300.50292177638306</v>
      </c>
      <c r="R120" s="59">
        <f t="shared" si="55"/>
        <v>593.83625510971638</v>
      </c>
      <c r="S120" s="59">
        <f ca="1">AVERAGE(OFFSET($R$3,0,0,'Données projet'!$E$9+1,1))-AVERAGE(OFFSET($H$3,0,0,'Données projet'!$E$9+1,1))</f>
        <v>125.14227069357082</v>
      </c>
      <c r="T120" s="59">
        <f t="shared" si="88"/>
        <v>193.39407925063165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6.9729070442707268</v>
      </c>
      <c r="AA120" s="21">
        <f>EXP(-LN(2)/25)*AA119+(1-EXP(-LN(2)/25))/(LN(2)/25)*Calculateur!V120*Calculateur!X120*VLOOKUP('Données projet'!$B$9,Paramètres!$A$1:$I$89,3,0)*0.475*44/12</f>
        <v>2.6814118765983519</v>
      </c>
      <c r="AB120" s="21">
        <f>EXP(-LN(2)/2)*AB119+(1-EXP(-LN(2)/2))/(LN(2)/2)*V120*Y120*VLOOKUP('Données projet'!$B$9,Paramètres!$A$1:$I$89,3,0)*0.475*44/12</f>
        <v>3.9092585527716425E-9</v>
      </c>
      <c r="AC120" s="22">
        <f t="shared" si="57"/>
        <v>9.6543189247783374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-5.999999999994543E-2</v>
      </c>
      <c r="AJ120" s="13">
        <f>AI120*VLOOKUP('Données projet'!$B$10,Paramètres!$A$1:$I$89,3,0)*VLOOKUP('Données projet'!$B$10,Paramètres!$A$1:$I$89,5,0)</f>
        <v>-2.8079999999974462E-2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74.573470247551825</v>
      </c>
      <c r="AO120" s="59">
        <f t="shared" si="90"/>
        <v>122.43655207772224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23.582594073682952</v>
      </c>
      <c r="AV120" s="21">
        <f>EXP(-LN(2)/25)*AV119+(1-EXP(-LN(2)/25))/(LN(2)/25)*Calculateur!AQ120*Calculateur!AS120*VLOOKUP('Données projet'!$B$10,Paramètres!$A$1:$I$89,3,0)*0.475*44/12</f>
        <v>6.8309902179886262</v>
      </c>
      <c r="AW120" s="21">
        <f>EXP(-LN(2)/2)*AW119+(1-EXP(-LN(2)/2))/(LN(2)/2)*AQ120*AT120*VLOOKUP('Données projet'!$B$10,Paramètres!$A$1:$I$89,3,0)*0.475*44/12</f>
        <v>1.1430972172326685E-7</v>
      </c>
      <c r="AX120" s="21">
        <f t="shared" si="60"/>
        <v>30.413584405981297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2.6</v>
      </c>
      <c r="BD120" s="12">
        <f>IF('Données projet'!$A$88&gt;35,BD119+BC120-BL119,IF(A120&lt;'Données projet'!$A$88,$BA$205^A120,IF(A120='Données projet'!$A$88,'Données projet'!$B$88,BD119+BC120-BL119)))</f>
        <v>213.1999999999999</v>
      </c>
      <c r="BE120" s="13">
        <f>BD120*VLOOKUP('Données projet'!$B$11,Paramètres!$A$1:$I$89,3,0)*VLOOKUP('Données projet'!$B$11,Paramètres!$A$1:$I$89,5,0)</f>
        <v>216.18479999999994</v>
      </c>
      <c r="BF120" s="13">
        <f t="shared" si="91"/>
        <v>53.284828478170326</v>
      </c>
      <c r="BG120" s="20">
        <f t="shared" si="61"/>
        <v>469.32626959947976</v>
      </c>
      <c r="BH120" s="59">
        <f t="shared" si="62"/>
        <v>762.65960293281307</v>
      </c>
      <c r="BI120" s="59">
        <f ca="1">AVERAGE(OFFSET($BH$3,0,0,'Données projet'!$E$11+1,1))-AVERAGE(OFFSET($H$3,0,0,'Données projet'!$E$11+1,1))</f>
        <v>183.74583738362492</v>
      </c>
      <c r="BJ120" s="59">
        <f t="shared" si="92"/>
        <v>46.344307013926596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39.673286520998211</v>
      </c>
      <c r="BQ120" s="21">
        <f>EXP(-LN(2)/25)*BQ119+(1-EXP(-LN(2)/25))/(LN(2)/25)*Calculateur!BL120*Calculateur!BN120*VLOOKUP('Données projet'!$B$11,Paramètres!$A$1:$I$89,3,0)*0.475*44/12</f>
        <v>1.7637990540275645</v>
      </c>
      <c r="BR120" s="21">
        <f>EXP(-LN(2)/2)*BR119+(1-EXP(-LN(2)/2))/(LN(2)/2)*BL120*BO120*VLOOKUP('Données projet'!$B$11,Paramètres!$A$1:$I$89,3,0)*0.475*44/12</f>
        <v>0.45434099332238753</v>
      </c>
      <c r="BS120" s="22">
        <f t="shared" si="63"/>
        <v>41.891426568348166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789.00000000000045</v>
      </c>
      <c r="BZ120" s="13">
        <f>BY120*VLOOKUP('Données projet'!$B$12,Paramètres!$A$1:$I$89,3,0)*VLOOKUP('Données projet'!$B$12,Paramètres!$A$1:$I$89,5,0)</f>
        <v>348.73800000000023</v>
      </c>
      <c r="CA120" s="13">
        <f t="shared" si="93"/>
        <v>81.302597726165047</v>
      </c>
      <c r="CB120" s="20">
        <f t="shared" si="64"/>
        <v>748.98737437307125</v>
      </c>
      <c r="CC120" s="59">
        <f t="shared" si="65"/>
        <v>1042.3207077064046</v>
      </c>
      <c r="CD120" s="59">
        <f ca="1">AVERAGE(OFFSET($CC$3,0,0,'Données projet'!$E$12+1,1))-AVERAGE(OFFSET($H$3,0,0,'Données projet'!$E$12+1,1))</f>
        <v>333.00091572040611</v>
      </c>
      <c r="CE120" s="59">
        <f t="shared" si="94"/>
        <v>267.06874181561398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27.724960400330961</v>
      </c>
      <c r="CL120" s="21">
        <f>EXP(-LN(2)/25)*CL119+(1-EXP(-LN(2)/25))/(LN(2)/25)*Calculateur!CG120*Calculateur!CI120*VLOOKUP('Données projet'!$B$12,Paramètres!$A$1:$I$89,3,0)*0.475*44/12</f>
        <v>8.6348556005174686</v>
      </c>
      <c r="CM120" s="21">
        <f>EXP(-LN(2)/2)*CM119+(1-EXP(-LN(2)/2))/(LN(2)/2)*CG120*CJ120*VLOOKUP('Données projet'!$B$12,Paramètres!$A$1:$I$89,3,0)*0.475*44/12</f>
        <v>5.3782748984658012E-6</v>
      </c>
      <c r="CN120" s="22">
        <f t="shared" si="66"/>
        <v>36.359821379123325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1">
        <f t="shared" si="86"/>
        <v>23.72343481564414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67">
        <f t="shared" si="56"/>
        <v>485.33646897057974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229</v>
      </c>
      <c r="O121" s="13">
        <f>N121*VLOOKUP('Données projet'!$B$9,Paramètres!$A$1:$I$89,3,0)*VLOOKUP('Données projet'!$B$9,Paramètres!$A$1:$I$89,5,0)</f>
        <v>136.94200000000001</v>
      </c>
      <c r="P121" s="13">
        <f t="shared" si="87"/>
        <v>35.595562742420903</v>
      </c>
      <c r="Q121" s="20">
        <f t="shared" si="107"/>
        <v>300.50292177638306</v>
      </c>
      <c r="R121" s="59">
        <f t="shared" si="55"/>
        <v>593.83625510971638</v>
      </c>
      <c r="S121" s="59">
        <f ca="1">AVERAGE(OFFSET($R$3,0,0,'Données projet'!$E$9+1,1))-AVERAGE(OFFSET($H$3,0,0,'Données projet'!$E$9+1,1))</f>
        <v>125.14227069357082</v>
      </c>
      <c r="T121" s="59">
        <f t="shared" si="88"/>
        <v>193.39407925063165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6.8361725901859209</v>
      </c>
      <c r="AA121" s="21">
        <f>EXP(-LN(2)/25)*AA120+(1-EXP(-LN(2)/25))/(LN(2)/25)*Calculateur!V121*Calculateur!X121*VLOOKUP('Données projet'!$B$9,Paramètres!$A$1:$I$89,3,0)*0.475*44/12</f>
        <v>2.608088527823448</v>
      </c>
      <c r="AB121" s="21">
        <f>EXP(-LN(2)/2)*AB120+(1-EXP(-LN(2)/2))/(LN(2)/2)*V121*Y121*VLOOKUP('Données projet'!$B$9,Paramètres!$A$1:$I$89,3,0)*0.475*44/12</f>
        <v>2.7642632320763373E-9</v>
      </c>
      <c r="AC121" s="22">
        <f t="shared" si="57"/>
        <v>9.444261120773632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-5.999999999994543E-2</v>
      </c>
      <c r="AJ121" s="13">
        <f>AI121*VLOOKUP('Données projet'!$B$10,Paramètres!$A$1:$I$89,3,0)*VLOOKUP('Données projet'!$B$10,Paramètres!$A$1:$I$89,5,0)</f>
        <v>-2.8079999999974462E-2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74.573470247551825</v>
      </c>
      <c r="AO121" s="59">
        <f t="shared" si="90"/>
        <v>122.43655207772224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23.120153787860115</v>
      </c>
      <c r="AV121" s="21">
        <f>EXP(-LN(2)/25)*AV120+(1-EXP(-LN(2)/25))/(LN(2)/25)*Calculateur!AQ121*Calculateur!AS121*VLOOKUP('Données projet'!$B$10,Paramètres!$A$1:$I$89,3,0)*0.475*44/12</f>
        <v>6.6441964312515642</v>
      </c>
      <c r="AW121" s="21">
        <f>EXP(-LN(2)/2)*AW120+(1-EXP(-LN(2)/2))/(LN(2)/2)*AQ121*AT121*VLOOKUP('Données projet'!$B$10,Paramètres!$A$1:$I$89,3,0)*0.475*44/12</f>
        <v>8.0829179386069203E-8</v>
      </c>
      <c r="AX121" s="21">
        <f t="shared" si="60"/>
        <v>29.764350299940858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2.6</v>
      </c>
      <c r="BD121" s="12">
        <f>IF('Données projet'!$A$88&gt;35,BD120+BC121-BL120,IF(A121&lt;'Données projet'!$A$88,$BA$205^A121,IF(A121='Données projet'!$A$88,'Données projet'!$B$88,BD120+BC121-BL120)))</f>
        <v>215.7999999999999</v>
      </c>
      <c r="BE121" s="13">
        <f>BD121*VLOOKUP('Données projet'!$B$11,Paramètres!$A$1:$I$89,3,0)*VLOOKUP('Données projet'!$B$11,Paramètres!$A$1:$I$89,5,0)</f>
        <v>218.82119999999989</v>
      </c>
      <c r="BF121" s="13">
        <f t="shared" si="91"/>
        <v>53.858599308079697</v>
      </c>
      <c r="BG121" s="20">
        <f t="shared" si="61"/>
        <v>474.91731712823849</v>
      </c>
      <c r="BH121" s="59">
        <f t="shared" si="62"/>
        <v>768.25065046157181</v>
      </c>
      <c r="BI121" s="59">
        <f ca="1">AVERAGE(OFFSET($BH$3,0,0,'Données projet'!$E$11+1,1))-AVERAGE(OFFSET($H$3,0,0,'Données projet'!$E$11+1,1))</f>
        <v>183.74583738362492</v>
      </c>
      <c r="BJ121" s="59">
        <f t="shared" si="92"/>
        <v>46.344307013926596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38.895317570636827</v>
      </c>
      <c r="BQ121" s="21">
        <f>EXP(-LN(2)/25)*BQ120+(1-EXP(-LN(2)/25))/(LN(2)/25)*Calculateur!BL121*Calculateur!BN121*VLOOKUP('Données projet'!$B$11,Paramètres!$A$1:$I$89,3,0)*0.475*44/12</f>
        <v>1.7155678761410198</v>
      </c>
      <c r="BR121" s="21">
        <f>EXP(-LN(2)/2)*BR120+(1-EXP(-LN(2)/2))/(LN(2)/2)*BL121*BO121*VLOOKUP('Données projet'!$B$11,Paramètres!$A$1:$I$89,3,0)*0.475*44/12</f>
        <v>0.32126759734929217</v>
      </c>
      <c r="BS121" s="22">
        <f t="shared" si="63"/>
        <v>40.932153044127141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789.00000000000045</v>
      </c>
      <c r="BZ121" s="13">
        <f>BY121*VLOOKUP('Données projet'!$B$12,Paramètres!$A$1:$I$89,3,0)*VLOOKUP('Données projet'!$B$12,Paramètres!$A$1:$I$89,5,0)</f>
        <v>348.73800000000023</v>
      </c>
      <c r="CA121" s="13">
        <f t="shared" si="93"/>
        <v>81.302597726165047</v>
      </c>
      <c r="CB121" s="20">
        <f t="shared" si="64"/>
        <v>748.98737437307125</v>
      </c>
      <c r="CC121" s="59">
        <f t="shared" si="65"/>
        <v>1042.3207077064046</v>
      </c>
      <c r="CD121" s="59">
        <f ca="1">AVERAGE(OFFSET($CC$3,0,0,'Données projet'!$E$12+1,1))-AVERAGE(OFFSET($H$3,0,0,'Données projet'!$E$12+1,1))</f>
        <v>333.00091572040611</v>
      </c>
      <c r="CE121" s="59">
        <f t="shared" si="94"/>
        <v>267.06874181561398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27.181290837436535</v>
      </c>
      <c r="CL121" s="21">
        <f>EXP(-LN(2)/25)*CL120+(1-EXP(-LN(2)/25))/(LN(2)/25)*Calculateur!CG121*Calculateur!CI121*VLOOKUP('Données projet'!$B$12,Paramètres!$A$1:$I$89,3,0)*0.475*44/12</f>
        <v>8.3987350200339979</v>
      </c>
      <c r="CM121" s="21">
        <f>EXP(-LN(2)/2)*CM120+(1-EXP(-LN(2)/2))/(LN(2)/2)*CG121*CJ121*VLOOKUP('Données projet'!$B$12,Paramètres!$A$1:$I$89,3,0)*0.475*44/12</f>
        <v>3.8030146517905589E-6</v>
      </c>
      <c r="CN121" s="22">
        <f t="shared" si="66"/>
        <v>35.580029660485181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1">
        <f t="shared" si="86"/>
        <v>23.900991769585712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67">
        <f t="shared" si="56"/>
        <v>486.92270399869466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229</v>
      </c>
      <c r="O122" s="13">
        <f>N122*VLOOKUP('Données projet'!$B$9,Paramètres!$A$1:$I$89,3,0)*VLOOKUP('Données projet'!$B$9,Paramètres!$A$1:$I$89,5,0)</f>
        <v>136.94200000000001</v>
      </c>
      <c r="P122" s="13">
        <f t="shared" si="87"/>
        <v>35.595562742420903</v>
      </c>
      <c r="Q122" s="20">
        <f t="shared" si="107"/>
        <v>300.50292177638306</v>
      </c>
      <c r="R122" s="59">
        <f t="shared" si="55"/>
        <v>593.83625510971638</v>
      </c>
      <c r="S122" s="59">
        <f ca="1">AVERAGE(OFFSET($R$3,0,0,'Données projet'!$E$9+1,1))-AVERAGE(OFFSET($H$3,0,0,'Données projet'!$E$9+1,1))</f>
        <v>125.14227069357082</v>
      </c>
      <c r="T122" s="59">
        <f t="shared" si="88"/>
        <v>193.39407925063165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6.702119415345936</v>
      </c>
      <c r="AA122" s="21">
        <f>EXP(-LN(2)/25)*AA121+(1-EXP(-LN(2)/25))/(LN(2)/25)*Calculateur!V122*Calculateur!X122*VLOOKUP('Données projet'!$B$9,Paramètres!$A$1:$I$89,3,0)*0.475*44/12</f>
        <v>2.5367702098767011</v>
      </c>
      <c r="AB122" s="21">
        <f>EXP(-LN(2)/2)*AB121+(1-EXP(-LN(2)/2))/(LN(2)/2)*V122*Y122*VLOOKUP('Données projet'!$B$9,Paramètres!$A$1:$I$89,3,0)*0.475*44/12</f>
        <v>1.9546292763858213E-9</v>
      </c>
      <c r="AC122" s="22">
        <f t="shared" si="57"/>
        <v>9.2388896271772651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-5.999999999994543E-2</v>
      </c>
      <c r="AJ122" s="13">
        <f>AI122*VLOOKUP('Données projet'!$B$10,Paramètres!$A$1:$I$89,3,0)*VLOOKUP('Données projet'!$B$10,Paramètres!$A$1:$I$89,5,0)</f>
        <v>-2.8079999999974462E-2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74.573470247551825</v>
      </c>
      <c r="AO122" s="59">
        <f t="shared" si="90"/>
        <v>122.43655207772224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22.666781673981543</v>
      </c>
      <c r="AV122" s="21">
        <f>EXP(-LN(2)/25)*AV121+(1-EXP(-LN(2)/25))/(LN(2)/25)*Calculateur!AQ122*Calculateur!AS122*VLOOKUP('Données projet'!$B$10,Paramètres!$A$1:$I$89,3,0)*0.475*44/12</f>
        <v>6.4625105304358854</v>
      </c>
      <c r="AW122" s="21">
        <f>EXP(-LN(2)/2)*AW121+(1-EXP(-LN(2)/2))/(LN(2)/2)*AQ122*AT122*VLOOKUP('Données projet'!$B$10,Paramètres!$A$1:$I$89,3,0)*0.475*44/12</f>
        <v>5.7154860861633439E-8</v>
      </c>
      <c r="AX122" s="21">
        <f t="shared" si="60"/>
        <v>29.129292261572289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2.6</v>
      </c>
      <c r="BD122" s="12">
        <f>IF('Données projet'!$A$88&gt;35,BD121+BC122-BL121,IF(A122&lt;'Données projet'!$A$88,$BA$205^A122,IF(A122='Données projet'!$A$88,'Données projet'!$B$88,BD121+BC122-BL121)))</f>
        <v>218.39999999999989</v>
      </c>
      <c r="BE122" s="13">
        <f>BD122*VLOOKUP('Données projet'!$B$11,Paramètres!$A$1:$I$89,3,0)*VLOOKUP('Données projet'!$B$11,Paramètres!$A$1:$I$89,5,0)</f>
        <v>221.4575999999999</v>
      </c>
      <c r="BF122" s="13">
        <f t="shared" si="91"/>
        <v>54.431566019643263</v>
      </c>
      <c r="BG122" s="20">
        <f t="shared" si="61"/>
        <v>480.50696415087845</v>
      </c>
      <c r="BH122" s="59">
        <f t="shared" si="62"/>
        <v>773.84029748421176</v>
      </c>
      <c r="BI122" s="59">
        <f ca="1">AVERAGE(OFFSET($BH$3,0,0,'Données projet'!$E$11+1,1))-AVERAGE(OFFSET($H$3,0,0,'Données projet'!$E$11+1,1))</f>
        <v>183.74583738362492</v>
      </c>
      <c r="BJ122" s="59">
        <f t="shared" si="92"/>
        <v>46.344307013926596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38.132604116877829</v>
      </c>
      <c r="BQ122" s="21">
        <f>EXP(-LN(2)/25)*BQ121+(1-EXP(-LN(2)/25))/(LN(2)/25)*Calculateur!BL122*Calculateur!BN122*VLOOKUP('Données projet'!$B$11,Paramètres!$A$1:$I$89,3,0)*0.475*44/12</f>
        <v>1.6686555823501499</v>
      </c>
      <c r="BR122" s="21">
        <f>EXP(-LN(2)/2)*BR121+(1-EXP(-LN(2)/2))/(LN(2)/2)*BL122*BO122*VLOOKUP('Données projet'!$B$11,Paramètres!$A$1:$I$89,3,0)*0.475*44/12</f>
        <v>0.22717049666119379</v>
      </c>
      <c r="BS122" s="22">
        <f t="shared" si="63"/>
        <v>40.028430195889172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789.00000000000045</v>
      </c>
      <c r="BZ122" s="13">
        <f>BY122*VLOOKUP('Données projet'!$B$12,Paramètres!$A$1:$I$89,3,0)*VLOOKUP('Données projet'!$B$12,Paramètres!$A$1:$I$89,5,0)</f>
        <v>348.73800000000023</v>
      </c>
      <c r="CA122" s="13">
        <f t="shared" si="93"/>
        <v>81.302597726165047</v>
      </c>
      <c r="CB122" s="20">
        <f t="shared" si="64"/>
        <v>748.98737437307125</v>
      </c>
      <c r="CC122" s="59">
        <f t="shared" si="65"/>
        <v>1042.3207077064046</v>
      </c>
      <c r="CD122" s="59">
        <f ca="1">AVERAGE(OFFSET($CC$3,0,0,'Données projet'!$E$12+1,1))-AVERAGE(OFFSET($H$3,0,0,'Données projet'!$E$12+1,1))</f>
        <v>333.00091572040611</v>
      </c>
      <c r="CE122" s="59">
        <f t="shared" si="94"/>
        <v>267.06874181561398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26.648282303064779</v>
      </c>
      <c r="CL122" s="21">
        <f>EXP(-LN(2)/25)*CL121+(1-EXP(-LN(2)/25))/(LN(2)/25)*Calculateur!CG122*Calculateur!CI122*VLOOKUP('Données projet'!$B$12,Paramètres!$A$1:$I$89,3,0)*0.475*44/12</f>
        <v>8.1690711692408886</v>
      </c>
      <c r="CM122" s="21">
        <f>EXP(-LN(2)/2)*CM121+(1-EXP(-LN(2)/2))/(LN(2)/2)*CG122*CJ122*VLOOKUP('Données projet'!$B$12,Paramètres!$A$1:$I$89,3,0)*0.475*44/12</f>
        <v>2.689137449232901E-6</v>
      </c>
      <c r="CN122" s="22">
        <f t="shared" si="66"/>
        <v>34.817356161443115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1">
        <f t="shared" si="86"/>
        <v>24.078375128721721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67">
        <f t="shared" si="56"/>
        <v>488.50863668252316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229</v>
      </c>
      <c r="O123" s="13">
        <f>N123*VLOOKUP('Données projet'!$B$9,Paramètres!$A$1:$I$89,3,0)*VLOOKUP('Données projet'!$B$9,Paramètres!$A$1:$I$89,5,0)</f>
        <v>136.94200000000001</v>
      </c>
      <c r="P123" s="13">
        <f t="shared" si="87"/>
        <v>35.595562742420903</v>
      </c>
      <c r="Q123" s="20">
        <f t="shared" si="107"/>
        <v>300.50292177638306</v>
      </c>
      <c r="R123" s="59">
        <f t="shared" si="55"/>
        <v>593.83625510971638</v>
      </c>
      <c r="S123" s="59">
        <f ca="1">AVERAGE(OFFSET($R$3,0,0,'Données projet'!$E$9+1,1))-AVERAGE(OFFSET($H$3,0,0,'Données projet'!$E$9+1,1))</f>
        <v>125.14227069357082</v>
      </c>
      <c r="T123" s="59">
        <f t="shared" si="88"/>
        <v>193.39407925063165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6.5706949415002001</v>
      </c>
      <c r="AA123" s="21">
        <f>EXP(-LN(2)/25)*AA122+(1-EXP(-LN(2)/25))/(LN(2)/25)*Calculateur!V123*Calculateur!X123*VLOOKUP('Données projet'!$B$9,Paramètres!$A$1:$I$89,3,0)*0.475*44/12</f>
        <v>2.4674020950846751</v>
      </c>
      <c r="AB123" s="21">
        <f>EXP(-LN(2)/2)*AB122+(1-EXP(-LN(2)/2))/(LN(2)/2)*V123*Y123*VLOOKUP('Données projet'!$B$9,Paramètres!$A$1:$I$89,3,0)*0.475*44/12</f>
        <v>1.3821316160381687E-9</v>
      </c>
      <c r="AC123" s="22">
        <f t="shared" si="57"/>
        <v>9.0380970379670078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-5.999999999994543E-2</v>
      </c>
      <c r="AJ123" s="13">
        <f>AI123*VLOOKUP('Données projet'!$B$10,Paramètres!$A$1:$I$89,3,0)*VLOOKUP('Données projet'!$B$10,Paramètres!$A$1:$I$89,5,0)</f>
        <v>-2.8079999999974462E-2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74.573470247551825</v>
      </c>
      <c r="AO123" s="59">
        <f t="shared" si="90"/>
        <v>122.43655207772224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22.222299910726445</v>
      </c>
      <c r="AV123" s="21">
        <f>EXP(-LN(2)/25)*AV122+(1-EXP(-LN(2)/25))/(LN(2)/25)*Calculateur!AQ123*Calculateur!AS123*VLOOKUP('Données projet'!$B$10,Paramètres!$A$1:$I$89,3,0)*0.475*44/12</f>
        <v>6.2857928401324576</v>
      </c>
      <c r="AW123" s="21">
        <f>EXP(-LN(2)/2)*AW122+(1-EXP(-LN(2)/2))/(LN(2)/2)*AQ123*AT123*VLOOKUP('Données projet'!$B$10,Paramètres!$A$1:$I$89,3,0)*0.475*44/12</f>
        <v>4.0414589693034608E-8</v>
      </c>
      <c r="AX123" s="21">
        <f t="shared" si="60"/>
        <v>28.508092791273494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221</v>
      </c>
      <c r="BB123" s="12">
        <f>VLOOKUP(A123,'Données projet'!$A$87:$I$107,9,0)</f>
        <v>2.6</v>
      </c>
      <c r="BC123" s="12">
        <f t="array" ref="BC123">INDEX(BB:BB,MIN(IF(ISNUMBER(BB123:BB319),ROW(BB123:BB319),"")))</f>
        <v>2.6</v>
      </c>
      <c r="BD123" s="12">
        <f>IF('Données projet'!$A$88&gt;35,BD122+BC123-BL122,IF(A123&lt;'Données projet'!$A$88,$BA$205^A123,IF(A123='Données projet'!$A$88,'Données projet'!$B$88,BD122+BC123-BL122)))</f>
        <v>220.99999999999989</v>
      </c>
      <c r="BE123" s="13">
        <f>BD123*VLOOKUP('Données projet'!$B$11,Paramètres!$A$1:$I$89,3,0)*VLOOKUP('Données projet'!$B$11,Paramètres!$A$1:$I$89,5,0)</f>
        <v>224.09399999999988</v>
      </c>
      <c r="BF123" s="13">
        <f t="shared" si="91"/>
        <v>55.003739293082667</v>
      </c>
      <c r="BG123" s="20">
        <f t="shared" si="61"/>
        <v>486.09522926878549</v>
      </c>
      <c r="BH123" s="59">
        <f t="shared" si="62"/>
        <v>779.42856260211875</v>
      </c>
      <c r="BI123" s="59">
        <f ca="1">AVERAGE(OFFSET($BH$3,0,0,'Données projet'!$E$11+1,1))-AVERAGE(OFFSET($H$3,0,0,'Données projet'!$E$11+1,1))</f>
        <v>183.74583738362492</v>
      </c>
      <c r="BJ123" s="59">
        <f t="shared" si="92"/>
        <v>46.344307013926596</v>
      </c>
      <c r="BK123" s="15">
        <f>IF(ISNA(VLOOKUP(A123,'Données projet'!$A$87:$I$107,3,0)),0,VLOOKUP(A123,'Données projet'!$A$87:$I$107,3,0))</f>
        <v>18</v>
      </c>
      <c r="BL123" s="15">
        <f>IF(ISNA(VLOOKUP(A123,'Données projet'!$A$87:$I$107,4,0)),0,VLOOKUP(A123,'Données projet'!$A$87:$I$107,4,0))</f>
        <v>12</v>
      </c>
      <c r="BM123" s="16">
        <f>IF(ISNA(VLOOKUP(A123,'Données projet'!$A$87:$I$107,5,0)),0%,VLOOKUP(A123,'Données projet'!$A$87:$I$107,5,0)*VLOOKUP('Données projet'!$B$11,Paramètres!$A$1:$I$89,7,0))</f>
        <v>0.34400000000000003</v>
      </c>
      <c r="BN123" s="16">
        <f>IF(ISNA(VLOOKUP(A123,'Données projet'!$A$87:$I$107,6,0)),0%,VLOOKUP(A123,'Données projet'!$A$87:$I$107,6,0)*VLOOKUP('Données projet'!$B$11,Paramètres!$A$1:$I$89,7,0))</f>
        <v>1.72E-2</v>
      </c>
      <c r="BO123" s="16">
        <f>IF(ISNA(VLOOKUP(A123,'Données projet'!$A$87:$I$107,7,0)),0%,VLOOKUP(A123,'Données projet'!$A$87:$I$107,7,0))</f>
        <v>0.06</v>
      </c>
      <c r="BP123" s="21">
        <f>EXP(-LN(2)/35)*BP122+(1-EXP(-LN(2)/35))/(LN(2)/35)*BL123*BM123*VLOOKUP('Données projet'!$B$11,Paramètres!$A$1:$I$89,3,0)*0.475*44/12</f>
        <v>42.012116079623759</v>
      </c>
      <c r="BQ123" s="21">
        <f>EXP(-LN(2)/25)*BQ122+(1-EXP(-LN(2)/25))/(LN(2)/25)*Calculateur!BL123*Calculateur!BN123*VLOOKUP('Données projet'!$B$11,Paramètres!$A$1:$I$89,3,0)*0.475*44/12</f>
        <v>1.85347859517131</v>
      </c>
      <c r="BR123" s="21">
        <f>EXP(-LN(2)/2)*BR122+(1-EXP(-LN(2)/2))/(LN(2)/2)*BL123*BO123*VLOOKUP('Données projet'!$B$11,Paramètres!$A$1:$I$89,3,0)*0.475*44/12</f>
        <v>0.84948392848974785</v>
      </c>
      <c r="BS123" s="22">
        <f t="shared" si="63"/>
        <v>44.715078603284816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789.00000000000045</v>
      </c>
      <c r="BZ123" s="13">
        <f>BY123*VLOOKUP('Données projet'!$B$12,Paramètres!$A$1:$I$89,3,0)*VLOOKUP('Données projet'!$B$12,Paramètres!$A$1:$I$89,5,0)</f>
        <v>348.73800000000023</v>
      </c>
      <c r="CA123" s="13">
        <f t="shared" si="93"/>
        <v>81.302597726165047</v>
      </c>
      <c r="CB123" s="20">
        <f t="shared" si="64"/>
        <v>748.98737437307125</v>
      </c>
      <c r="CC123" s="59">
        <f t="shared" si="65"/>
        <v>1042.3207077064046</v>
      </c>
      <c r="CD123" s="59">
        <f ca="1">AVERAGE(OFFSET($CC$3,0,0,'Données projet'!$E$12+1,1))-AVERAGE(OFFSET($H$3,0,0,'Données projet'!$E$12+1,1))</f>
        <v>333.00091572040611</v>
      </c>
      <c r="CE123" s="59">
        <f t="shared" si="94"/>
        <v>267.06874181561398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26.125725740948948</v>
      </c>
      <c r="CL123" s="21">
        <f>EXP(-LN(2)/25)*CL122+(1-EXP(-LN(2)/25))/(LN(2)/25)*Calculateur!CG123*Calculateur!CI123*VLOOKUP('Données projet'!$B$12,Paramètres!$A$1:$I$89,3,0)*0.475*44/12</f>
        <v>7.9456874885252144</v>
      </c>
      <c r="CM123" s="21">
        <f>EXP(-LN(2)/2)*CM122+(1-EXP(-LN(2)/2))/(LN(2)/2)*CG123*CJ123*VLOOKUP('Données projet'!$B$12,Paramètres!$A$1:$I$89,3,0)*0.475*44/12</f>
        <v>1.9015073258952796E-6</v>
      </c>
      <c r="CN123" s="22">
        <f t="shared" si="66"/>
        <v>34.071415130981485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1">
        <f t="shared" si="86"/>
        <v>24.255586507317027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67">
        <f t="shared" si="56"/>
        <v>490.09426983357662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229</v>
      </c>
      <c r="O124" s="13">
        <f>N124*VLOOKUP('Données projet'!$B$9,Paramètres!$A$1:$I$89,3,0)*VLOOKUP('Données projet'!$B$9,Paramètres!$A$1:$I$89,5,0)</f>
        <v>136.94200000000001</v>
      </c>
      <c r="P124" s="13">
        <f t="shared" si="87"/>
        <v>35.595562742420903</v>
      </c>
      <c r="Q124" s="20">
        <f t="shared" si="107"/>
        <v>300.50292177638306</v>
      </c>
      <c r="R124" s="59">
        <f t="shared" si="55"/>
        <v>593.83625510971638</v>
      </c>
      <c r="S124" s="59">
        <f ca="1">AVERAGE(OFFSET($R$3,0,0,'Données projet'!$E$9+1,1))-AVERAGE(OFFSET($H$3,0,0,'Données projet'!$E$9+1,1))</f>
        <v>125.14227069357082</v>
      </c>
      <c r="T124" s="59">
        <f t="shared" si="88"/>
        <v>193.39407925063165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6.4418476214255653</v>
      </c>
      <c r="AA124" s="21">
        <f>EXP(-LN(2)/25)*AA123+(1-EXP(-LN(2)/25))/(LN(2)/25)*Calculateur!V124*Calculateur!X124*VLOOKUP('Données projet'!$B$9,Paramètres!$A$1:$I$89,3,0)*0.475*44/12</f>
        <v>2.399930855039548</v>
      </c>
      <c r="AB124" s="21">
        <f>EXP(-LN(2)/2)*AB123+(1-EXP(-LN(2)/2))/(LN(2)/2)*V124*Y124*VLOOKUP('Données projet'!$B$9,Paramètres!$A$1:$I$89,3,0)*0.475*44/12</f>
        <v>9.7731463819291063E-10</v>
      </c>
      <c r="AC124" s="22">
        <f t="shared" si="57"/>
        <v>8.8417784774424266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-5.999999999994543E-2</v>
      </c>
      <c r="AJ124" s="13">
        <f>AI124*VLOOKUP('Données projet'!$B$10,Paramètres!$A$1:$I$89,3,0)*VLOOKUP('Données projet'!$B$10,Paramètres!$A$1:$I$89,5,0)</f>
        <v>-2.8079999999974462E-2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74.573470247551825</v>
      </c>
      <c r="AO124" s="59">
        <f t="shared" si="90"/>
        <v>122.43655207772224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21.786534163741674</v>
      </c>
      <c r="AV124" s="21">
        <f>EXP(-LN(2)/25)*AV123+(1-EXP(-LN(2)/25))/(LN(2)/25)*Calculateur!AQ124*Calculateur!AS124*VLOOKUP('Données projet'!$B$10,Paramètres!$A$1:$I$89,3,0)*0.475*44/12</f>
        <v>6.1139075043635565</v>
      </c>
      <c r="AW124" s="21">
        <f>EXP(-LN(2)/2)*AW123+(1-EXP(-LN(2)/2))/(LN(2)/2)*AQ124*AT124*VLOOKUP('Données projet'!$B$10,Paramètres!$A$1:$I$89,3,0)*0.475*44/12</f>
        <v>2.8577430430816723E-8</v>
      </c>
      <c r="AX124" s="21">
        <f t="shared" si="60"/>
        <v>27.900441696682662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2.2000000000000002</v>
      </c>
      <c r="BD124" s="12">
        <f>IF('Données projet'!$A$88&gt;35,BD123+BC124-BL123,IF(A124&lt;'Données projet'!$A$88,$BA$205^A124,IF(A124='Données projet'!$A$88,'Données projet'!$B$88,BD123+BC124-BL123)))</f>
        <v>211.19999999999987</v>
      </c>
      <c r="BE124" s="13">
        <f>BD124*VLOOKUP('Données projet'!$B$11,Paramètres!$A$1:$I$89,3,0)*VLOOKUP('Données projet'!$B$11,Paramètres!$A$1:$I$89,5,0)</f>
        <v>214.15679999999986</v>
      </c>
      <c r="BF124" s="13">
        <f t="shared" si="91"/>
        <v>52.842912248636644</v>
      </c>
      <c r="BG124" s="20">
        <f t="shared" si="61"/>
        <v>465.02449883304189</v>
      </c>
      <c r="BH124" s="59">
        <f t="shared" si="62"/>
        <v>758.35783216637515</v>
      </c>
      <c r="BI124" s="59">
        <f ca="1">AVERAGE(OFFSET($BH$3,0,0,'Données projet'!$E$11+1,1))-AVERAGE(OFFSET($H$3,0,0,'Données projet'!$E$11+1,1))</f>
        <v>183.74583738362492</v>
      </c>
      <c r="BJ124" s="59">
        <f t="shared" si="92"/>
        <v>46.344307013926596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41.188284108162904</v>
      </c>
      <c r="BQ124" s="21">
        <f>EXP(-LN(2)/25)*BQ123+(1-EXP(-LN(2)/25))/(LN(2)/25)*Calculateur!BL124*Calculateur!BN124*VLOOKUP('Données projet'!$B$11,Paramètres!$A$1:$I$89,3,0)*0.475*44/12</f>
        <v>1.8027951255161474</v>
      </c>
      <c r="BR124" s="21">
        <f>EXP(-LN(2)/2)*BR123+(1-EXP(-LN(2)/2))/(LN(2)/2)*BL124*BO124*VLOOKUP('Données projet'!$B$11,Paramètres!$A$1:$I$89,3,0)*0.475*44/12</f>
        <v>0.60067584634408899</v>
      </c>
      <c r="BS124" s="22">
        <f t="shared" si="63"/>
        <v>43.591755080023141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789.00000000000045</v>
      </c>
      <c r="BZ124" s="13">
        <f>BY124*VLOOKUP('Données projet'!$B$12,Paramètres!$A$1:$I$89,3,0)*VLOOKUP('Données projet'!$B$12,Paramètres!$A$1:$I$89,5,0)</f>
        <v>348.73800000000023</v>
      </c>
      <c r="CA124" s="13">
        <f t="shared" si="93"/>
        <v>81.302597726165047</v>
      </c>
      <c r="CB124" s="20">
        <f t="shared" si="64"/>
        <v>748.98737437307125</v>
      </c>
      <c r="CC124" s="59">
        <f t="shared" si="65"/>
        <v>1042.3207077064046</v>
      </c>
      <c r="CD124" s="59">
        <f ca="1">AVERAGE(OFFSET($CC$3,0,0,'Données projet'!$E$12+1,1))-AVERAGE(OFFSET($H$3,0,0,'Données projet'!$E$12+1,1))</f>
        <v>333.00091572040611</v>
      </c>
      <c r="CE124" s="59">
        <f t="shared" si="94"/>
        <v>267.06874181561398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25.613416194288178</v>
      </c>
      <c r="CL124" s="21">
        <f>EXP(-LN(2)/25)*CL123+(1-EXP(-LN(2)/25))/(LN(2)/25)*Calculateur!CG124*Calculateur!CI124*VLOOKUP('Données projet'!$B$12,Paramètres!$A$1:$I$89,3,0)*0.475*44/12</f>
        <v>7.7284122463059477</v>
      </c>
      <c r="CM124" s="21">
        <f>EXP(-LN(2)/2)*CM123+(1-EXP(-LN(2)/2))/(LN(2)/2)*CG124*CJ124*VLOOKUP('Données projet'!$B$12,Paramètres!$A$1:$I$89,3,0)*0.475*44/12</f>
        <v>1.3445687246164507E-6</v>
      </c>
      <c r="CN124" s="22">
        <f t="shared" si="66"/>
        <v>33.341829785162851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1">
        <f t="shared" si="86"/>
        <v>24.432627491414117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67">
        <f t="shared" si="56"/>
        <v>491.67960621421241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229</v>
      </c>
      <c r="O125" s="13">
        <f>N125*VLOOKUP('Données projet'!$B$9,Paramètres!$A$1:$I$89,3,0)*VLOOKUP('Données projet'!$B$9,Paramètres!$A$1:$I$89,5,0)</f>
        <v>136.94200000000001</v>
      </c>
      <c r="P125" s="13">
        <f t="shared" si="87"/>
        <v>35.595562742420903</v>
      </c>
      <c r="Q125" s="20">
        <f t="shared" si="107"/>
        <v>300.50292177638306</v>
      </c>
      <c r="R125" s="59">
        <f t="shared" si="55"/>
        <v>593.83625510971638</v>
      </c>
      <c r="S125" s="59">
        <f ca="1">AVERAGE(OFFSET($R$3,0,0,'Données projet'!$E$9+1,1))-AVERAGE(OFFSET($H$3,0,0,'Données projet'!$E$9+1,1))</f>
        <v>125.14227069357082</v>
      </c>
      <c r="T125" s="59">
        <f t="shared" si="88"/>
        <v>193.39407925063165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6.315526918708489</v>
      </c>
      <c r="AA125" s="21">
        <f>EXP(-LN(2)/25)*AA124+(1-EXP(-LN(2)/25))/(LN(2)/25)*Calculateur!V125*Calculateur!X125*VLOOKUP('Données projet'!$B$9,Paramètres!$A$1:$I$89,3,0)*0.475*44/12</f>
        <v>2.3343046196016131</v>
      </c>
      <c r="AB125" s="21">
        <f>EXP(-LN(2)/2)*AB124+(1-EXP(-LN(2)/2))/(LN(2)/2)*V125*Y125*VLOOKUP('Données projet'!$B$9,Paramètres!$A$1:$I$89,3,0)*0.475*44/12</f>
        <v>6.9106580801908433E-10</v>
      </c>
      <c r="AC125" s="22">
        <f t="shared" si="57"/>
        <v>8.649831539001168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-5.999999999994543E-2</v>
      </c>
      <c r="AJ125" s="13">
        <f>AI125*VLOOKUP('Données projet'!$B$10,Paramètres!$A$1:$I$89,3,0)*VLOOKUP('Données projet'!$B$10,Paramètres!$A$1:$I$89,5,0)</f>
        <v>-2.8079999999974462E-2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74.573470247551825</v>
      </c>
      <c r="AO125" s="59">
        <f t="shared" si="90"/>
        <v>122.43655207772224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21.359313517264411</v>
      </c>
      <c r="AV125" s="21">
        <f>EXP(-LN(2)/25)*AV124+(1-EXP(-LN(2)/25))/(LN(2)/25)*Calculateur!AQ125*Calculateur!AS125*VLOOKUP('Données projet'!$B$10,Paramètres!$A$1:$I$89,3,0)*0.475*44/12</f>
        <v>5.9467223821403126</v>
      </c>
      <c r="AW125" s="21">
        <f>EXP(-LN(2)/2)*AW124+(1-EXP(-LN(2)/2))/(LN(2)/2)*AQ125*AT125*VLOOKUP('Données projet'!$B$10,Paramètres!$A$1:$I$89,3,0)*0.475*44/12</f>
        <v>2.0207294846517307E-8</v>
      </c>
      <c r="AX125" s="21">
        <f t="shared" si="60"/>
        <v>27.306035919612018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2.2000000000000002</v>
      </c>
      <c r="BD125" s="12">
        <f>IF('Données projet'!$A$88&gt;35,BD124+BC125-BL124,IF(A125&lt;'Données projet'!$A$88,$BA$205^A125,IF(A125='Données projet'!$A$88,'Données projet'!$B$88,BD124+BC125-BL124)))</f>
        <v>213.39999999999986</v>
      </c>
      <c r="BE125" s="13">
        <f>BD125*VLOOKUP('Données projet'!$B$11,Paramètres!$A$1:$I$89,3,0)*VLOOKUP('Données projet'!$B$11,Paramètres!$A$1:$I$89,5,0)</f>
        <v>216.38759999999988</v>
      </c>
      <c r="BF125" s="13">
        <f t="shared" si="91"/>
        <v>53.328993492050351</v>
      </c>
      <c r="BG125" s="20">
        <f t="shared" si="61"/>
        <v>469.75640033198738</v>
      </c>
      <c r="BH125" s="59">
        <f t="shared" si="62"/>
        <v>763.08973366532064</v>
      </c>
      <c r="BI125" s="59">
        <f ca="1">AVERAGE(OFFSET($BH$3,0,0,'Données projet'!$E$11+1,1))-AVERAGE(OFFSET($H$3,0,0,'Données projet'!$E$11+1,1))</f>
        <v>183.74583738362492</v>
      </c>
      <c r="BJ125" s="59">
        <f t="shared" si="92"/>
        <v>46.344307013926596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40.380606979174509</v>
      </c>
      <c r="BQ125" s="21">
        <f>EXP(-LN(2)/25)*BQ124+(1-EXP(-LN(2)/25))/(LN(2)/25)*Calculateur!BL125*Calculateur!BN125*VLOOKUP('Données projet'!$B$11,Paramètres!$A$1:$I$89,3,0)*0.475*44/12</f>
        <v>1.753497598004033</v>
      </c>
      <c r="BR125" s="21">
        <f>EXP(-LN(2)/2)*BR124+(1-EXP(-LN(2)/2))/(LN(2)/2)*BL125*BO125*VLOOKUP('Données projet'!$B$11,Paramètres!$A$1:$I$89,3,0)*0.475*44/12</f>
        <v>0.42474196424487398</v>
      </c>
      <c r="BS125" s="22">
        <f t="shared" si="63"/>
        <v>42.558846541423414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789.00000000000045</v>
      </c>
      <c r="BZ125" s="13">
        <f>BY125*VLOOKUP('Données projet'!$B$12,Paramètres!$A$1:$I$89,3,0)*VLOOKUP('Données projet'!$B$12,Paramètres!$A$1:$I$89,5,0)</f>
        <v>348.73800000000023</v>
      </c>
      <c r="CA125" s="13">
        <f t="shared" si="93"/>
        <v>81.302597726165047</v>
      </c>
      <c r="CB125" s="20">
        <f t="shared" si="64"/>
        <v>748.98737437307125</v>
      </c>
      <c r="CC125" s="59">
        <f t="shared" si="65"/>
        <v>1042.3207077064046</v>
      </c>
      <c r="CD125" s="59">
        <f ca="1">AVERAGE(OFFSET($CC$3,0,0,'Données projet'!$E$12+1,1))-AVERAGE(OFFSET($H$3,0,0,'Données projet'!$E$12+1,1))</f>
        <v>333.00091572040611</v>
      </c>
      <c r="CE125" s="59">
        <f t="shared" si="94"/>
        <v>267.06874181561398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25.111152725359457</v>
      </c>
      <c r="CL125" s="21">
        <f>EXP(-LN(2)/25)*CL124+(1-EXP(-LN(2)/25))/(LN(2)/25)*Calculateur!CG125*Calculateur!CI125*VLOOKUP('Données projet'!$B$12,Paramètres!$A$1:$I$89,3,0)*0.475*44/12</f>
        <v>7.5170784070111747</v>
      </c>
      <c r="CM125" s="21">
        <f>EXP(-LN(2)/2)*CM124+(1-EXP(-LN(2)/2))/(LN(2)/2)*CG125*CJ125*VLOOKUP('Données projet'!$B$12,Paramètres!$A$1:$I$89,3,0)*0.475*44/12</f>
        <v>9.5075366294763993E-7</v>
      </c>
      <c r="CN125" s="22">
        <f t="shared" si="66"/>
        <v>32.628232083124296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1">
        <f t="shared" si="86"/>
        <v>24.609499639553714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67">
        <f t="shared" si="56"/>
        <v>493.26464853888888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229</v>
      </c>
      <c r="O126" s="13">
        <f>N126*VLOOKUP('Données projet'!$B$9,Paramètres!$A$1:$I$89,3,0)*VLOOKUP('Données projet'!$B$9,Paramètres!$A$1:$I$89,5,0)</f>
        <v>136.94200000000001</v>
      </c>
      <c r="P126" s="13">
        <f t="shared" si="87"/>
        <v>35.595562742420903</v>
      </c>
      <c r="Q126" s="20">
        <f t="shared" si="107"/>
        <v>300.50292177638306</v>
      </c>
      <c r="R126" s="59">
        <f t="shared" si="55"/>
        <v>593.83625510971638</v>
      </c>
      <c r="S126" s="59">
        <f ca="1">AVERAGE(OFFSET($R$3,0,0,'Données projet'!$E$9+1,1))-AVERAGE(OFFSET($H$3,0,0,'Données projet'!$E$9+1,1))</f>
        <v>125.14227069357082</v>
      </c>
      <c r="T126" s="59">
        <f t="shared" si="88"/>
        <v>193.39407925063165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6.1916832879236736</v>
      </c>
      <c r="AA126" s="21">
        <f>EXP(-LN(2)/25)*AA125+(1-EXP(-LN(2)/25))/(LN(2)/25)*Calculateur!V126*Calculateur!X126*VLOOKUP('Données projet'!$B$9,Paramètres!$A$1:$I$89,3,0)*0.475*44/12</f>
        <v>2.2704729370228622</v>
      </c>
      <c r="AB126" s="21">
        <f>EXP(-LN(2)/2)*AB125+(1-EXP(-LN(2)/2))/(LN(2)/2)*V126*Y126*VLOOKUP('Données projet'!$B$9,Paramètres!$A$1:$I$89,3,0)*0.475*44/12</f>
        <v>4.8865731909645531E-10</v>
      </c>
      <c r="AC126" s="22">
        <f t="shared" si="57"/>
        <v>8.4621562254351943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-5.999999999994543E-2</v>
      </c>
      <c r="AJ126" s="13">
        <f>AI126*VLOOKUP('Données projet'!$B$10,Paramètres!$A$1:$I$89,3,0)*VLOOKUP('Données projet'!$B$10,Paramètres!$A$1:$I$89,5,0)</f>
        <v>-2.8079999999974462E-2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74.573470247551825</v>
      </c>
      <c r="AO126" s="59">
        <f t="shared" si="90"/>
        <v>122.43655207772224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20.940470407085705</v>
      </c>
      <c r="AV126" s="21">
        <f>EXP(-LN(2)/25)*AV125+(1-EXP(-LN(2)/25))/(LN(2)/25)*Calculateur!AQ126*Calculateur!AS126*VLOOKUP('Données projet'!$B$10,Paramètres!$A$1:$I$89,3,0)*0.475*44/12</f>
        <v>5.784108945876147</v>
      </c>
      <c r="AW126" s="21">
        <f>EXP(-LN(2)/2)*AW125+(1-EXP(-LN(2)/2))/(LN(2)/2)*AQ126*AT126*VLOOKUP('Données projet'!$B$10,Paramètres!$A$1:$I$89,3,0)*0.475*44/12</f>
        <v>1.4288715215408365E-8</v>
      </c>
      <c r="AX126" s="21">
        <f t="shared" si="60"/>
        <v>26.72457936725057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2.2000000000000002</v>
      </c>
      <c r="BD126" s="12">
        <f>IF('Données projet'!$A$88&gt;35,BD125+BC126-BL125,IF(A126&lt;'Données projet'!$A$88,$BA$205^A126,IF(A126='Données projet'!$A$88,'Données projet'!$B$88,BD125+BC126-BL125)))</f>
        <v>215.59999999999985</v>
      </c>
      <c r="BE126" s="13">
        <f>BD126*VLOOKUP('Données projet'!$B$11,Paramètres!$A$1:$I$89,3,0)*VLOOKUP('Données projet'!$B$11,Paramètres!$A$1:$I$89,5,0)</f>
        <v>218.61839999999987</v>
      </c>
      <c r="BF126" s="13">
        <f t="shared" si="91"/>
        <v>53.81449177688954</v>
      </c>
      <c r="BG126" s="20">
        <f t="shared" si="61"/>
        <v>474.48728651141568</v>
      </c>
      <c r="BH126" s="59">
        <f t="shared" si="62"/>
        <v>767.82061984474899</v>
      </c>
      <c r="BI126" s="59">
        <f ca="1">AVERAGE(OFFSET($BH$3,0,0,'Données projet'!$E$11+1,1))-AVERAGE(OFFSET($H$3,0,0,'Données projet'!$E$11+1,1))</f>
        <v>183.74583738362492</v>
      </c>
      <c r="BJ126" s="59">
        <f t="shared" si="92"/>
        <v>46.344307013926596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39.588767906051167</v>
      </c>
      <c r="BQ126" s="21">
        <f>EXP(-LN(2)/25)*BQ125+(1-EXP(-LN(2)/25))/(LN(2)/25)*Calculateur!BL126*Calculateur!BN126*VLOOKUP('Données projet'!$B$11,Paramètres!$A$1:$I$89,3,0)*0.475*44/12</f>
        <v>1.7055481139741817</v>
      </c>
      <c r="BR126" s="21">
        <f>EXP(-LN(2)/2)*BR125+(1-EXP(-LN(2)/2))/(LN(2)/2)*BL126*BO126*VLOOKUP('Données projet'!$B$11,Paramètres!$A$1:$I$89,3,0)*0.475*44/12</f>
        <v>0.3003379231720445</v>
      </c>
      <c r="BS126" s="22">
        <f t="shared" si="63"/>
        <v>41.594653943197393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789.00000000000045</v>
      </c>
      <c r="BZ126" s="13">
        <f>BY126*VLOOKUP('Données projet'!$B$12,Paramètres!$A$1:$I$89,3,0)*VLOOKUP('Données projet'!$B$12,Paramètres!$A$1:$I$89,5,0)</f>
        <v>348.73800000000023</v>
      </c>
      <c r="CA126" s="13">
        <f t="shared" si="93"/>
        <v>81.302597726165047</v>
      </c>
      <c r="CB126" s="20">
        <f t="shared" si="64"/>
        <v>748.98737437307125</v>
      </c>
      <c r="CC126" s="59">
        <f t="shared" si="65"/>
        <v>1042.3207077064046</v>
      </c>
      <c r="CD126" s="59">
        <f ca="1">AVERAGE(OFFSET($CC$3,0,0,'Données projet'!$E$12+1,1))-AVERAGE(OFFSET($H$3,0,0,'Données projet'!$E$12+1,1))</f>
        <v>333.00091572040611</v>
      </c>
      <c r="CE126" s="59">
        <f t="shared" si="94"/>
        <v>267.06874181561398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24.618738336705963</v>
      </c>
      <c r="CL126" s="21">
        <f>EXP(-LN(2)/25)*CL125+(1-EXP(-LN(2)/25))/(LN(2)/25)*Calculateur!CG126*Calculateur!CI126*VLOOKUP('Données projet'!$B$12,Paramètres!$A$1:$I$89,3,0)*0.475*44/12</f>
        <v>7.311523502665481</v>
      </c>
      <c r="CM126" s="21">
        <f>EXP(-LN(2)/2)*CM125+(1-EXP(-LN(2)/2))/(LN(2)/2)*CG126*CJ126*VLOOKUP('Données projet'!$B$12,Paramètres!$A$1:$I$89,3,0)*0.475*44/12</f>
        <v>6.7228436230822547E-7</v>
      </c>
      <c r="CN126" s="22">
        <f t="shared" si="66"/>
        <v>31.930262511655805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1">
        <f t="shared" si="86"/>
        <v>24.786204483471373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67">
        <f t="shared" si="56"/>
        <v>494.84939947537879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229</v>
      </c>
      <c r="O127" s="13">
        <f>N127*VLOOKUP('Données projet'!$B$9,Paramètres!$A$1:$I$89,3,0)*VLOOKUP('Données projet'!$B$9,Paramètres!$A$1:$I$89,5,0)</f>
        <v>136.94200000000001</v>
      </c>
      <c r="P127" s="13">
        <f t="shared" si="87"/>
        <v>35.595562742420903</v>
      </c>
      <c r="Q127" s="20">
        <f t="shared" si="107"/>
        <v>300.50292177638306</v>
      </c>
      <c r="R127" s="59">
        <f t="shared" si="55"/>
        <v>593.83625510971638</v>
      </c>
      <c r="S127" s="59">
        <f ca="1">AVERAGE(OFFSET($R$3,0,0,'Données projet'!$E$9+1,1))-AVERAGE(OFFSET($H$3,0,0,'Données projet'!$E$9+1,1))</f>
        <v>125.14227069357082</v>
      </c>
      <c r="T127" s="59">
        <f t="shared" si="88"/>
        <v>193.39407925063165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6.0702681552013926</v>
      </c>
      <c r="AA127" s="21">
        <f>EXP(-LN(2)/25)*AA126+(1-EXP(-LN(2)/25))/(LN(2)/25)*Calculateur!V127*Calculateur!X127*VLOOKUP('Données projet'!$B$9,Paramètres!$A$1:$I$89,3,0)*0.475*44/12</f>
        <v>2.2083867351609894</v>
      </c>
      <c r="AB127" s="21">
        <f>EXP(-LN(2)/2)*AB126+(1-EXP(-LN(2)/2))/(LN(2)/2)*V127*Y127*VLOOKUP('Données projet'!$B$9,Paramètres!$A$1:$I$89,3,0)*0.475*44/12</f>
        <v>3.4553290400954217E-10</v>
      </c>
      <c r="AC127" s="22">
        <f t="shared" si="57"/>
        <v>8.2786548907079158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-5.999999999994543E-2</v>
      </c>
      <c r="AJ127" s="13">
        <f>AI127*VLOOKUP('Données projet'!$B$10,Paramètres!$A$1:$I$89,3,0)*VLOOKUP('Données projet'!$B$10,Paramètres!$A$1:$I$89,5,0)</f>
        <v>-2.8079999999974462E-2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74.573470247551825</v>
      </c>
      <c r="AO127" s="59">
        <f t="shared" si="90"/>
        <v>122.43655207772224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20.529840554828532</v>
      </c>
      <c r="AV127" s="21">
        <f>EXP(-LN(2)/25)*AV126+(1-EXP(-LN(2)/25))/(LN(2)/25)*Calculateur!AQ127*Calculateur!AS127*VLOOKUP('Données projet'!$B$10,Paramètres!$A$1:$I$89,3,0)*0.475*44/12</f>
        <v>5.6259421825780942</v>
      </c>
      <c r="AW127" s="21">
        <f>EXP(-LN(2)/2)*AW126+(1-EXP(-LN(2)/2))/(LN(2)/2)*AQ127*AT127*VLOOKUP('Données projet'!$B$10,Paramètres!$A$1:$I$89,3,0)*0.475*44/12</f>
        <v>1.0103647423258655E-8</v>
      </c>
      <c r="AX127" s="21">
        <f t="shared" si="60"/>
        <v>26.155782747510273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2.2000000000000002</v>
      </c>
      <c r="BD127" s="12">
        <f>IF('Données projet'!$A$88&gt;35,BD126+BC127-BL126,IF(A127&lt;'Données projet'!$A$88,$BA$205^A127,IF(A127='Données projet'!$A$88,'Données projet'!$B$88,BD126+BC127-BL126)))</f>
        <v>217.79999999999984</v>
      </c>
      <c r="BE127" s="13">
        <f>BD127*VLOOKUP('Données projet'!$B$11,Paramètres!$A$1:$I$89,3,0)*VLOOKUP('Données projet'!$B$11,Paramètres!$A$1:$I$89,5,0)</f>
        <v>220.84919999999985</v>
      </c>
      <c r="BF127" s="13">
        <f t="shared" si="91"/>
        <v>54.299413740412206</v>
      </c>
      <c r="BG127" s="20">
        <f t="shared" si="61"/>
        <v>479.21716893121766</v>
      </c>
      <c r="BH127" s="59">
        <f t="shared" si="62"/>
        <v>772.55050226455091</v>
      </c>
      <c r="BI127" s="59">
        <f ca="1">AVERAGE(OFFSET($BH$3,0,0,'Données projet'!$E$11+1,1))-AVERAGE(OFFSET($H$3,0,0,'Données projet'!$E$11+1,1))</f>
        <v>183.74583738362492</v>
      </c>
      <c r="BJ127" s="59">
        <f t="shared" si="92"/>
        <v>46.344307013926596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38.812456314177631</v>
      </c>
      <c r="BQ127" s="21">
        <f>EXP(-LN(2)/25)*BQ126+(1-EXP(-LN(2)/25))/(LN(2)/25)*Calculateur!BL127*Calculateur!BN127*VLOOKUP('Données projet'!$B$11,Paramètres!$A$1:$I$89,3,0)*0.475*44/12</f>
        <v>1.6589098111066805</v>
      </c>
      <c r="BR127" s="21">
        <f>EXP(-LN(2)/2)*BR126+(1-EXP(-LN(2)/2))/(LN(2)/2)*BL127*BO127*VLOOKUP('Données projet'!$B$11,Paramètres!$A$1:$I$89,3,0)*0.475*44/12</f>
        <v>0.21237098212243699</v>
      </c>
      <c r="BS127" s="22">
        <f t="shared" si="63"/>
        <v>40.683737107406749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789.00000000000045</v>
      </c>
      <c r="BZ127" s="13">
        <f>BY127*VLOOKUP('Données projet'!$B$12,Paramètres!$A$1:$I$89,3,0)*VLOOKUP('Données projet'!$B$12,Paramètres!$A$1:$I$89,5,0)</f>
        <v>348.73800000000023</v>
      </c>
      <c r="CA127" s="13">
        <f t="shared" si="93"/>
        <v>81.302597726165047</v>
      </c>
      <c r="CB127" s="20">
        <f t="shared" si="64"/>
        <v>748.98737437307125</v>
      </c>
      <c r="CC127" s="59">
        <f t="shared" si="65"/>
        <v>1042.3207077064046</v>
      </c>
      <c r="CD127" s="59">
        <f ca="1">AVERAGE(OFFSET($CC$3,0,0,'Données projet'!$E$12+1,1))-AVERAGE(OFFSET($H$3,0,0,'Données projet'!$E$12+1,1))</f>
        <v>333.00091572040611</v>
      </c>
      <c r="CE127" s="59">
        <f t="shared" si="94"/>
        <v>267.06874181561398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24.135979893870843</v>
      </c>
      <c r="CL127" s="21">
        <f>EXP(-LN(2)/25)*CL126+(1-EXP(-LN(2)/25))/(LN(2)/25)*Calculateur!CG127*Calculateur!CI127*VLOOKUP('Données projet'!$B$12,Paramètres!$A$1:$I$89,3,0)*0.475*44/12</f>
        <v>7.111589507988783</v>
      </c>
      <c r="CM127" s="21">
        <f>EXP(-LN(2)/2)*CM126+(1-EXP(-LN(2)/2))/(LN(2)/2)*CG127*CJ127*VLOOKUP('Données projet'!$B$12,Paramètres!$A$1:$I$89,3,0)*0.475*44/12</f>
        <v>4.7537683147382007E-7</v>
      </c>
      <c r="CN127" s="22">
        <f t="shared" si="66"/>
        <v>31.247569877236458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1">
        <f t="shared" si="86"/>
        <v>24.96274352877078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67">
        <f t="shared" si="56"/>
        <v>496.43386164594193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229</v>
      </c>
      <c r="O128" s="13">
        <f>N128*VLOOKUP('Données projet'!$B$9,Paramètres!$A$1:$I$89,3,0)*VLOOKUP('Données projet'!$B$9,Paramètres!$A$1:$I$89,5,0)</f>
        <v>136.94200000000001</v>
      </c>
      <c r="P128" s="13">
        <f t="shared" si="87"/>
        <v>35.595562742420903</v>
      </c>
      <c r="Q128" s="20">
        <f t="shared" si="107"/>
        <v>300.50292177638306</v>
      </c>
      <c r="R128" s="59">
        <f t="shared" si="55"/>
        <v>593.83625510971638</v>
      </c>
      <c r="S128" s="59">
        <f ca="1">AVERAGE(OFFSET($R$3,0,0,'Données projet'!$E$9+1,1))-AVERAGE(OFFSET($H$3,0,0,'Données projet'!$E$9+1,1))</f>
        <v>125.14227069357082</v>
      </c>
      <c r="T128" s="59">
        <f t="shared" si="88"/>
        <v>193.39407925063165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5.9512338991758771</v>
      </c>
      <c r="AA128" s="21">
        <f>EXP(-LN(2)/25)*AA127+(1-EXP(-LN(2)/25))/(LN(2)/25)*Calculateur!V128*Calculateur!X128*VLOOKUP('Données projet'!$B$9,Paramètres!$A$1:$I$89,3,0)*0.475*44/12</f>
        <v>2.147998283754001</v>
      </c>
      <c r="AB128" s="21">
        <f>EXP(-LN(2)/2)*AB127+(1-EXP(-LN(2)/2))/(LN(2)/2)*V128*Y128*VLOOKUP('Données projet'!$B$9,Paramètres!$A$1:$I$89,3,0)*0.475*44/12</f>
        <v>2.4432865954822766E-10</v>
      </c>
      <c r="AC128" s="22">
        <f t="shared" si="57"/>
        <v>8.0992321831742071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-5.999999999994543E-2</v>
      </c>
      <c r="AJ128" s="13">
        <f>AI128*VLOOKUP('Données projet'!$B$10,Paramètres!$A$1:$I$89,3,0)*VLOOKUP('Données projet'!$B$10,Paramètres!$A$1:$I$89,5,0)</f>
        <v>-2.8079999999974462E-2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74.573470247551825</v>
      </c>
      <c r="AO128" s="59">
        <f t="shared" si="90"/>
        <v>122.43655207772224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20.127262903514641</v>
      </c>
      <c r="AV128" s="21">
        <f>EXP(-LN(2)/25)*AV127+(1-EXP(-LN(2)/25))/(LN(2)/25)*Calculateur!AQ128*Calculateur!AS128*VLOOKUP('Données projet'!$B$10,Paramètres!$A$1:$I$89,3,0)*0.475*44/12</f>
        <v>5.4721004977400547</v>
      </c>
      <c r="AW128" s="21">
        <f>EXP(-LN(2)/2)*AW127+(1-EXP(-LN(2)/2))/(LN(2)/2)*AQ128*AT128*VLOOKUP('Données projet'!$B$10,Paramètres!$A$1:$I$89,3,0)*0.475*44/12</f>
        <v>7.1443576077041832E-9</v>
      </c>
      <c r="AX128" s="21">
        <f t="shared" si="60"/>
        <v>25.599363408399054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220</v>
      </c>
      <c r="BB128" s="12">
        <f>VLOOKUP(A128,'Données projet'!$A$87:$I$107,9,0)</f>
        <v>2.2000000000000002</v>
      </c>
      <c r="BC128" s="12">
        <f t="array" ref="BC128">INDEX(BB:BB,MIN(IF(ISNUMBER(BB128:BB324),ROW(BB128:BB324),"")))</f>
        <v>2.2000000000000002</v>
      </c>
      <c r="BD128" s="12">
        <f>IF('Données projet'!$A$88&gt;35,BD127+BC128-BL127,IF(A128&lt;'Données projet'!$A$88,$BA$205^A128,IF(A128='Données projet'!$A$88,'Données projet'!$B$88,BD127+BC128-BL127)))</f>
        <v>219.99999999999983</v>
      </c>
      <c r="BE128" s="13">
        <f>BD128*VLOOKUP('Données projet'!$B$11,Paramètres!$A$1:$I$89,3,0)*VLOOKUP('Données projet'!$B$11,Paramètres!$A$1:$I$89,5,0)</f>
        <v>223.07999999999984</v>
      </c>
      <c r="BF128" s="13">
        <f t="shared" si="91"/>
        <v>54.783765878062617</v>
      </c>
      <c r="BG128" s="20">
        <f t="shared" si="61"/>
        <v>483.94605890429216</v>
      </c>
      <c r="BH128" s="59">
        <f t="shared" si="62"/>
        <v>777.27939223762542</v>
      </c>
      <c r="BI128" s="59">
        <f ca="1">AVERAGE(OFFSET($BH$3,0,0,'Données projet'!$E$11+1,1))-AVERAGE(OFFSET($H$3,0,0,'Données projet'!$E$11+1,1))</f>
        <v>183.74583738362492</v>
      </c>
      <c r="BJ128" s="59">
        <f t="shared" si="92"/>
        <v>46.344307013926596</v>
      </c>
      <c r="BK128" s="15">
        <f>IF(ISNA(VLOOKUP(A128,'Données projet'!$A$87:$I$107,3,0)),0,VLOOKUP(A128,'Données projet'!$A$87:$I$107,3,0))</f>
        <v>19</v>
      </c>
      <c r="BL128" s="15">
        <f>IF(ISNA(VLOOKUP(A128,'Données projet'!$A$87:$I$107,4,0)),0,VLOOKUP(A128,'Données projet'!$A$87:$I$107,4,0))</f>
        <v>11</v>
      </c>
      <c r="BM128" s="16">
        <f>IF(ISNA(VLOOKUP(A128,'Données projet'!$A$87:$I$107,5,0)),0%,VLOOKUP(A128,'Données projet'!$A$87:$I$107,5,0)*VLOOKUP('Données projet'!$B$11,Paramètres!$A$1:$I$89,7,0))</f>
        <v>0.34400000000000003</v>
      </c>
      <c r="BN128" s="16">
        <f>IF(ISNA(VLOOKUP(A128,'Données projet'!$A$87:$I$107,6,0)),0%,VLOOKUP(A128,'Données projet'!$A$87:$I$107,6,0)*VLOOKUP('Données projet'!$B$11,Paramètres!$A$1:$I$89,7,0))</f>
        <v>1.72E-2</v>
      </c>
      <c r="BO128" s="16">
        <f>IF(ISNA(VLOOKUP(A128,'Données projet'!$A$87:$I$107,7,0)),0%,VLOOKUP(A128,'Données projet'!$A$87:$I$107,7,0))</f>
        <v>0.06</v>
      </c>
      <c r="BP128" s="21">
        <f>EXP(-LN(2)/35)*BP127+(1-EXP(-LN(2)/35))/(LN(2)/35)*BL128*BM128*VLOOKUP('Données projet'!$B$11,Paramètres!$A$1:$I$89,3,0)*0.475*44/12</f>
        <v>42.293031034096238</v>
      </c>
      <c r="BQ128" s="21">
        <f>EXP(-LN(2)/25)*BQ127+(1-EXP(-LN(2)/25))/(LN(2)/25)*Calculateur!BL128*Calculateur!BN128*VLOOKUP('Données projet'!$B$11,Paramètres!$A$1:$I$89,3,0)*0.475*44/12</f>
        <v>1.8247949485990587</v>
      </c>
      <c r="BR128" s="21">
        <f>EXP(-LN(2)/2)*BR127+(1-EXP(-LN(2)/2))/(LN(2)/2)*BL128*BO128*VLOOKUP('Données projet'!$B$11,Paramètres!$A$1:$I$89,3,0)*0.475*44/12</f>
        <v>0.78161491391653226</v>
      </c>
      <c r="BS128" s="22">
        <f t="shared" si="63"/>
        <v>44.899440896611829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789.00000000000045</v>
      </c>
      <c r="BZ128" s="13">
        <f>BY128*VLOOKUP('Données projet'!$B$12,Paramètres!$A$1:$I$89,3,0)*VLOOKUP('Données projet'!$B$12,Paramètres!$A$1:$I$89,5,0)</f>
        <v>348.73800000000023</v>
      </c>
      <c r="CA128" s="13">
        <f t="shared" si="93"/>
        <v>81.302597726165047</v>
      </c>
      <c r="CB128" s="20">
        <f t="shared" si="64"/>
        <v>748.98737437307125</v>
      </c>
      <c r="CC128" s="59">
        <f t="shared" si="65"/>
        <v>1042.3207077064046</v>
      </c>
      <c r="CD128" s="59">
        <f ca="1">AVERAGE(OFFSET($CC$3,0,0,'Données projet'!$E$12+1,1))-AVERAGE(OFFSET($H$3,0,0,'Données projet'!$E$12+1,1))</f>
        <v>333.00091572040611</v>
      </c>
      <c r="CE128" s="59">
        <f t="shared" si="94"/>
        <v>267.06874181561398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23.662688049646142</v>
      </c>
      <c r="CL128" s="21">
        <f>EXP(-LN(2)/25)*CL127+(1-EXP(-LN(2)/25))/(LN(2)/25)*Calculateur!CG128*Calculateur!CI128*VLOOKUP('Données projet'!$B$12,Paramètres!$A$1:$I$89,3,0)*0.475*44/12</f>
        <v>6.9171227189105915</v>
      </c>
      <c r="CM128" s="21">
        <f>EXP(-LN(2)/2)*CM127+(1-EXP(-LN(2)/2))/(LN(2)/2)*CG128*CJ128*VLOOKUP('Données projet'!$B$12,Paramètres!$A$1:$I$89,3,0)*0.475*44/12</f>
        <v>3.3614218115411279E-7</v>
      </c>
      <c r="CN128" s="22">
        <f t="shared" si="66"/>
        <v>30.579811104698916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1">
        <f t="shared" si="86"/>
        <v>25.139118255575003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67">
        <f t="shared" si="56"/>
        <v>498.0180376284593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229</v>
      </c>
      <c r="O129" s="13">
        <f>N129*VLOOKUP('Données projet'!$B$9,Paramètres!$A$1:$I$89,3,0)*VLOOKUP('Données projet'!$B$9,Paramètres!$A$1:$I$89,5,0)</f>
        <v>136.94200000000001</v>
      </c>
      <c r="P129" s="13">
        <f t="shared" si="87"/>
        <v>35.595562742420903</v>
      </c>
      <c r="Q129" s="20">
        <f t="shared" si="107"/>
        <v>300.50292177638306</v>
      </c>
      <c r="R129" s="59">
        <f t="shared" si="55"/>
        <v>593.83625510971638</v>
      </c>
      <c r="S129" s="59">
        <f ca="1">AVERAGE(OFFSET($R$3,0,0,'Données projet'!$E$9+1,1))-AVERAGE(OFFSET($H$3,0,0,'Données projet'!$E$9+1,1))</f>
        <v>125.14227069357082</v>
      </c>
      <c r="T129" s="59">
        <f t="shared" si="88"/>
        <v>193.39407925063165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5.8345338323072946</v>
      </c>
      <c r="AA129" s="21">
        <f>EXP(-LN(2)/25)*AA128+(1-EXP(-LN(2)/25))/(LN(2)/25)*Calculateur!V129*Calculateur!X129*VLOOKUP('Données projet'!$B$9,Paramètres!$A$1:$I$89,3,0)*0.475*44/12</f>
        <v>2.0892611577264275</v>
      </c>
      <c r="AB129" s="21">
        <f>EXP(-LN(2)/2)*AB128+(1-EXP(-LN(2)/2))/(LN(2)/2)*V129*Y129*VLOOKUP('Données projet'!$B$9,Paramètres!$A$1:$I$89,3,0)*0.475*44/12</f>
        <v>1.7276645200477108E-10</v>
      </c>
      <c r="AC129" s="22">
        <f t="shared" si="57"/>
        <v>7.9237949902064884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-5.999999999994543E-2</v>
      </c>
      <c r="AJ129" s="13">
        <f>AI129*VLOOKUP('Données projet'!$B$10,Paramètres!$A$1:$I$89,3,0)*VLOOKUP('Données projet'!$B$10,Paramètres!$A$1:$I$89,5,0)</f>
        <v>-2.8079999999974462E-2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74.573470247551825</v>
      </c>
      <c r="AO129" s="59">
        <f t="shared" si="90"/>
        <v>122.43655207772224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19.732579554394896</v>
      </c>
      <c r="AV129" s="21">
        <f>EXP(-LN(2)/25)*AV128+(1-EXP(-LN(2)/25))/(LN(2)/25)*Calculateur!AQ129*Calculateur!AS129*VLOOKUP('Données projet'!$B$10,Paramètres!$A$1:$I$89,3,0)*0.475*44/12</f>
        <v>5.3224656218640947</v>
      </c>
      <c r="AW129" s="21">
        <f>EXP(-LN(2)/2)*AW128+(1-EXP(-LN(2)/2))/(LN(2)/2)*AQ129*AT129*VLOOKUP('Données projet'!$B$10,Paramètres!$A$1:$I$89,3,0)*0.475*44/12</f>
        <v>5.0518237116293285E-9</v>
      </c>
      <c r="AX129" s="21">
        <f t="shared" si="60"/>
        <v>25.055045181310813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2.2000000000000002</v>
      </c>
      <c r="BD129" s="12">
        <f>IF('Données projet'!$A$88&gt;35,BD128+BC129-BL128,IF(A129&lt;'Données projet'!$A$88,$BA$205^A129,IF(A129='Données projet'!$A$88,'Données projet'!$B$88,BD128+BC129-BL128)))</f>
        <v>211.19999999999982</v>
      </c>
      <c r="BE129" s="13">
        <f>BD129*VLOOKUP('Données projet'!$B$11,Paramètres!$A$1:$I$89,3,0)*VLOOKUP('Données projet'!$B$11,Paramètres!$A$1:$I$89,5,0)</f>
        <v>214.15679999999983</v>
      </c>
      <c r="BF129" s="13">
        <f t="shared" si="91"/>
        <v>52.842912248636644</v>
      </c>
      <c r="BG129" s="20">
        <f t="shared" si="61"/>
        <v>465.02449883304183</v>
      </c>
      <c r="BH129" s="59">
        <f t="shared" si="62"/>
        <v>758.35783216637515</v>
      </c>
      <c r="BI129" s="59">
        <f ca="1">AVERAGE(OFFSET($BH$3,0,0,'Données projet'!$E$11+1,1))-AVERAGE(OFFSET($H$3,0,0,'Données projet'!$E$11+1,1))</f>
        <v>183.74583738362492</v>
      </c>
      <c r="BJ129" s="59">
        <f t="shared" si="92"/>
        <v>46.344307013926596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41.463690491719376</v>
      </c>
      <c r="BQ129" s="21">
        <f>EXP(-LN(2)/25)*BQ128+(1-EXP(-LN(2)/25))/(LN(2)/25)*Calculateur!BL129*Calculateur!BN129*VLOOKUP('Données projet'!$B$11,Paramètres!$A$1:$I$89,3,0)*0.475*44/12</f>
        <v>1.7748958347678216</v>
      </c>
      <c r="BR129" s="21">
        <f>EXP(-LN(2)/2)*BR128+(1-EXP(-LN(2)/2))/(LN(2)/2)*BL129*BO129*VLOOKUP('Données projet'!$B$11,Paramètres!$A$1:$I$89,3,0)*0.475*44/12</f>
        <v>0.55268520590691961</v>
      </c>
      <c r="BS129" s="22">
        <f t="shared" si="63"/>
        <v>43.791271532394113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789.00000000000045</v>
      </c>
      <c r="BZ129" s="13">
        <f>BY129*VLOOKUP('Données projet'!$B$12,Paramètres!$A$1:$I$89,3,0)*VLOOKUP('Données projet'!$B$12,Paramètres!$A$1:$I$89,5,0)</f>
        <v>348.73800000000023</v>
      </c>
      <c r="CA129" s="13">
        <f t="shared" si="93"/>
        <v>81.302597726165047</v>
      </c>
      <c r="CB129" s="20">
        <f t="shared" si="64"/>
        <v>748.98737437307125</v>
      </c>
      <c r="CC129" s="59">
        <f t="shared" si="65"/>
        <v>1042.3207077064046</v>
      </c>
      <c r="CD129" s="59">
        <f ca="1">AVERAGE(OFFSET($CC$3,0,0,'Données projet'!$E$12+1,1))-AVERAGE(OFFSET($H$3,0,0,'Données projet'!$E$12+1,1))</f>
        <v>333.00091572040611</v>
      </c>
      <c r="CE129" s="59">
        <f t="shared" si="94"/>
        <v>267.06874181561398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23.198677169807169</v>
      </c>
      <c r="CL129" s="21">
        <f>EXP(-LN(2)/25)*CL128+(1-EXP(-LN(2)/25))/(LN(2)/25)*Calculateur!CG129*Calculateur!CI129*VLOOKUP('Données projet'!$B$12,Paramètres!$A$1:$I$89,3,0)*0.475*44/12</f>
        <v>6.7279736344063066</v>
      </c>
      <c r="CM129" s="21">
        <f>EXP(-LN(2)/2)*CM128+(1-EXP(-LN(2)/2))/(LN(2)/2)*CG129*CJ129*VLOOKUP('Données projet'!$B$12,Paramètres!$A$1:$I$89,3,0)*0.475*44/12</f>
        <v>2.3768841573691006E-7</v>
      </c>
      <c r="CN129" s="22">
        <f t="shared" si="66"/>
        <v>29.926651041901891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1">
        <f t="shared" si="86"/>
        <v>25.31533011915646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67">
        <f t="shared" si="56"/>
        <v>499.60192995753027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229</v>
      </c>
      <c r="O130" s="13">
        <f>N130*VLOOKUP('Données projet'!$B$9,Paramètres!$A$1:$I$89,3,0)*VLOOKUP('Données projet'!$B$9,Paramètres!$A$1:$I$89,5,0)</f>
        <v>136.94200000000001</v>
      </c>
      <c r="P130" s="13">
        <f t="shared" si="87"/>
        <v>35.595562742420903</v>
      </c>
      <c r="Q130" s="20">
        <f t="shared" si="107"/>
        <v>300.50292177638306</v>
      </c>
      <c r="R130" s="59">
        <f t="shared" si="55"/>
        <v>593.83625510971638</v>
      </c>
      <c r="S130" s="59">
        <f ca="1">AVERAGE(OFFSET($R$3,0,0,'Données projet'!$E$9+1,1))-AVERAGE(OFFSET($H$3,0,0,'Données projet'!$E$9+1,1))</f>
        <v>125.14227069357082</v>
      </c>
      <c r="T130" s="59">
        <f t="shared" si="88"/>
        <v>193.39407925063165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5.7201221825699928</v>
      </c>
      <c r="AA130" s="21">
        <f>EXP(-LN(2)/25)*AA129+(1-EXP(-LN(2)/25))/(LN(2)/25)*Calculateur!V130*Calculateur!X130*VLOOKUP('Données projet'!$B$9,Paramètres!$A$1:$I$89,3,0)*0.475*44/12</f>
        <v>2.0321302014989291</v>
      </c>
      <c r="AB130" s="21">
        <f>EXP(-LN(2)/2)*AB129+(1-EXP(-LN(2)/2))/(LN(2)/2)*V130*Y130*VLOOKUP('Données projet'!$B$9,Paramètres!$A$1:$I$89,3,0)*0.475*44/12</f>
        <v>1.2216432977411383E-10</v>
      </c>
      <c r="AC130" s="22">
        <f t="shared" si="57"/>
        <v>7.7522523841910864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-5.999999999994543E-2</v>
      </c>
      <c r="AJ130" s="13">
        <f>AI130*VLOOKUP('Données projet'!$B$10,Paramètres!$A$1:$I$89,3,0)*VLOOKUP('Données projet'!$B$10,Paramètres!$A$1:$I$89,5,0)</f>
        <v>-2.8079999999974462E-2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74.573470247551825</v>
      </c>
      <c r="AO130" s="59">
        <f t="shared" si="90"/>
        <v>122.43655207772224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19.345635705018314</v>
      </c>
      <c r="AV130" s="21">
        <f>EXP(-LN(2)/25)*AV129+(1-EXP(-LN(2)/25))/(LN(2)/25)*Calculateur!AQ130*Calculateur!AS130*VLOOKUP('Données projet'!$B$10,Paramètres!$A$1:$I$89,3,0)*0.475*44/12</f>
        <v>5.1769225195379187</v>
      </c>
      <c r="AW130" s="21">
        <f>EXP(-LN(2)/2)*AW129+(1-EXP(-LN(2)/2))/(LN(2)/2)*AQ130*AT130*VLOOKUP('Données projet'!$B$10,Paramètres!$A$1:$I$89,3,0)*0.475*44/12</f>
        <v>3.572178803852092E-9</v>
      </c>
      <c r="AX130" s="21">
        <f t="shared" si="60"/>
        <v>24.52255822812841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2.2000000000000002</v>
      </c>
      <c r="BD130" s="12">
        <f>IF('Données projet'!$A$88&gt;35,BD129+BC130-BL129,IF(A130&lt;'Données projet'!$A$88,$BA$205^A130,IF(A130='Données projet'!$A$88,'Données projet'!$B$88,BD129+BC130-BL129)))</f>
        <v>213.39999999999981</v>
      </c>
      <c r="BE130" s="13">
        <f>BD130*VLOOKUP('Données projet'!$B$11,Paramètres!$A$1:$I$89,3,0)*VLOOKUP('Données projet'!$B$11,Paramètres!$A$1:$I$89,5,0)</f>
        <v>216.38759999999979</v>
      </c>
      <c r="BF130" s="13">
        <f t="shared" si="91"/>
        <v>53.328993492050309</v>
      </c>
      <c r="BG130" s="20">
        <f t="shared" si="61"/>
        <v>469.75640033198715</v>
      </c>
      <c r="BH130" s="59">
        <f t="shared" si="62"/>
        <v>763.08973366532041</v>
      </c>
      <c r="BI130" s="59">
        <f ca="1">AVERAGE(OFFSET($BH$3,0,0,'Données projet'!$E$11+1,1))-AVERAGE(OFFSET($H$3,0,0,'Données projet'!$E$11+1,1))</f>
        <v>183.74583738362492</v>
      </c>
      <c r="BJ130" s="59">
        <f t="shared" si="92"/>
        <v>46.344307013926596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40.650612811530742</v>
      </c>
      <c r="BQ130" s="21">
        <f>EXP(-LN(2)/25)*BQ129+(1-EXP(-LN(2)/25))/(LN(2)/25)*Calculateur!BL130*Calculateur!BN130*VLOOKUP('Données projet'!$B$11,Paramètres!$A$1:$I$89,3,0)*0.475*44/12</f>
        <v>1.7263612148283802</v>
      </c>
      <c r="BR130" s="21">
        <f>EXP(-LN(2)/2)*BR129+(1-EXP(-LN(2)/2))/(LN(2)/2)*BL130*BO130*VLOOKUP('Données projet'!$B$11,Paramètres!$A$1:$I$89,3,0)*0.475*44/12</f>
        <v>0.39080745695826619</v>
      </c>
      <c r="BS130" s="22">
        <f t="shared" si="63"/>
        <v>42.767781483317385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789.00000000000045</v>
      </c>
      <c r="BZ130" s="13">
        <f>BY130*VLOOKUP('Données projet'!$B$12,Paramètres!$A$1:$I$89,3,0)*VLOOKUP('Données projet'!$B$12,Paramètres!$A$1:$I$89,5,0)</f>
        <v>348.73800000000023</v>
      </c>
      <c r="CA130" s="13">
        <f t="shared" si="93"/>
        <v>81.302597726165047</v>
      </c>
      <c r="CB130" s="20">
        <f t="shared" si="64"/>
        <v>748.98737437307125</v>
      </c>
      <c r="CC130" s="59">
        <f t="shared" si="65"/>
        <v>1042.3207077064046</v>
      </c>
      <c r="CD130" s="59">
        <f ca="1">AVERAGE(OFFSET($CC$3,0,0,'Données projet'!$E$12+1,1))-AVERAGE(OFFSET($H$3,0,0,'Données projet'!$E$12+1,1))</f>
        <v>333.00091572040611</v>
      </c>
      <c r="CE130" s="59">
        <f t="shared" si="94"/>
        <v>267.06874181561398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22.743765260303149</v>
      </c>
      <c r="CL130" s="21">
        <f>EXP(-LN(2)/25)*CL129+(1-EXP(-LN(2)/25))/(LN(2)/25)*Calculateur!CG130*Calculateur!CI130*VLOOKUP('Données projet'!$B$12,Paramètres!$A$1:$I$89,3,0)*0.475*44/12</f>
        <v>6.5439968415647094</v>
      </c>
      <c r="CM130" s="21">
        <f>EXP(-LN(2)/2)*CM129+(1-EXP(-LN(2)/2))/(LN(2)/2)*CG130*CJ130*VLOOKUP('Données projet'!$B$12,Paramètres!$A$1:$I$89,3,0)*0.475*44/12</f>
        <v>1.6807109057705642E-7</v>
      </c>
      <c r="CN130" s="22">
        <f t="shared" si="66"/>
        <v>29.287762269938948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1">
        <f t="shared" si="86"/>
        <v>25.491380550546399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67">
        <f t="shared" si="56"/>
        <v>501.18554112553443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229</v>
      </c>
      <c r="O131" s="13">
        <f>N131*VLOOKUP('Données projet'!$B$9,Paramètres!$A$1:$I$89,3,0)*VLOOKUP('Données projet'!$B$9,Paramètres!$A$1:$I$89,5,0)</f>
        <v>136.94200000000001</v>
      </c>
      <c r="P131" s="13">
        <f t="shared" si="87"/>
        <v>35.595562742420903</v>
      </c>
      <c r="Q131" s="20">
        <f t="shared" ref="Q131:Q153" si="108">(O131+P131)*0.475*44/12</f>
        <v>300.50292177638306</v>
      </c>
      <c r="R131" s="59">
        <f t="shared" ref="R131:R194" si="109">Q131+(I131+J131)*44/12</f>
        <v>593.83625510971638</v>
      </c>
      <c r="S131" s="59">
        <f ca="1">AVERAGE(OFFSET($R$3,0,0,'Données projet'!$E$9+1,1))-AVERAGE(OFFSET($H$3,0,0,'Données projet'!$E$9+1,1))</f>
        <v>125.14227069357082</v>
      </c>
      <c r="T131" s="59">
        <f t="shared" si="88"/>
        <v>193.39407925063165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5.6079540754998236</v>
      </c>
      <c r="AA131" s="21">
        <f>EXP(-LN(2)/25)*AA130+(1-EXP(-LN(2)/25))/(LN(2)/25)*Calculateur!V131*Calculateur!X131*VLOOKUP('Données projet'!$B$9,Paramètres!$A$1:$I$89,3,0)*0.475*44/12</f>
        <v>1.9765614942738581</v>
      </c>
      <c r="AB131" s="21">
        <f>EXP(-LN(2)/2)*AB130+(1-EXP(-LN(2)/2))/(LN(2)/2)*V131*Y131*VLOOKUP('Données projet'!$B$9,Paramètres!$A$1:$I$89,3,0)*0.475*44/12</f>
        <v>8.6383226002385541E-11</v>
      </c>
      <c r="AC131" s="22">
        <f t="shared" si="57"/>
        <v>7.5845155698600655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-5.999999999994543E-2</v>
      </c>
      <c r="AJ131" s="13">
        <f>AI131*VLOOKUP('Données projet'!$B$10,Paramètres!$A$1:$I$89,3,0)*VLOOKUP('Données projet'!$B$10,Paramètres!$A$1:$I$89,5,0)</f>
        <v>-2.8079999999974462E-2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74.573470247551825</v>
      </c>
      <c r="AO131" s="59">
        <f t="shared" si="90"/>
        <v>122.43655207772224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18.966279588515565</v>
      </c>
      <c r="AV131" s="21">
        <f>EXP(-LN(2)/25)*AV130+(1-EXP(-LN(2)/25))/(LN(2)/25)*Calculateur!AQ131*Calculateur!AS131*VLOOKUP('Données projet'!$B$10,Paramètres!$A$1:$I$89,3,0)*0.475*44/12</f>
        <v>5.035359300998631</v>
      </c>
      <c r="AW131" s="21">
        <f>EXP(-LN(2)/2)*AW130+(1-EXP(-LN(2)/2))/(LN(2)/2)*AQ131*AT131*VLOOKUP('Données projet'!$B$10,Paramètres!$A$1:$I$89,3,0)*0.475*44/12</f>
        <v>2.5259118558146647E-9</v>
      </c>
      <c r="AX131" s="21">
        <f t="shared" si="60"/>
        <v>24.001638892040109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2.2000000000000002</v>
      </c>
      <c r="BD131" s="12">
        <f>IF('Données projet'!$A$88&gt;35,BD130+BC131-BL130,IF(A131&lt;'Données projet'!$A$88,$BA$205^A131,IF(A131='Données projet'!$A$88,'Données projet'!$B$88,BD130+BC131-BL130)))</f>
        <v>215.5999999999998</v>
      </c>
      <c r="BE131" s="13">
        <f>BD131*VLOOKUP('Données projet'!$B$11,Paramètres!$A$1:$I$89,3,0)*VLOOKUP('Données projet'!$B$11,Paramètres!$A$1:$I$89,5,0)</f>
        <v>218.61839999999981</v>
      </c>
      <c r="BF131" s="13">
        <f t="shared" si="91"/>
        <v>53.81449177688954</v>
      </c>
      <c r="BG131" s="20">
        <f t="shared" si="61"/>
        <v>474.4872865114155</v>
      </c>
      <c r="BH131" s="59">
        <f t="shared" si="62"/>
        <v>767.82061984474876</v>
      </c>
      <c r="BI131" s="59">
        <f ca="1">AVERAGE(OFFSET($BH$3,0,0,'Données projet'!$E$11+1,1))-AVERAGE(OFFSET($H$3,0,0,'Données projet'!$E$11+1,1))</f>
        <v>183.74583738362492</v>
      </c>
      <c r="BJ131" s="59">
        <f t="shared" si="92"/>
        <v>46.344307013926596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39.853479088722196</v>
      </c>
      <c r="BQ131" s="21">
        <f>EXP(-LN(2)/25)*BQ130+(1-EXP(-LN(2)/25))/(LN(2)/25)*Calculateur!BL131*Calculateur!BN131*VLOOKUP('Données projet'!$B$11,Paramètres!$A$1:$I$89,3,0)*0.475*44/12</f>
        <v>1.6791537766235076</v>
      </c>
      <c r="BR131" s="21">
        <f>EXP(-LN(2)/2)*BR130+(1-EXP(-LN(2)/2))/(LN(2)/2)*BL131*BO131*VLOOKUP('Données projet'!$B$11,Paramètres!$A$1:$I$89,3,0)*0.475*44/12</f>
        <v>0.27634260295345986</v>
      </c>
      <c r="BS131" s="22">
        <f t="shared" si="63"/>
        <v>41.808975468299167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789.00000000000045</v>
      </c>
      <c r="BZ131" s="13">
        <f>BY131*VLOOKUP('Données projet'!$B$12,Paramètres!$A$1:$I$89,3,0)*VLOOKUP('Données projet'!$B$12,Paramètres!$A$1:$I$89,5,0)</f>
        <v>348.73800000000023</v>
      </c>
      <c r="CA131" s="13">
        <f t="shared" si="93"/>
        <v>81.302597726165047</v>
      </c>
      <c r="CB131" s="20">
        <f t="shared" si="64"/>
        <v>748.98737437307125</v>
      </c>
      <c r="CC131" s="59">
        <f t="shared" si="65"/>
        <v>1042.3207077064046</v>
      </c>
      <c r="CD131" s="59">
        <f ca="1">AVERAGE(OFFSET($CC$3,0,0,'Données projet'!$E$12+1,1))-AVERAGE(OFFSET($H$3,0,0,'Données projet'!$E$12+1,1))</f>
        <v>333.00091572040611</v>
      </c>
      <c r="CE131" s="59">
        <f t="shared" si="94"/>
        <v>267.06874181561398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22.297773895875636</v>
      </c>
      <c r="CL131" s="21">
        <f>EXP(-LN(2)/25)*CL130+(1-EXP(-LN(2)/25))/(LN(2)/25)*Calculateur!CG131*Calculateur!CI131*VLOOKUP('Données projet'!$B$12,Paramètres!$A$1:$I$89,3,0)*0.475*44/12</f>
        <v>6.3650509037982852</v>
      </c>
      <c r="CM131" s="21">
        <f>EXP(-LN(2)/2)*CM130+(1-EXP(-LN(2)/2))/(LN(2)/2)*CG131*CJ131*VLOOKUP('Données projet'!$B$12,Paramètres!$A$1:$I$89,3,0)*0.475*44/12</f>
        <v>1.1884420786845506E-7</v>
      </c>
      <c r="CN131" s="22">
        <f t="shared" si="66"/>
        <v>28.66282491851813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1">
        <f t="shared" si="86"/>
        <v>25.667270957125002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67">
        <f t="shared" ref="H132:H195" si="110">(B132+E132+F132)*44/12+(C132+D132)*0.475*44/12</f>
        <v>502.76887358365883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229</v>
      </c>
      <c r="O132" s="13">
        <f>N132*VLOOKUP('Données projet'!$B$9,Paramètres!$A$1:$I$89,3,0)*VLOOKUP('Données projet'!$B$9,Paramètres!$A$1:$I$89,5,0)</f>
        <v>136.94200000000001</v>
      </c>
      <c r="P132" s="13">
        <f t="shared" si="87"/>
        <v>35.595562742420903</v>
      </c>
      <c r="Q132" s="20">
        <f t="shared" si="108"/>
        <v>300.50292177638306</v>
      </c>
      <c r="R132" s="59">
        <f t="shared" si="109"/>
        <v>593.83625510971638</v>
      </c>
      <c r="S132" s="59">
        <f ca="1">AVERAGE(OFFSET($R$3,0,0,'Données projet'!$E$9+1,1))-AVERAGE(OFFSET($H$3,0,0,'Données projet'!$E$9+1,1))</f>
        <v>125.14227069357082</v>
      </c>
      <c r="T132" s="59">
        <f t="shared" si="88"/>
        <v>193.39407925063165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5.4979855165935101</v>
      </c>
      <c r="AA132" s="21">
        <f>EXP(-LN(2)/25)*AA131+(1-EXP(-LN(2)/25))/(LN(2)/25)*Calculateur!V132*Calculateur!X132*VLOOKUP('Données projet'!$B$9,Paramètres!$A$1:$I$89,3,0)*0.475*44/12</f>
        <v>1.9225123162700879</v>
      </c>
      <c r="AB132" s="21">
        <f>EXP(-LN(2)/2)*AB131+(1-EXP(-LN(2)/2))/(LN(2)/2)*V132*Y132*VLOOKUP('Données projet'!$B$9,Paramètres!$A$1:$I$89,3,0)*0.475*44/12</f>
        <v>6.1082164887056914E-11</v>
      </c>
      <c r="AC132" s="22">
        <f t="shared" ref="AC132:AC153" si="111">SUM(Z132:AB132)</f>
        <v>7.4204978329246796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-5.999999999994543E-2</v>
      </c>
      <c r="AJ132" s="13">
        <f>AI132*VLOOKUP('Données projet'!$B$10,Paramètres!$A$1:$I$89,3,0)*VLOOKUP('Données projet'!$B$10,Paramètres!$A$1:$I$89,5,0)</f>
        <v>-2.8079999999974462E-2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74.573470247551825</v>
      </c>
      <c r="AO132" s="59">
        <f t="shared" si="90"/>
        <v>122.43655207772224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18.59436241407305</v>
      </c>
      <c r="AV132" s="21">
        <f>EXP(-LN(2)/25)*AV131+(1-EXP(-LN(2)/25))/(LN(2)/25)*Calculateur!AQ132*Calculateur!AS132*VLOOKUP('Données projet'!$B$10,Paramètres!$A$1:$I$89,3,0)*0.475*44/12</f>
        <v>4.8976671361147863</v>
      </c>
      <c r="AW132" s="21">
        <f>EXP(-LN(2)/2)*AW131+(1-EXP(-LN(2)/2))/(LN(2)/2)*AQ132*AT132*VLOOKUP('Données projet'!$B$10,Paramètres!$A$1:$I$89,3,0)*0.475*44/12</f>
        <v>1.7860894019260464E-9</v>
      </c>
      <c r="AX132" s="21">
        <f t="shared" ref="AX132:AX153" si="114">SUM(AU132:AW132)</f>
        <v>23.492029551973925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2.2000000000000002</v>
      </c>
      <c r="BD132" s="12">
        <f>IF('Données projet'!$A$88&gt;35,BD131+BC132-BL131,IF(A132&lt;'Données projet'!$A$88,$BA$205^A132,IF(A132='Données projet'!$A$88,'Données projet'!$B$88,BD131+BC132-BL131)))</f>
        <v>217.79999999999978</v>
      </c>
      <c r="BE132" s="13">
        <f>BD132*VLOOKUP('Données projet'!$B$11,Paramètres!$A$1:$I$89,3,0)*VLOOKUP('Données projet'!$B$11,Paramètres!$A$1:$I$89,5,0)</f>
        <v>220.84919999999977</v>
      </c>
      <c r="BF132" s="13">
        <f t="shared" si="91"/>
        <v>54.299413740412163</v>
      </c>
      <c r="BG132" s="20">
        <f t="shared" ref="BG132:BG153" si="115">(BE132+BF132)*0.475*44/12</f>
        <v>479.21716893121743</v>
      </c>
      <c r="BH132" s="59">
        <f t="shared" ref="BH132:BH195" si="116">BG132+(AY132+AZ132)*44/12</f>
        <v>772.55050226455069</v>
      </c>
      <c r="BI132" s="59">
        <f ca="1">AVERAGE(OFFSET($BH$3,0,0,'Données projet'!$E$11+1,1))-AVERAGE(OFFSET($H$3,0,0,'Données projet'!$E$11+1,1))</f>
        <v>183.74583738362492</v>
      </c>
      <c r="BJ132" s="59">
        <f t="shared" si="92"/>
        <v>46.344307013926596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39.071976672014358</v>
      </c>
      <c r="BQ132" s="21">
        <f>EXP(-LN(2)/25)*BQ131+(1-EXP(-LN(2)/25))/(LN(2)/25)*Calculateur!BL132*Calculateur!BN132*VLOOKUP('Données projet'!$B$11,Paramètres!$A$1:$I$89,3,0)*0.475*44/12</f>
        <v>1.6332372282988785</v>
      </c>
      <c r="BR132" s="21">
        <f>EXP(-LN(2)/2)*BR131+(1-EXP(-LN(2)/2))/(LN(2)/2)*BL132*BO132*VLOOKUP('Données projet'!$B$11,Paramètres!$A$1:$I$89,3,0)*0.475*44/12</f>
        <v>0.19540372847913315</v>
      </c>
      <c r="BS132" s="22">
        <f t="shared" ref="BS132:BS153" si="117">SUM(BP132:BR132)</f>
        <v>40.900617628792375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789.00000000000045</v>
      </c>
      <c r="BZ132" s="13">
        <f>BY132*VLOOKUP('Données projet'!$B$12,Paramètres!$A$1:$I$89,3,0)*VLOOKUP('Données projet'!$B$12,Paramètres!$A$1:$I$89,5,0)</f>
        <v>348.73800000000023</v>
      </c>
      <c r="CA132" s="13">
        <f t="shared" si="93"/>
        <v>81.302597726165047</v>
      </c>
      <c r="CB132" s="20">
        <f t="shared" ref="CB132:CB153" si="118">(BZ132+CA132)*0.475*44/12</f>
        <v>748.98737437307125</v>
      </c>
      <c r="CC132" s="59">
        <f t="shared" ref="CC132:CC195" si="119">CB132+(BT132+BU132)*44/12</f>
        <v>1042.3207077064046</v>
      </c>
      <c r="CD132" s="59">
        <f ca="1">AVERAGE(OFFSET($CC$3,0,0,'Données projet'!$E$12+1,1))-AVERAGE(OFFSET($H$3,0,0,'Données projet'!$E$12+1,1))</f>
        <v>333.00091572040611</v>
      </c>
      <c r="CE132" s="59">
        <f t="shared" si="94"/>
        <v>267.06874181561398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21.860528150076675</v>
      </c>
      <c r="CL132" s="21">
        <f>EXP(-LN(2)/25)*CL131+(1-EXP(-LN(2)/25))/(LN(2)/25)*Calculateur!CG132*Calculateur!CI132*VLOOKUP('Données projet'!$B$12,Paramètres!$A$1:$I$89,3,0)*0.475*44/12</f>
        <v>6.1909982521104414</v>
      </c>
      <c r="CM132" s="21">
        <f>EXP(-LN(2)/2)*CM131+(1-EXP(-LN(2)/2))/(LN(2)/2)*CG132*CJ132*VLOOKUP('Données projet'!$B$12,Paramètres!$A$1:$I$89,3,0)*0.475*44/12</f>
        <v>8.4035545288528224E-8</v>
      </c>
      <c r="CN132" s="22">
        <f t="shared" ref="CN132:CN153" si="120">SUM(CK132:CM132)</f>
        <v>28.051526486222659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1">
        <f t="shared" ref="D133:D196" si="140">IFERROR(EXP(-1.0587+0.8836*LN(C133)+0.284),0)</f>
        <v>25.843002723192335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67">
        <f t="shared" si="110"/>
        <v>504.35192974289276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229</v>
      </c>
      <c r="O133" s="13">
        <f>N133*VLOOKUP('Données projet'!$B$9,Paramètres!$A$1:$I$89,3,0)*VLOOKUP('Données projet'!$B$9,Paramètres!$A$1:$I$89,5,0)</f>
        <v>136.94200000000001</v>
      </c>
      <c r="P133" s="13">
        <f t="shared" ref="P133:P196" si="141">EXP(-1.0587+0.8836*LN(O133)+0.284)</f>
        <v>35.595562742420903</v>
      </c>
      <c r="Q133" s="20">
        <f t="shared" si="108"/>
        <v>300.50292177638306</v>
      </c>
      <c r="R133" s="59">
        <f t="shared" si="109"/>
        <v>593.83625510971638</v>
      </c>
      <c r="S133" s="59">
        <f ca="1">AVERAGE(OFFSET($R$3,0,0,'Données projet'!$E$9+1,1))-AVERAGE(OFFSET($H$3,0,0,'Données projet'!$E$9+1,1))</f>
        <v>125.14227069357082</v>
      </c>
      <c r="T133" s="59">
        <f t="shared" ref="T133:T196" si="142">$T$3</f>
        <v>193.39407925063165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5.3901733740531519</v>
      </c>
      <c r="AA133" s="21">
        <f>EXP(-LN(2)/25)*AA132+(1-EXP(-LN(2)/25))/(LN(2)/25)*Calculateur!V133*Calculateur!X133*VLOOKUP('Données projet'!$B$9,Paramètres!$A$1:$I$89,3,0)*0.475*44/12</f>
        <v>1.8699411158811536</v>
      </c>
      <c r="AB133" s="21">
        <f>EXP(-LN(2)/2)*AB132+(1-EXP(-LN(2)/2))/(LN(2)/2)*V133*Y133*VLOOKUP('Données projet'!$B$9,Paramètres!$A$1:$I$89,3,0)*0.475*44/12</f>
        <v>4.3191613001192771E-11</v>
      </c>
      <c r="AC133" s="22">
        <f t="shared" si="111"/>
        <v>7.2601144899774965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-5.999999999994543E-2</v>
      </c>
      <c r="AJ133" s="13">
        <f>AI133*VLOOKUP('Données projet'!$B$10,Paramètres!$A$1:$I$89,3,0)*VLOOKUP('Données projet'!$B$10,Paramètres!$A$1:$I$89,5,0)</f>
        <v>-2.8079999999974462E-2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74.573470247551825</v>
      </c>
      <c r="AO133" s="59">
        <f t="shared" ref="AO133:AO196" si="144">$AO$3</f>
        <v>122.43655207772224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18.229738308574277</v>
      </c>
      <c r="AV133" s="21">
        <f>EXP(-LN(2)/25)*AV132+(1-EXP(-LN(2)/25))/(LN(2)/25)*Calculateur!AQ133*Calculateur!AS133*VLOOKUP('Données projet'!$B$10,Paramètres!$A$1:$I$89,3,0)*0.475*44/12</f>
        <v>4.7637401707206068</v>
      </c>
      <c r="AW133" s="21">
        <f>EXP(-LN(2)/2)*AW132+(1-EXP(-LN(2)/2))/(LN(2)/2)*AQ133*AT133*VLOOKUP('Données projet'!$B$10,Paramètres!$A$1:$I$89,3,0)*0.475*44/12</f>
        <v>1.2629559279073325E-9</v>
      </c>
      <c r="AX133" s="21">
        <f t="shared" si="114"/>
        <v>22.993478480557837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220</v>
      </c>
      <c r="BB133" s="12">
        <f>VLOOKUP(A133,'Données projet'!$A$87:$I$107,9,0)</f>
        <v>2.2000000000000002</v>
      </c>
      <c r="BC133" s="12">
        <f t="array" ref="BC133">INDEX(BB:BB,MIN(IF(ISNUMBER(BB133:BB329),ROW(BB133:BB329),"")))</f>
        <v>2.2000000000000002</v>
      </c>
      <c r="BD133" s="12">
        <f>IF('Données projet'!$A$88&gt;35,BD132+BC133-BL132,IF(A133&lt;'Données projet'!$A$88,$BA$205^A133,IF(A133='Données projet'!$A$88,'Données projet'!$B$88,BD132+BC133-BL132)))</f>
        <v>219.99999999999977</v>
      </c>
      <c r="BE133" s="13">
        <f>BD133*VLOOKUP('Données projet'!$B$11,Paramètres!$A$1:$I$89,3,0)*VLOOKUP('Données projet'!$B$11,Paramètres!$A$1:$I$89,5,0)</f>
        <v>223.07999999999979</v>
      </c>
      <c r="BF133" s="13">
        <f t="shared" ref="BF133:BF153" si="145">EXP(-1.0587+0.8836*LN(BE133)+0.284)</f>
        <v>54.783765878062617</v>
      </c>
      <c r="BG133" s="20">
        <f t="shared" si="115"/>
        <v>483.94605890429199</v>
      </c>
      <c r="BH133" s="59">
        <f t="shared" si="116"/>
        <v>777.2793922376253</v>
      </c>
      <c r="BI133" s="59">
        <f ca="1">AVERAGE(OFFSET($BH$3,0,0,'Données projet'!$E$11+1,1))-AVERAGE(OFFSET($H$3,0,0,'Données projet'!$E$11+1,1))</f>
        <v>183.74583738362492</v>
      </c>
      <c r="BJ133" s="59">
        <f t="shared" ref="BJ133:BJ196" si="146">$BJ$3</f>
        <v>46.344307013926596</v>
      </c>
      <c r="BK133" s="15">
        <f>IF(ISNA(VLOOKUP(A133,'Données projet'!$A$87:$I$107,3,0)),0,VLOOKUP(A133,'Données projet'!$A$87:$I$107,3,0))</f>
        <v>20</v>
      </c>
      <c r="BL133" s="15">
        <f>IF(ISNA(VLOOKUP(A133,'Données projet'!$A$87:$I$107,4,0)),0,VLOOKUP(A133,'Données projet'!$A$87:$I$107,4,0))</f>
        <v>10</v>
      </c>
      <c r="BM133" s="16">
        <f>IF(ISNA(VLOOKUP(A133,'Données projet'!$A$87:$I$107,5,0)),0%,VLOOKUP(A133,'Données projet'!$A$87:$I$107,5,0)*VLOOKUP('Données projet'!$B$11,Paramètres!$A$1:$I$89,7,0))</f>
        <v>0.34400000000000003</v>
      </c>
      <c r="BN133" s="16">
        <f>IF(ISNA(VLOOKUP(A133,'Données projet'!$A$87:$I$107,6,0)),0%,VLOOKUP(A133,'Données projet'!$A$87:$I$107,6,0)*VLOOKUP('Données projet'!$B$11,Paramètres!$A$1:$I$89,7,0))</f>
        <v>1.72E-2</v>
      </c>
      <c r="BO133" s="16">
        <f>IF(ISNA(VLOOKUP(A133,'Données projet'!$A$87:$I$107,7,0)),0%,VLOOKUP(A133,'Données projet'!$A$87:$I$107,7,0))</f>
        <v>0.06</v>
      </c>
      <c r="BP133" s="21">
        <f>EXP(-LN(2)/35)*BP132+(1-EXP(-LN(2)/35))/(LN(2)/35)*BL133*BM133*VLOOKUP('Données projet'!$B$11,Paramètres!$A$1:$I$89,3,0)*0.475*44/12</f>
        <v>42.161856600100414</v>
      </c>
      <c r="BQ133" s="21">
        <f>EXP(-LN(2)/25)*BQ132+(1-EXP(-LN(2)/25))/(LN(2)/25)*Calculateur!BL133*Calculateur!BN133*VLOOKUP('Données projet'!$B$11,Paramètres!$A$1:$I$89,3,0)*0.475*44/12</f>
        <v>1.7806200099622562</v>
      </c>
      <c r="BR133" s="21">
        <f>EXP(-LN(2)/2)*BR132+(1-EXP(-LN(2)/2))/(LN(2)/2)*BL133*BO133*VLOOKUP('Données projet'!$B$11,Paramètres!$A$1:$I$89,3,0)*0.475*44/12</f>
        <v>0.71221307632264819</v>
      </c>
      <c r="BS133" s="22">
        <f t="shared" si="117"/>
        <v>44.654689686385318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789.00000000000045</v>
      </c>
      <c r="BZ133" s="13">
        <f>BY133*VLOOKUP('Données projet'!$B$12,Paramètres!$A$1:$I$89,3,0)*VLOOKUP('Données projet'!$B$12,Paramètres!$A$1:$I$89,5,0)</f>
        <v>348.73800000000023</v>
      </c>
      <c r="CA133" s="13">
        <f t="shared" ref="CA133:CA153" si="147">EXP(-1.0587+0.8836*LN(BZ133)+0.284)</f>
        <v>81.302597726165047</v>
      </c>
      <c r="CB133" s="20">
        <f t="shared" si="118"/>
        <v>748.98737437307125</v>
      </c>
      <c r="CC133" s="59">
        <f t="shared" si="119"/>
        <v>1042.3207077064046</v>
      </c>
      <c r="CD133" s="59">
        <f ca="1">AVERAGE(OFFSET($CC$3,0,0,'Données projet'!$E$12+1,1))-AVERAGE(OFFSET($H$3,0,0,'Données projet'!$E$12+1,1))</f>
        <v>333.00091572040611</v>
      </c>
      <c r="CE133" s="59">
        <f t="shared" ref="CE133:CE196" si="148">$CE$3</f>
        <v>267.06874181561398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21.43185652665926</v>
      </c>
      <c r="CL133" s="21">
        <f>EXP(-LN(2)/25)*CL132+(1-EXP(-LN(2)/25))/(LN(2)/25)*Calculateur!CG133*Calculateur!CI133*VLOOKUP('Données projet'!$B$12,Paramètres!$A$1:$I$89,3,0)*0.475*44/12</f>
        <v>6.0217050793360327</v>
      </c>
      <c r="CM133" s="21">
        <f>EXP(-LN(2)/2)*CM132+(1-EXP(-LN(2)/2))/(LN(2)/2)*CG133*CJ133*VLOOKUP('Données projet'!$B$12,Paramètres!$A$1:$I$89,3,0)*0.475*44/12</f>
        <v>5.9422103934227535E-8</v>
      </c>
      <c r="CN133" s="22">
        <f t="shared" si="120"/>
        <v>27.453561665417396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1">
        <f t="shared" si="140"/>
        <v>26.018577210521507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67">
        <f t="shared" si="110"/>
        <v>505.93471197499105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229</v>
      </c>
      <c r="O134" s="13">
        <f>N134*VLOOKUP('Données projet'!$B$9,Paramètres!$A$1:$I$89,3,0)*VLOOKUP('Données projet'!$B$9,Paramètres!$A$1:$I$89,5,0)</f>
        <v>136.94200000000001</v>
      </c>
      <c r="P134" s="13">
        <f t="shared" si="141"/>
        <v>35.595562742420903</v>
      </c>
      <c r="Q134" s="20">
        <f t="shared" si="108"/>
        <v>300.50292177638306</v>
      </c>
      <c r="R134" s="59">
        <f t="shared" si="109"/>
        <v>593.83625510971638</v>
      </c>
      <c r="S134" s="59">
        <f ca="1">AVERAGE(OFFSET($R$3,0,0,'Données projet'!$E$9+1,1))-AVERAGE(OFFSET($H$3,0,0,'Données projet'!$E$9+1,1))</f>
        <v>125.14227069357082</v>
      </c>
      <c r="T134" s="59">
        <f t="shared" si="142"/>
        <v>193.39407925063165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5.2844753618690961</v>
      </c>
      <c r="AA134" s="21">
        <f>EXP(-LN(2)/25)*AA133+(1-EXP(-LN(2)/25))/(LN(2)/25)*Calculateur!V134*Calculateur!X134*VLOOKUP('Données projet'!$B$9,Paramètres!$A$1:$I$89,3,0)*0.475*44/12</f>
        <v>1.818807477731454</v>
      </c>
      <c r="AB134" s="21">
        <f>EXP(-LN(2)/2)*AB133+(1-EXP(-LN(2)/2))/(LN(2)/2)*V134*Y134*VLOOKUP('Données projet'!$B$9,Paramètres!$A$1:$I$89,3,0)*0.475*44/12</f>
        <v>3.0541082443528457E-11</v>
      </c>
      <c r="AC134" s="22">
        <f t="shared" si="111"/>
        <v>7.103282839631091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-5.999999999994543E-2</v>
      </c>
      <c r="AJ134" s="13">
        <f>AI134*VLOOKUP('Données projet'!$B$10,Paramètres!$A$1:$I$89,3,0)*VLOOKUP('Données projet'!$B$10,Paramètres!$A$1:$I$89,5,0)</f>
        <v>-2.8079999999974462E-2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74.573470247551825</v>
      </c>
      <c r="AO134" s="59">
        <f t="shared" si="144"/>
        <v>122.43655207772224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17.872264259385588</v>
      </c>
      <c r="AV134" s="21">
        <f>EXP(-LN(2)/25)*AV133+(1-EXP(-LN(2)/25))/(LN(2)/25)*Calculateur!AQ134*Calculateur!AS134*VLOOKUP('Données projet'!$B$10,Paramètres!$A$1:$I$89,3,0)*0.475*44/12</f>
        <v>4.6334754452380436</v>
      </c>
      <c r="AW134" s="21">
        <f>EXP(-LN(2)/2)*AW133+(1-EXP(-LN(2)/2))/(LN(2)/2)*AQ134*AT134*VLOOKUP('Données projet'!$B$10,Paramètres!$A$1:$I$89,3,0)*0.475*44/12</f>
        <v>8.9304470096302331E-10</v>
      </c>
      <c r="AX134" s="21">
        <f t="shared" si="114"/>
        <v>22.505739705516678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209.99999999999977</v>
      </c>
      <c r="BE134" s="13">
        <f>BD134*VLOOKUP('Données projet'!$B$11,Paramètres!$A$1:$I$89,3,0)*VLOOKUP('Données projet'!$B$11,Paramètres!$A$1:$I$89,5,0)</f>
        <v>212.9399999999998</v>
      </c>
      <c r="BF134" s="13">
        <f t="shared" si="145"/>
        <v>52.577528895212772</v>
      </c>
      <c r="BG134" s="20">
        <f t="shared" si="115"/>
        <v>462.44302949249521</v>
      </c>
      <c r="BH134" s="59">
        <f t="shared" si="116"/>
        <v>755.77636282582853</v>
      </c>
      <c r="BI134" s="59">
        <f ca="1">AVERAGE(OFFSET($BH$3,0,0,'Données projet'!$E$11+1,1))-AVERAGE(OFFSET($H$3,0,0,'Données projet'!$E$11+1,1))</f>
        <v>183.74583738362492</v>
      </c>
      <c r="BJ134" s="59">
        <f t="shared" si="146"/>
        <v>46.344307013926596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41.335088308365705</v>
      </c>
      <c r="BQ134" s="21">
        <f>EXP(-LN(2)/25)*BQ133+(1-EXP(-LN(2)/25))/(LN(2)/25)*Calculateur!BL134*Calculateur!BN134*VLOOKUP('Données projet'!$B$11,Paramètres!$A$1:$I$89,3,0)*0.475*44/12</f>
        <v>1.7319288621511018</v>
      </c>
      <c r="BR134" s="21">
        <f>EXP(-LN(2)/2)*BR133+(1-EXP(-LN(2)/2))/(LN(2)/2)*BL134*BO134*VLOOKUP('Données projet'!$B$11,Paramètres!$A$1:$I$89,3,0)*0.475*44/12</f>
        <v>0.50361069591747665</v>
      </c>
      <c r="BS134" s="22">
        <f t="shared" si="117"/>
        <v>43.570627866434279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789.00000000000045</v>
      </c>
      <c r="BZ134" s="13">
        <f>BY134*VLOOKUP('Données projet'!$B$12,Paramètres!$A$1:$I$89,3,0)*VLOOKUP('Données projet'!$B$12,Paramètres!$A$1:$I$89,5,0)</f>
        <v>348.73800000000023</v>
      </c>
      <c r="CA134" s="13">
        <f t="shared" si="147"/>
        <v>81.302597726165047</v>
      </c>
      <c r="CB134" s="20">
        <f t="shared" si="118"/>
        <v>748.98737437307125</v>
      </c>
      <c r="CC134" s="59">
        <f t="shared" si="119"/>
        <v>1042.3207077064046</v>
      </c>
      <c r="CD134" s="59">
        <f ca="1">AVERAGE(OFFSET($CC$3,0,0,'Données projet'!$E$12+1,1))-AVERAGE(OFFSET($H$3,0,0,'Données projet'!$E$12+1,1))</f>
        <v>333.00091572040611</v>
      </c>
      <c r="CE134" s="59">
        <f t="shared" si="148"/>
        <v>267.06874181561398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21.011590892313187</v>
      </c>
      <c r="CL134" s="21">
        <f>EXP(-LN(2)/25)*CL133+(1-EXP(-LN(2)/25))/(LN(2)/25)*Calculateur!CG134*Calculateur!CI134*VLOOKUP('Données projet'!$B$12,Paramètres!$A$1:$I$89,3,0)*0.475*44/12</f>
        <v>5.8570412372738812</v>
      </c>
      <c r="CM134" s="21">
        <f>EXP(-LN(2)/2)*CM133+(1-EXP(-LN(2)/2))/(LN(2)/2)*CG134*CJ134*VLOOKUP('Données projet'!$B$12,Paramètres!$A$1:$I$89,3,0)*0.475*44/12</f>
        <v>4.2017772644264118E-8</v>
      </c>
      <c r="CN134" s="22">
        <f t="shared" si="120"/>
        <v>26.868632171604844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1">
        <f t="shared" si="140"/>
        <v>26.193995758894371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67">
        <f t="shared" si="110"/>
        <v>507.51722261340717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229</v>
      </c>
      <c r="O135" s="13">
        <f>N135*VLOOKUP('Données projet'!$B$9,Paramètres!$A$1:$I$89,3,0)*VLOOKUP('Données projet'!$B$9,Paramètres!$A$1:$I$89,5,0)</f>
        <v>136.94200000000001</v>
      </c>
      <c r="P135" s="13">
        <f t="shared" si="141"/>
        <v>35.595562742420903</v>
      </c>
      <c r="Q135" s="20">
        <f t="shared" si="108"/>
        <v>300.50292177638306</v>
      </c>
      <c r="R135" s="59">
        <f t="shared" si="109"/>
        <v>593.83625510971638</v>
      </c>
      <c r="S135" s="59">
        <f ca="1">AVERAGE(OFFSET($R$3,0,0,'Données projet'!$E$9+1,1))-AVERAGE(OFFSET($H$3,0,0,'Données projet'!$E$9+1,1))</f>
        <v>125.14227069357082</v>
      </c>
      <c r="T135" s="59">
        <f t="shared" si="142"/>
        <v>193.39407925063165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5.180850023234548</v>
      </c>
      <c r="AA135" s="21">
        <f>EXP(-LN(2)/25)*AA134+(1-EXP(-LN(2)/25))/(LN(2)/25)*Calculateur!V135*Calculateur!X135*VLOOKUP('Données projet'!$B$9,Paramètres!$A$1:$I$89,3,0)*0.475*44/12</f>
        <v>1.769072091605959</v>
      </c>
      <c r="AB135" s="21">
        <f>EXP(-LN(2)/2)*AB134+(1-EXP(-LN(2)/2))/(LN(2)/2)*V135*Y135*VLOOKUP('Données projet'!$B$9,Paramètres!$A$1:$I$89,3,0)*0.475*44/12</f>
        <v>2.1595806500596385E-11</v>
      </c>
      <c r="AC135" s="22">
        <f t="shared" si="111"/>
        <v>6.9499221148621029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-5.999999999994543E-2</v>
      </c>
      <c r="AJ135" s="13">
        <f>AI135*VLOOKUP('Données projet'!$B$10,Paramètres!$A$1:$I$89,3,0)*VLOOKUP('Données projet'!$B$10,Paramètres!$A$1:$I$89,5,0)</f>
        <v>-2.8079999999974462E-2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74.573470247551825</v>
      </c>
      <c r="AO135" s="59">
        <f t="shared" si="144"/>
        <v>122.43655207772224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17.52180005826385</v>
      </c>
      <c r="AV135" s="21">
        <f>EXP(-LN(2)/25)*AV134+(1-EXP(-LN(2)/25))/(LN(2)/25)*Calculateur!AQ135*Calculateur!AS135*VLOOKUP('Données projet'!$B$10,Paramètres!$A$1:$I$89,3,0)*0.475*44/12</f>
        <v>4.5067728155241253</v>
      </c>
      <c r="AW135" s="21">
        <f>EXP(-LN(2)/2)*AW134+(1-EXP(-LN(2)/2))/(LN(2)/2)*AQ135*AT135*VLOOKUP('Données projet'!$B$10,Paramètres!$A$1:$I$89,3,0)*0.475*44/12</f>
        <v>6.3147796395366637E-10</v>
      </c>
      <c r="AX135" s="21">
        <f t="shared" si="114"/>
        <v>22.028572874419453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209.99999999999977</v>
      </c>
      <c r="BE135" s="13">
        <f>BD135*VLOOKUP('Données projet'!$B$11,Paramètres!$A$1:$I$89,3,0)*VLOOKUP('Données projet'!$B$11,Paramètres!$A$1:$I$89,5,0)</f>
        <v>212.9399999999998</v>
      </c>
      <c r="BF135" s="13">
        <f t="shared" si="145"/>
        <v>52.577528895212772</v>
      </c>
      <c r="BG135" s="20">
        <f t="shared" si="115"/>
        <v>462.44302949249521</v>
      </c>
      <c r="BH135" s="59">
        <f t="shared" si="116"/>
        <v>755.77636282582853</v>
      </c>
      <c r="BI135" s="59">
        <f ca="1">AVERAGE(OFFSET($BH$3,0,0,'Données projet'!$E$11+1,1))-AVERAGE(OFFSET($H$3,0,0,'Données projet'!$E$11+1,1))</f>
        <v>183.74583738362492</v>
      </c>
      <c r="BJ135" s="59">
        <f t="shared" si="146"/>
        <v>46.344307013926596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40.524532438553052</v>
      </c>
      <c r="BQ135" s="21">
        <f>EXP(-LN(2)/25)*BQ134+(1-EXP(-LN(2)/25))/(LN(2)/25)*Calculateur!BL135*Calculateur!BN135*VLOOKUP('Données projet'!$B$11,Paramètres!$A$1:$I$89,3,0)*0.475*44/12</f>
        <v>1.6845691763373993</v>
      </c>
      <c r="BR135" s="21">
        <f>EXP(-LN(2)/2)*BR134+(1-EXP(-LN(2)/2))/(LN(2)/2)*BL135*BO135*VLOOKUP('Données projet'!$B$11,Paramètres!$A$1:$I$89,3,0)*0.475*44/12</f>
        <v>0.35610653816132409</v>
      </c>
      <c r="BS135" s="22">
        <f t="shared" si="117"/>
        <v>42.565208153051778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789.00000000000045</v>
      </c>
      <c r="BZ135" s="13">
        <f>BY135*VLOOKUP('Données projet'!$B$12,Paramètres!$A$1:$I$89,3,0)*VLOOKUP('Données projet'!$B$12,Paramètres!$A$1:$I$89,5,0)</f>
        <v>348.73800000000023</v>
      </c>
      <c r="CA135" s="13">
        <f t="shared" si="147"/>
        <v>81.302597726165047</v>
      </c>
      <c r="CB135" s="20">
        <f t="shared" si="118"/>
        <v>748.98737437307125</v>
      </c>
      <c r="CC135" s="59">
        <f t="shared" si="119"/>
        <v>1042.3207077064046</v>
      </c>
      <c r="CD135" s="59">
        <f ca="1">AVERAGE(OFFSET($CC$3,0,0,'Données projet'!$E$12+1,1))-AVERAGE(OFFSET($H$3,0,0,'Données projet'!$E$12+1,1))</f>
        <v>333.00091572040611</v>
      </c>
      <c r="CE135" s="59">
        <f t="shared" si="148"/>
        <v>267.06874181561398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20.599566410719913</v>
      </c>
      <c r="CL135" s="21">
        <f>EXP(-LN(2)/25)*CL134+(1-EXP(-LN(2)/25))/(LN(2)/25)*Calculateur!CG135*Calculateur!CI135*VLOOKUP('Données projet'!$B$12,Paramètres!$A$1:$I$89,3,0)*0.475*44/12</f>
        <v>5.696880136632215</v>
      </c>
      <c r="CM135" s="21">
        <f>EXP(-LN(2)/2)*CM134+(1-EXP(-LN(2)/2))/(LN(2)/2)*CG135*CJ135*VLOOKUP('Données projet'!$B$12,Paramètres!$A$1:$I$89,3,0)*0.475*44/12</f>
        <v>2.9711051967113771E-8</v>
      </c>
      <c r="CN135" s="22">
        <f t="shared" si="120"/>
        <v>26.296446577063179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1">
        <f t="shared" si="140"/>
        <v>26.369259686620403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67">
        <f t="shared" si="110"/>
        <v>509.09946395419666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229</v>
      </c>
      <c r="O136" s="13">
        <f>N136*VLOOKUP('Données projet'!$B$9,Paramètres!$A$1:$I$89,3,0)*VLOOKUP('Données projet'!$B$9,Paramètres!$A$1:$I$89,5,0)</f>
        <v>136.94200000000001</v>
      </c>
      <c r="P136" s="13">
        <f t="shared" si="141"/>
        <v>35.595562742420903</v>
      </c>
      <c r="Q136" s="20">
        <f t="shared" si="108"/>
        <v>300.50292177638306</v>
      </c>
      <c r="R136" s="59">
        <f t="shared" si="109"/>
        <v>593.83625510971638</v>
      </c>
      <c r="S136" s="59">
        <f ca="1">AVERAGE(OFFSET($R$3,0,0,'Données projet'!$E$9+1,1))-AVERAGE(OFFSET($H$3,0,0,'Données projet'!$E$9+1,1))</f>
        <v>125.14227069357082</v>
      </c>
      <c r="T136" s="59">
        <f t="shared" si="142"/>
        <v>193.39407925063165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5.0792567142854077</v>
      </c>
      <c r="AA136" s="21">
        <f>EXP(-LN(2)/25)*AA135+(1-EXP(-LN(2)/25))/(LN(2)/25)*Calculateur!V136*Calculateur!X136*VLOOKUP('Données projet'!$B$9,Paramètres!$A$1:$I$89,3,0)*0.475*44/12</f>
        <v>1.720696722229536</v>
      </c>
      <c r="AB136" s="21">
        <f>EXP(-LN(2)/2)*AB135+(1-EXP(-LN(2)/2))/(LN(2)/2)*V136*Y136*VLOOKUP('Données projet'!$B$9,Paramètres!$A$1:$I$89,3,0)*0.475*44/12</f>
        <v>1.5270541221764229E-11</v>
      </c>
      <c r="AC136" s="22">
        <f t="shared" si="111"/>
        <v>6.7999534365302141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-5.999999999994543E-2</v>
      </c>
      <c r="AJ136" s="13">
        <f>AI136*VLOOKUP('Données projet'!$B$10,Paramètres!$A$1:$I$89,3,0)*VLOOKUP('Données projet'!$B$10,Paramètres!$A$1:$I$89,5,0)</f>
        <v>-2.8079999999974462E-2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74.573470247551825</v>
      </c>
      <c r="AO136" s="59">
        <f t="shared" si="144"/>
        <v>122.43655207772224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17.178208246364054</v>
      </c>
      <c r="AV136" s="21">
        <f>EXP(-LN(2)/25)*AV135+(1-EXP(-LN(2)/25))/(LN(2)/25)*Calculateur!AQ136*Calculateur!AS136*VLOOKUP('Données projet'!$B$10,Paramètres!$A$1:$I$89,3,0)*0.475*44/12</f>
        <v>4.3835348758827362</v>
      </c>
      <c r="AW136" s="21">
        <f>EXP(-LN(2)/2)*AW135+(1-EXP(-LN(2)/2))/(LN(2)/2)*AQ136*AT136*VLOOKUP('Données projet'!$B$10,Paramètres!$A$1:$I$89,3,0)*0.475*44/12</f>
        <v>4.4652235048151176E-10</v>
      </c>
      <c r="AX136" s="21">
        <f t="shared" si="114"/>
        <v>21.561743122693311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209.99999999999977</v>
      </c>
      <c r="BE136" s="13">
        <f>BD136*VLOOKUP('Données projet'!$B$11,Paramètres!$A$1:$I$89,3,0)*VLOOKUP('Données projet'!$B$11,Paramètres!$A$1:$I$89,5,0)</f>
        <v>212.9399999999998</v>
      </c>
      <c r="BF136" s="13">
        <f t="shared" si="145"/>
        <v>52.577528895212772</v>
      </c>
      <c r="BG136" s="20">
        <f t="shared" si="115"/>
        <v>462.44302949249521</v>
      </c>
      <c r="BH136" s="59">
        <f t="shared" si="116"/>
        <v>755.77636282582853</v>
      </c>
      <c r="BI136" s="59">
        <f ca="1">AVERAGE(OFFSET($BH$3,0,0,'Données projet'!$E$11+1,1))-AVERAGE(OFFSET($H$3,0,0,'Données projet'!$E$11+1,1))</f>
        <v>183.74583738362492</v>
      </c>
      <c r="BJ136" s="59">
        <f t="shared" si="146"/>
        <v>46.344307013926596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39.72987107495716</v>
      </c>
      <c r="BQ136" s="21">
        <f>EXP(-LN(2)/25)*BQ135+(1-EXP(-LN(2)/25))/(LN(2)/25)*Calculateur!BL136*Calculateur!BN136*VLOOKUP('Données projet'!$B$11,Paramètres!$A$1:$I$89,3,0)*0.475*44/12</f>
        <v>1.6385045436228103</v>
      </c>
      <c r="BR136" s="21">
        <f>EXP(-LN(2)/2)*BR135+(1-EXP(-LN(2)/2))/(LN(2)/2)*BL136*BO136*VLOOKUP('Données projet'!$B$11,Paramètres!$A$1:$I$89,3,0)*0.475*44/12</f>
        <v>0.25180534795873832</v>
      </c>
      <c r="BS136" s="22">
        <f t="shared" si="117"/>
        <v>41.620180966538705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789.00000000000045</v>
      </c>
      <c r="BZ136" s="13">
        <f>BY136*VLOOKUP('Données projet'!$B$12,Paramètres!$A$1:$I$89,3,0)*VLOOKUP('Données projet'!$B$12,Paramètres!$A$1:$I$89,5,0)</f>
        <v>348.73800000000023</v>
      </c>
      <c r="CA136" s="13">
        <f t="shared" si="147"/>
        <v>81.302597726165047</v>
      </c>
      <c r="CB136" s="20">
        <f t="shared" si="118"/>
        <v>748.98737437307125</v>
      </c>
      <c r="CC136" s="59">
        <f t="shared" si="119"/>
        <v>1042.3207077064046</v>
      </c>
      <c r="CD136" s="59">
        <f ca="1">AVERAGE(OFFSET($CC$3,0,0,'Données projet'!$E$12+1,1))-AVERAGE(OFFSET($H$3,0,0,'Données projet'!$E$12+1,1))</f>
        <v>333.00091572040611</v>
      </c>
      <c r="CE136" s="59">
        <f t="shared" si="148"/>
        <v>267.06874181561398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20.195621477900566</v>
      </c>
      <c r="CL136" s="21">
        <f>EXP(-LN(2)/25)*CL135+(1-EXP(-LN(2)/25))/(LN(2)/25)*Calculateur!CG136*Calculateur!CI136*VLOOKUP('Données projet'!$B$12,Paramètres!$A$1:$I$89,3,0)*0.475*44/12</f>
        <v>5.5410986497101007</v>
      </c>
      <c r="CM136" s="21">
        <f>EXP(-LN(2)/2)*CM135+(1-EXP(-LN(2)/2))/(LN(2)/2)*CG136*CJ136*VLOOKUP('Données projet'!$B$12,Paramètres!$A$1:$I$89,3,0)*0.475*44/12</f>
        <v>2.1008886322132063E-8</v>
      </c>
      <c r="CN136" s="22">
        <f t="shared" si="120"/>
        <v>25.736720148619554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1">
        <f t="shared" si="140"/>
        <v>26.544370291039762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67">
        <f t="shared" si="110"/>
        <v>510.68143825689367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229</v>
      </c>
      <c r="O137" s="13">
        <f>N137*VLOOKUP('Données projet'!$B$9,Paramètres!$A$1:$I$89,3,0)*VLOOKUP('Données projet'!$B$9,Paramètres!$A$1:$I$89,5,0)</f>
        <v>136.94200000000001</v>
      </c>
      <c r="P137" s="13">
        <f t="shared" si="141"/>
        <v>35.595562742420903</v>
      </c>
      <c r="Q137" s="20">
        <f t="shared" si="108"/>
        <v>300.50292177638306</v>
      </c>
      <c r="R137" s="59">
        <f t="shared" si="109"/>
        <v>593.83625510971638</v>
      </c>
      <c r="S137" s="59">
        <f ca="1">AVERAGE(OFFSET($R$3,0,0,'Données projet'!$E$9+1,1))-AVERAGE(OFFSET($H$3,0,0,'Données projet'!$E$9+1,1))</f>
        <v>125.14227069357082</v>
      </c>
      <c r="T137" s="59">
        <f t="shared" si="142"/>
        <v>193.39407925063165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4.9796555881589608</v>
      </c>
      <c r="AA137" s="21">
        <f>EXP(-LN(2)/25)*AA136+(1-EXP(-LN(2)/25))/(LN(2)/25)*Calculateur!V137*Calculateur!X137*VLOOKUP('Données projet'!$B$9,Paramètres!$A$1:$I$89,3,0)*0.475*44/12</f>
        <v>1.6736441798726613</v>
      </c>
      <c r="AB137" s="21">
        <f>EXP(-LN(2)/2)*AB136+(1-EXP(-LN(2)/2))/(LN(2)/2)*V137*Y137*VLOOKUP('Données projet'!$B$9,Paramètres!$A$1:$I$89,3,0)*0.475*44/12</f>
        <v>1.0797903250298193E-11</v>
      </c>
      <c r="AC137" s="22">
        <f t="shared" si="111"/>
        <v>6.6532997680424195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-5.999999999994543E-2</v>
      </c>
      <c r="AJ137" s="13">
        <f>AI137*VLOOKUP('Données projet'!$B$10,Paramètres!$A$1:$I$89,3,0)*VLOOKUP('Données projet'!$B$10,Paramètres!$A$1:$I$89,5,0)</f>
        <v>-2.8079999999974462E-2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74.573470247551825</v>
      </c>
      <c r="AO137" s="59">
        <f t="shared" si="144"/>
        <v>122.43655207772224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16.841354060325301</v>
      </c>
      <c r="AV137" s="21">
        <f>EXP(-LN(2)/25)*AV136+(1-EXP(-LN(2)/25))/(LN(2)/25)*Calculateur!AQ137*Calculateur!AS137*VLOOKUP('Données projet'!$B$10,Paramètres!$A$1:$I$89,3,0)*0.475*44/12</f>
        <v>4.2636668841816423</v>
      </c>
      <c r="AW137" s="21">
        <f>EXP(-LN(2)/2)*AW136+(1-EXP(-LN(2)/2))/(LN(2)/2)*AQ137*AT137*VLOOKUP('Données projet'!$B$10,Paramètres!$A$1:$I$89,3,0)*0.475*44/12</f>
        <v>3.1573898197683324E-10</v>
      </c>
      <c r="AX137" s="21">
        <f t="shared" si="114"/>
        <v>21.105020944822684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209.99999999999977</v>
      </c>
      <c r="BE137" s="13">
        <f>BD137*VLOOKUP('Données projet'!$B$11,Paramètres!$A$1:$I$89,3,0)*VLOOKUP('Données projet'!$B$11,Paramètres!$A$1:$I$89,5,0)</f>
        <v>212.9399999999998</v>
      </c>
      <c r="BF137" s="13">
        <f t="shared" si="145"/>
        <v>52.577528895212772</v>
      </c>
      <c r="BG137" s="20">
        <f t="shared" si="115"/>
        <v>462.44302949249521</v>
      </c>
      <c r="BH137" s="59">
        <f t="shared" si="116"/>
        <v>755.77636282582853</v>
      </c>
      <c r="BI137" s="59">
        <f ca="1">AVERAGE(OFFSET($BH$3,0,0,'Données projet'!$E$11+1,1))-AVERAGE(OFFSET($H$3,0,0,'Données projet'!$E$11+1,1))</f>
        <v>183.74583738362492</v>
      </c>
      <c r="BJ137" s="59">
        <f t="shared" si="146"/>
        <v>46.344307013926596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38.950792536005814</v>
      </c>
      <c r="BQ137" s="21">
        <f>EXP(-LN(2)/25)*BQ136+(1-EXP(-LN(2)/25))/(LN(2)/25)*Calculateur!BL137*Calculateur!BN137*VLOOKUP('Données projet'!$B$11,Paramètres!$A$1:$I$89,3,0)*0.475*44/12</f>
        <v>1.5936995507122353</v>
      </c>
      <c r="BR137" s="21">
        <f>EXP(-LN(2)/2)*BR136+(1-EXP(-LN(2)/2))/(LN(2)/2)*BL137*BO137*VLOOKUP('Données projet'!$B$11,Paramètres!$A$1:$I$89,3,0)*0.475*44/12</f>
        <v>0.17805326908066205</v>
      </c>
      <c r="BS137" s="22">
        <f t="shared" si="117"/>
        <v>40.722545355798715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789.00000000000045</v>
      </c>
      <c r="BZ137" s="13">
        <f>BY137*VLOOKUP('Données projet'!$B$12,Paramètres!$A$1:$I$89,3,0)*VLOOKUP('Données projet'!$B$12,Paramètres!$A$1:$I$89,5,0)</f>
        <v>348.73800000000023</v>
      </c>
      <c r="CA137" s="13">
        <f t="shared" si="147"/>
        <v>81.302597726165047</v>
      </c>
      <c r="CB137" s="20">
        <f t="shared" si="118"/>
        <v>748.98737437307125</v>
      </c>
      <c r="CC137" s="59">
        <f t="shared" si="119"/>
        <v>1042.3207077064046</v>
      </c>
      <c r="CD137" s="59">
        <f ca="1">AVERAGE(OFFSET($CC$3,0,0,'Données projet'!$E$12+1,1))-AVERAGE(OFFSET($H$3,0,0,'Données projet'!$E$12+1,1))</f>
        <v>333.00091572040611</v>
      </c>
      <c r="CE137" s="59">
        <f t="shared" si="148"/>
        <v>267.06874181561398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19.799597658831726</v>
      </c>
      <c r="CL137" s="21">
        <f>EXP(-LN(2)/25)*CL136+(1-EXP(-LN(2)/25))/(LN(2)/25)*Calculateur!CG137*Calculateur!CI137*VLOOKUP('Données projet'!$B$12,Paramètres!$A$1:$I$89,3,0)*0.475*44/12</f>
        <v>5.3895770157400644</v>
      </c>
      <c r="CM137" s="21">
        <f>EXP(-LN(2)/2)*CM136+(1-EXP(-LN(2)/2))/(LN(2)/2)*CG137*CJ137*VLOOKUP('Données projet'!$B$12,Paramètres!$A$1:$I$89,3,0)*0.475*44/12</f>
        <v>1.4855525983556889E-8</v>
      </c>
      <c r="CN137" s="22">
        <f t="shared" si="120"/>
        <v>25.189174689427315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1">
        <f t="shared" si="140"/>
        <v>26.719328849010672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67">
        <f t="shared" si="110"/>
        <v>512.26314774535967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229</v>
      </c>
      <c r="O138" s="13">
        <f>N138*VLOOKUP('Données projet'!$B$9,Paramètres!$A$1:$I$89,3,0)*VLOOKUP('Données projet'!$B$9,Paramètres!$A$1:$I$89,5,0)</f>
        <v>136.94200000000001</v>
      </c>
      <c r="P138" s="13">
        <f t="shared" si="141"/>
        <v>35.595562742420903</v>
      </c>
      <c r="Q138" s="20">
        <f t="shared" si="108"/>
        <v>300.50292177638306</v>
      </c>
      <c r="R138" s="59">
        <f t="shared" si="109"/>
        <v>593.83625510971638</v>
      </c>
      <c r="S138" s="59">
        <f ca="1">AVERAGE(OFFSET($R$3,0,0,'Données projet'!$E$9+1,1))-AVERAGE(OFFSET($H$3,0,0,'Données projet'!$E$9+1,1))</f>
        <v>125.14227069357082</v>
      </c>
      <c r="T138" s="59">
        <f t="shared" si="142"/>
        <v>193.39407925063165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4.8820075793651645</v>
      </c>
      <c r="AA138" s="21">
        <f>EXP(-LN(2)/25)*AA137+(1-EXP(-LN(2)/25))/(LN(2)/25)*Calculateur!V138*Calculateur!X138*VLOOKUP('Données projet'!$B$9,Paramètres!$A$1:$I$89,3,0)*0.475*44/12</f>
        <v>1.6278782917609211</v>
      </c>
      <c r="AB138" s="21">
        <f>EXP(-LN(2)/2)*AB137+(1-EXP(-LN(2)/2))/(LN(2)/2)*V138*Y138*VLOOKUP('Données projet'!$B$9,Paramètres!$A$1:$I$89,3,0)*0.475*44/12</f>
        <v>7.6352706108821143E-12</v>
      </c>
      <c r="AC138" s="22">
        <f t="shared" si="111"/>
        <v>6.5098858711337213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-5.999999999994543E-2</v>
      </c>
      <c r="AJ138" s="13">
        <f>AI138*VLOOKUP('Données projet'!$B$10,Paramètres!$A$1:$I$89,3,0)*VLOOKUP('Données projet'!$B$10,Paramètres!$A$1:$I$89,5,0)</f>
        <v>-2.8079999999974462E-2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74.573470247551825</v>
      </c>
      <c r="AO138" s="59">
        <f t="shared" si="144"/>
        <v>122.43655207772224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16.511105379414001</v>
      </c>
      <c r="AV138" s="21">
        <f>EXP(-LN(2)/25)*AV137+(1-EXP(-LN(2)/25))/(LN(2)/25)*Calculateur!AQ138*Calculateur!AS138*VLOOKUP('Données projet'!$B$10,Paramètres!$A$1:$I$89,3,0)*0.475*44/12</f>
        <v>4.1470766890171982</v>
      </c>
      <c r="AW138" s="21">
        <f>EXP(-LN(2)/2)*AW137+(1-EXP(-LN(2)/2))/(LN(2)/2)*AQ138*AT138*VLOOKUP('Données projet'!$B$10,Paramètres!$A$1:$I$89,3,0)*0.475*44/12</f>
        <v>2.2326117524075591E-10</v>
      </c>
      <c r="AX138" s="21">
        <f t="shared" si="114"/>
        <v>20.658182068654458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209.99999999999977</v>
      </c>
      <c r="BE138" s="13">
        <f>BD138*VLOOKUP('Données projet'!$B$11,Paramètres!$A$1:$I$89,3,0)*VLOOKUP('Données projet'!$B$11,Paramètres!$A$1:$I$89,5,0)</f>
        <v>212.9399999999998</v>
      </c>
      <c r="BF138" s="13">
        <f t="shared" si="145"/>
        <v>52.577528895212772</v>
      </c>
      <c r="BG138" s="20">
        <f t="shared" si="115"/>
        <v>462.44302949249521</v>
      </c>
      <c r="BH138" s="59">
        <f t="shared" si="116"/>
        <v>755.77636282582853</v>
      </c>
      <c r="BI138" s="59">
        <f ca="1">AVERAGE(OFFSET($BH$3,0,0,'Données projet'!$E$11+1,1))-AVERAGE(OFFSET($H$3,0,0,'Données projet'!$E$11+1,1))</f>
        <v>183.74583738362492</v>
      </c>
      <c r="BJ138" s="59">
        <f t="shared" si="146"/>
        <v>46.344307013926596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38.186991252012312</v>
      </c>
      <c r="BQ138" s="21">
        <f>EXP(-LN(2)/25)*BQ137+(1-EXP(-LN(2)/25))/(LN(2)/25)*Calculateur!BL138*Calculateur!BN138*VLOOKUP('Données projet'!$B$11,Paramètres!$A$1:$I$89,3,0)*0.475*44/12</f>
        <v>1.5501197526889923</v>
      </c>
      <c r="BR138" s="21">
        <f>EXP(-LN(2)/2)*BR137+(1-EXP(-LN(2)/2))/(LN(2)/2)*BL138*BO138*VLOOKUP('Données projet'!$B$11,Paramètres!$A$1:$I$89,3,0)*0.475*44/12</f>
        <v>0.12590267397936916</v>
      </c>
      <c r="BS138" s="22">
        <f t="shared" si="117"/>
        <v>39.863013678680673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789.00000000000045</v>
      </c>
      <c r="BZ138" s="13">
        <f>BY138*VLOOKUP('Données projet'!$B$12,Paramètres!$A$1:$I$89,3,0)*VLOOKUP('Données projet'!$B$12,Paramètres!$A$1:$I$89,5,0)</f>
        <v>348.73800000000023</v>
      </c>
      <c r="CA138" s="13">
        <f t="shared" si="147"/>
        <v>81.302597726165047</v>
      </c>
      <c r="CB138" s="20">
        <f t="shared" si="118"/>
        <v>748.98737437307125</v>
      </c>
      <c r="CC138" s="59">
        <f t="shared" si="119"/>
        <v>1042.3207077064046</v>
      </c>
      <c r="CD138" s="59">
        <f ca="1">AVERAGE(OFFSET($CC$3,0,0,'Données projet'!$E$12+1,1))-AVERAGE(OFFSET($H$3,0,0,'Données projet'!$E$12+1,1))</f>
        <v>333.00091572040611</v>
      </c>
      <c r="CE138" s="59">
        <f t="shared" si="148"/>
        <v>267.06874181561398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19.411339625304144</v>
      </c>
      <c r="CL138" s="21">
        <f>EXP(-LN(2)/25)*CL137+(1-EXP(-LN(2)/25))/(LN(2)/25)*Calculateur!CG138*Calculateur!CI138*VLOOKUP('Données projet'!$B$12,Paramètres!$A$1:$I$89,3,0)*0.475*44/12</f>
        <v>5.2421987488191153</v>
      </c>
      <c r="CM138" s="21">
        <f>EXP(-LN(2)/2)*CM137+(1-EXP(-LN(2)/2))/(LN(2)/2)*CG138*CJ138*VLOOKUP('Données projet'!$B$12,Paramètres!$A$1:$I$89,3,0)*0.475*44/12</f>
        <v>1.0504443161066033E-8</v>
      </c>
      <c r="CN138" s="22">
        <f t="shared" si="120"/>
        <v>24.653538384627701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1">
        <f t="shared" si="140"/>
        <v>26.894136617382109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67">
        <f t="shared" si="110"/>
        <v>513.8445946086066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229</v>
      </c>
      <c r="O139" s="13">
        <f>N139*VLOOKUP('Données projet'!$B$9,Paramètres!$A$1:$I$89,3,0)*VLOOKUP('Données projet'!$B$9,Paramètres!$A$1:$I$89,5,0)</f>
        <v>136.94200000000001</v>
      </c>
      <c r="P139" s="13">
        <f t="shared" si="141"/>
        <v>35.595562742420903</v>
      </c>
      <c r="Q139" s="20">
        <f t="shared" si="108"/>
        <v>300.50292177638306</v>
      </c>
      <c r="R139" s="59">
        <f t="shared" si="109"/>
        <v>593.83625510971638</v>
      </c>
      <c r="S139" s="59">
        <f ca="1">AVERAGE(OFFSET($R$3,0,0,'Données projet'!$E$9+1,1))-AVERAGE(OFFSET($H$3,0,0,'Données projet'!$E$9+1,1))</f>
        <v>125.14227069357082</v>
      </c>
      <c r="T139" s="59">
        <f t="shared" si="142"/>
        <v>193.39407925063165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4.7862743884644106</v>
      </c>
      <c r="AA139" s="21">
        <f>EXP(-LN(2)/25)*AA138+(1-EXP(-LN(2)/25))/(LN(2)/25)*Calculateur!V139*Calculateur!X139*VLOOKUP('Données projet'!$B$9,Paramètres!$A$1:$I$89,3,0)*0.475*44/12</f>
        <v>1.5833638742663199</v>
      </c>
      <c r="AB139" s="21">
        <f>EXP(-LN(2)/2)*AB138+(1-EXP(-LN(2)/2))/(LN(2)/2)*V139*Y139*VLOOKUP('Données projet'!$B$9,Paramètres!$A$1:$I$89,3,0)*0.475*44/12</f>
        <v>5.3989516251490963E-12</v>
      </c>
      <c r="AC139" s="22">
        <f t="shared" si="111"/>
        <v>6.3696382627361299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-5.999999999994543E-2</v>
      </c>
      <c r="AJ139" s="13">
        <f>AI139*VLOOKUP('Données projet'!$B$10,Paramètres!$A$1:$I$89,3,0)*VLOOKUP('Données projet'!$B$10,Paramètres!$A$1:$I$89,5,0)</f>
        <v>-2.8079999999974462E-2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74.573470247551825</v>
      </c>
      <c r="AO139" s="59">
        <f t="shared" si="144"/>
        <v>122.43655207772224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16.187332673703565</v>
      </c>
      <c r="AV139" s="21">
        <f>EXP(-LN(2)/25)*AV138+(1-EXP(-LN(2)/25))/(LN(2)/25)*Calculateur!AQ139*Calculateur!AS139*VLOOKUP('Données projet'!$B$10,Paramètres!$A$1:$I$89,3,0)*0.475*44/12</f>
        <v>4.033674658870738</v>
      </c>
      <c r="AW139" s="21">
        <f>EXP(-LN(2)/2)*AW138+(1-EXP(-LN(2)/2))/(LN(2)/2)*AQ139*AT139*VLOOKUP('Données projet'!$B$10,Paramètres!$A$1:$I$89,3,0)*0.475*44/12</f>
        <v>1.5786949098841664E-10</v>
      </c>
      <c r="AX139" s="21">
        <f t="shared" si="114"/>
        <v>20.221007332732171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209.99999999999977</v>
      </c>
      <c r="BE139" s="13">
        <f>BD139*VLOOKUP('Données projet'!$B$11,Paramètres!$A$1:$I$89,3,0)*VLOOKUP('Données projet'!$B$11,Paramètres!$A$1:$I$89,5,0)</f>
        <v>212.9399999999998</v>
      </c>
      <c r="BF139" s="13">
        <f t="shared" si="145"/>
        <v>52.577528895212772</v>
      </c>
      <c r="BG139" s="20">
        <f t="shared" si="115"/>
        <v>462.44302949249521</v>
      </c>
      <c r="BH139" s="59">
        <f t="shared" si="116"/>
        <v>755.77636282582853</v>
      </c>
      <c r="BI139" s="59">
        <f ca="1">AVERAGE(OFFSET($BH$3,0,0,'Données projet'!$E$11+1,1))-AVERAGE(OFFSET($H$3,0,0,'Données projet'!$E$11+1,1))</f>
        <v>183.74583738362492</v>
      </c>
      <c r="BJ139" s="59">
        <f t="shared" si="146"/>
        <v>46.344307013926596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37.438167645325144</v>
      </c>
      <c r="BQ139" s="21">
        <f>EXP(-LN(2)/25)*BQ138+(1-EXP(-LN(2)/25))/(LN(2)/25)*Calculateur!BL139*Calculateur!BN139*VLOOKUP('Données projet'!$B$11,Paramètres!$A$1:$I$89,3,0)*0.475*44/12</f>
        <v>1.5077316465344568</v>
      </c>
      <c r="BR139" s="21">
        <f>EXP(-LN(2)/2)*BR138+(1-EXP(-LN(2)/2))/(LN(2)/2)*BL139*BO139*VLOOKUP('Données projet'!$B$11,Paramètres!$A$1:$I$89,3,0)*0.475*44/12</f>
        <v>8.9026634540331023E-2</v>
      </c>
      <c r="BS139" s="22">
        <f t="shared" si="117"/>
        <v>39.034925926399936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789.00000000000045</v>
      </c>
      <c r="BZ139" s="13">
        <f>BY139*VLOOKUP('Données projet'!$B$12,Paramètres!$A$1:$I$89,3,0)*VLOOKUP('Données projet'!$B$12,Paramètres!$A$1:$I$89,5,0)</f>
        <v>348.73800000000023</v>
      </c>
      <c r="CA139" s="13">
        <f t="shared" si="147"/>
        <v>81.302597726165047</v>
      </c>
      <c r="CB139" s="20">
        <f t="shared" si="118"/>
        <v>748.98737437307125</v>
      </c>
      <c r="CC139" s="59">
        <f t="shared" si="119"/>
        <v>1042.3207077064046</v>
      </c>
      <c r="CD139" s="59">
        <f ca="1">AVERAGE(OFFSET($CC$3,0,0,'Données projet'!$E$12+1,1))-AVERAGE(OFFSET($H$3,0,0,'Données projet'!$E$12+1,1))</f>
        <v>333.00091572040611</v>
      </c>
      <c r="CE139" s="59">
        <f t="shared" si="148"/>
        <v>267.06874181561398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19.030695095000024</v>
      </c>
      <c r="CL139" s="21">
        <f>EXP(-LN(2)/25)*CL138+(1-EXP(-LN(2)/25))/(LN(2)/25)*Calculateur!CG139*Calculateur!CI139*VLOOKUP('Données projet'!$B$12,Paramètres!$A$1:$I$89,3,0)*0.475*44/12</f>
        <v>5.0988505483574054</v>
      </c>
      <c r="CM139" s="21">
        <f>EXP(-LN(2)/2)*CM138+(1-EXP(-LN(2)/2))/(LN(2)/2)*CG139*CJ139*VLOOKUP('Données projet'!$B$12,Paramètres!$A$1:$I$89,3,0)*0.475*44/12</f>
        <v>7.4277629917784452E-9</v>
      </c>
      <c r="CN139" s="22">
        <f t="shared" si="120"/>
        <v>24.12954565078519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1">
        <f t="shared" si="140"/>
        <v>27.068794833452092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67">
        <f t="shared" si="110"/>
        <v>515.42578100159517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229</v>
      </c>
      <c r="O140" s="13">
        <f>N140*VLOOKUP('Données projet'!$B$9,Paramètres!$A$1:$I$89,3,0)*VLOOKUP('Données projet'!$B$9,Paramètres!$A$1:$I$89,5,0)</f>
        <v>136.94200000000001</v>
      </c>
      <c r="P140" s="13">
        <f t="shared" si="141"/>
        <v>35.595562742420903</v>
      </c>
      <c r="Q140" s="20">
        <f t="shared" si="108"/>
        <v>300.50292177638306</v>
      </c>
      <c r="R140" s="59">
        <f t="shared" si="109"/>
        <v>593.83625510971638</v>
      </c>
      <c r="S140" s="59">
        <f ca="1">AVERAGE(OFFSET($R$3,0,0,'Données projet'!$E$9+1,1))-AVERAGE(OFFSET($H$3,0,0,'Données projet'!$E$9+1,1))</f>
        <v>125.14227069357082</v>
      </c>
      <c r="T140" s="59">
        <f t="shared" si="142"/>
        <v>193.39407925063165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4.6924184670457398</v>
      </c>
      <c r="AA140" s="21">
        <f>EXP(-LN(2)/25)*AA139+(1-EXP(-LN(2)/25))/(LN(2)/25)*Calculateur!V140*Calculateur!X140*VLOOKUP('Données projet'!$B$9,Paramètres!$A$1:$I$89,3,0)*0.475*44/12</f>
        <v>1.5400667058590201</v>
      </c>
      <c r="AB140" s="21">
        <f>EXP(-LN(2)/2)*AB139+(1-EXP(-LN(2)/2))/(LN(2)/2)*V140*Y140*VLOOKUP('Données projet'!$B$9,Paramètres!$A$1:$I$89,3,0)*0.475*44/12</f>
        <v>3.8176353054410571E-12</v>
      </c>
      <c r="AC140" s="22">
        <f t="shared" si="111"/>
        <v>6.2324851729085768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-5.999999999994543E-2</v>
      </c>
      <c r="AJ140" s="13">
        <f>AI140*VLOOKUP('Données projet'!$B$10,Paramètres!$A$1:$I$89,3,0)*VLOOKUP('Données projet'!$B$10,Paramètres!$A$1:$I$89,5,0)</f>
        <v>-2.8079999999974462E-2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74.573470247551825</v>
      </c>
      <c r="AO140" s="59">
        <f t="shared" si="144"/>
        <v>122.43655207772224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15.869908953270262</v>
      </c>
      <c r="AV140" s="21">
        <f>EXP(-LN(2)/25)*AV139+(1-EXP(-LN(2)/25))/(LN(2)/25)*Calculateur!AQ140*Calculateur!AS140*VLOOKUP('Données projet'!$B$10,Paramètres!$A$1:$I$89,3,0)*0.475*44/12</f>
        <v>3.9233736132021866</v>
      </c>
      <c r="AW140" s="21">
        <f>EXP(-LN(2)/2)*AW139+(1-EXP(-LN(2)/2))/(LN(2)/2)*AQ140*AT140*VLOOKUP('Données projet'!$B$10,Paramètres!$A$1:$I$89,3,0)*0.475*44/12</f>
        <v>1.1163058762037797E-10</v>
      </c>
      <c r="AX140" s="21">
        <f t="shared" si="114"/>
        <v>19.793282566584079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209.99999999999977</v>
      </c>
      <c r="BE140" s="13">
        <f>BD140*VLOOKUP('Données projet'!$B$11,Paramètres!$A$1:$I$89,3,0)*VLOOKUP('Données projet'!$B$11,Paramètres!$A$1:$I$89,5,0)</f>
        <v>212.9399999999998</v>
      </c>
      <c r="BF140" s="13">
        <f t="shared" si="145"/>
        <v>52.577528895212772</v>
      </c>
      <c r="BG140" s="20">
        <f t="shared" si="115"/>
        <v>462.44302949249521</v>
      </c>
      <c r="BH140" s="59">
        <f t="shared" si="116"/>
        <v>755.77636282582853</v>
      </c>
      <c r="BI140" s="59">
        <f ca="1">AVERAGE(OFFSET($BH$3,0,0,'Données projet'!$E$11+1,1))-AVERAGE(OFFSET($H$3,0,0,'Données projet'!$E$11+1,1))</f>
        <v>183.74583738362492</v>
      </c>
      <c r="BJ140" s="59">
        <f t="shared" si="146"/>
        <v>46.344307013926596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36.704028012827813</v>
      </c>
      <c r="BQ140" s="21">
        <f>EXP(-LN(2)/25)*BQ139+(1-EXP(-LN(2)/25))/(LN(2)/25)*Calculateur!BL140*Calculateur!BN140*VLOOKUP('Données projet'!$B$11,Paramètres!$A$1:$I$89,3,0)*0.475*44/12</f>
        <v>1.4665026453718109</v>
      </c>
      <c r="BR140" s="21">
        <f>EXP(-LN(2)/2)*BR139+(1-EXP(-LN(2)/2))/(LN(2)/2)*BL140*BO140*VLOOKUP('Données projet'!$B$11,Paramètres!$A$1:$I$89,3,0)*0.475*44/12</f>
        <v>6.2951336989684581E-2</v>
      </c>
      <c r="BS140" s="22">
        <f t="shared" si="117"/>
        <v>38.233481995189308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789.00000000000045</v>
      </c>
      <c r="BZ140" s="13">
        <f>BY140*VLOOKUP('Données projet'!$B$12,Paramètres!$A$1:$I$89,3,0)*VLOOKUP('Données projet'!$B$12,Paramètres!$A$1:$I$89,5,0)</f>
        <v>348.73800000000023</v>
      </c>
      <c r="CA140" s="13">
        <f t="shared" si="147"/>
        <v>81.302597726165047</v>
      </c>
      <c r="CB140" s="20">
        <f t="shared" si="118"/>
        <v>748.98737437307125</v>
      </c>
      <c r="CC140" s="59">
        <f t="shared" si="119"/>
        <v>1042.3207077064046</v>
      </c>
      <c r="CD140" s="59">
        <f ca="1">AVERAGE(OFFSET($CC$3,0,0,'Données projet'!$E$12+1,1))-AVERAGE(OFFSET($H$3,0,0,'Données projet'!$E$12+1,1))</f>
        <v>333.00091572040611</v>
      </c>
      <c r="CE140" s="59">
        <f t="shared" si="148"/>
        <v>267.06874181561398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18.657514771764927</v>
      </c>
      <c r="CL140" s="21">
        <f>EXP(-LN(2)/25)*CL139+(1-EXP(-LN(2)/25))/(LN(2)/25)*Calculateur!CG140*Calculateur!CI140*VLOOKUP('Données projet'!$B$12,Paramètres!$A$1:$I$89,3,0)*0.475*44/12</f>
        <v>4.9594222119756752</v>
      </c>
      <c r="CM140" s="21">
        <f>EXP(-LN(2)/2)*CM139+(1-EXP(-LN(2)/2))/(LN(2)/2)*CG140*CJ140*VLOOKUP('Données projet'!$B$12,Paramètres!$A$1:$I$89,3,0)*0.475*44/12</f>
        <v>5.2522215805330173E-9</v>
      </c>
      <c r="CN140" s="22">
        <f t="shared" si="120"/>
        <v>23.616936988992823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1">
        <f t="shared" si="140"/>
        <v>27.243304715412286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67">
        <f t="shared" si="110"/>
        <v>517.00670904600918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229</v>
      </c>
      <c r="O141" s="13">
        <f>N141*VLOOKUP('Données projet'!$B$9,Paramètres!$A$1:$I$89,3,0)*VLOOKUP('Données projet'!$B$9,Paramètres!$A$1:$I$89,5,0)</f>
        <v>136.94200000000001</v>
      </c>
      <c r="P141" s="13">
        <f t="shared" si="141"/>
        <v>35.595562742420903</v>
      </c>
      <c r="Q141" s="20">
        <f t="shared" si="108"/>
        <v>300.50292177638306</v>
      </c>
      <c r="R141" s="59">
        <f t="shared" si="109"/>
        <v>593.83625510971638</v>
      </c>
      <c r="S141" s="59">
        <f ca="1">AVERAGE(OFFSET($R$3,0,0,'Données projet'!$E$9+1,1))-AVERAGE(OFFSET($H$3,0,0,'Données projet'!$E$9+1,1))</f>
        <v>125.14227069357082</v>
      </c>
      <c r="T141" s="59">
        <f t="shared" si="142"/>
        <v>193.39407925063165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4.6004030029996299</v>
      </c>
      <c r="AA141" s="21">
        <f>EXP(-LN(2)/25)*AA140+(1-EXP(-LN(2)/25))/(LN(2)/25)*Calculateur!V141*Calculateur!X141*VLOOKUP('Données projet'!$B$9,Paramètres!$A$1:$I$89,3,0)*0.475*44/12</f>
        <v>1.497953500798717</v>
      </c>
      <c r="AB141" s="21">
        <f>EXP(-LN(2)/2)*AB140+(1-EXP(-LN(2)/2))/(LN(2)/2)*V141*Y141*VLOOKUP('Données projet'!$B$9,Paramètres!$A$1:$I$89,3,0)*0.475*44/12</f>
        <v>2.6994758125745482E-12</v>
      </c>
      <c r="AC141" s="22">
        <f t="shared" si="111"/>
        <v>6.0983565038010461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-5.999999999994543E-2</v>
      </c>
      <c r="AJ141" s="13">
        <f>AI141*VLOOKUP('Données projet'!$B$10,Paramètres!$A$1:$I$89,3,0)*VLOOKUP('Données projet'!$B$10,Paramètres!$A$1:$I$89,5,0)</f>
        <v>-2.8079999999974462E-2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74.573470247551825</v>
      </c>
      <c r="AO141" s="59">
        <f t="shared" si="144"/>
        <v>122.43655207772224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15.558709718385304</v>
      </c>
      <c r="AV141" s="21">
        <f>EXP(-LN(2)/25)*AV140+(1-EXP(-LN(2)/25))/(LN(2)/25)*Calculateur!AQ141*Calculateur!AS141*VLOOKUP('Données projet'!$B$10,Paramètres!$A$1:$I$89,3,0)*0.475*44/12</f>
        <v>3.8160887554279213</v>
      </c>
      <c r="AW141" s="21">
        <f>EXP(-LN(2)/2)*AW140+(1-EXP(-LN(2)/2))/(LN(2)/2)*AQ141*AT141*VLOOKUP('Données projet'!$B$10,Paramètres!$A$1:$I$89,3,0)*0.475*44/12</f>
        <v>7.8934745494208322E-11</v>
      </c>
      <c r="AX141" s="21">
        <f t="shared" si="114"/>
        <v>19.374798473892159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209.99999999999977</v>
      </c>
      <c r="BE141" s="13">
        <f>BD141*VLOOKUP('Données projet'!$B$11,Paramètres!$A$1:$I$89,3,0)*VLOOKUP('Données projet'!$B$11,Paramètres!$A$1:$I$89,5,0)</f>
        <v>212.9399999999998</v>
      </c>
      <c r="BF141" s="13">
        <f t="shared" si="145"/>
        <v>52.577528895212772</v>
      </c>
      <c r="BG141" s="20">
        <f t="shared" si="115"/>
        <v>462.44302949249521</v>
      </c>
      <c r="BH141" s="59">
        <f t="shared" si="116"/>
        <v>755.77636282582853</v>
      </c>
      <c r="BI141" s="59">
        <f ca="1">AVERAGE(OFFSET($BH$3,0,0,'Données projet'!$E$11+1,1))-AVERAGE(OFFSET($H$3,0,0,'Données projet'!$E$11+1,1))</f>
        <v>183.74583738362492</v>
      </c>
      <c r="BJ141" s="59">
        <f t="shared" si="146"/>
        <v>46.344307013926596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35.984284410742788</v>
      </c>
      <c r="BQ141" s="21">
        <f>EXP(-LN(2)/25)*BQ140+(1-EXP(-LN(2)/25))/(LN(2)/25)*Calculateur!BL141*Calculateur!BN141*VLOOKUP('Données projet'!$B$11,Paramètres!$A$1:$I$89,3,0)*0.475*44/12</f>
        <v>1.4264010534140963</v>
      </c>
      <c r="BR141" s="21">
        <f>EXP(-LN(2)/2)*BR140+(1-EXP(-LN(2)/2))/(LN(2)/2)*BL141*BO141*VLOOKUP('Données projet'!$B$11,Paramètres!$A$1:$I$89,3,0)*0.475*44/12</f>
        <v>4.4513317270165512E-2</v>
      </c>
      <c r="BS141" s="22">
        <f t="shared" si="117"/>
        <v>37.45519878142705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789.00000000000045</v>
      </c>
      <c r="BZ141" s="13">
        <f>BY141*VLOOKUP('Données projet'!$B$12,Paramètres!$A$1:$I$89,3,0)*VLOOKUP('Données projet'!$B$12,Paramètres!$A$1:$I$89,5,0)</f>
        <v>348.73800000000023</v>
      </c>
      <c r="CA141" s="13">
        <f t="shared" si="147"/>
        <v>81.302597726165047</v>
      </c>
      <c r="CB141" s="20">
        <f t="shared" si="118"/>
        <v>748.98737437307125</v>
      </c>
      <c r="CC141" s="59">
        <f t="shared" si="119"/>
        <v>1042.3207077064046</v>
      </c>
      <c r="CD141" s="59">
        <f ca="1">AVERAGE(OFFSET($CC$3,0,0,'Données projet'!$E$12+1,1))-AVERAGE(OFFSET($H$3,0,0,'Données projet'!$E$12+1,1))</f>
        <v>333.00091572040611</v>
      </c>
      <c r="CE141" s="59">
        <f t="shared" si="148"/>
        <v>267.06874181561398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18.291652287050951</v>
      </c>
      <c r="CL141" s="21">
        <f>EXP(-LN(2)/25)*CL140+(1-EXP(-LN(2)/25))/(LN(2)/25)*Calculateur!CG141*Calculateur!CI141*VLOOKUP('Données projet'!$B$12,Paramètres!$A$1:$I$89,3,0)*0.475*44/12</f>
        <v>4.8238065507845214</v>
      </c>
      <c r="CM141" s="21">
        <f>EXP(-LN(2)/2)*CM140+(1-EXP(-LN(2)/2))/(LN(2)/2)*CG141*CJ141*VLOOKUP('Données projet'!$B$12,Paramètres!$A$1:$I$89,3,0)*0.475*44/12</f>
        <v>3.7138814958892234E-9</v>
      </c>
      <c r="CN141" s="22">
        <f t="shared" si="120"/>
        <v>23.115458841549355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1">
        <f t="shared" si="140"/>
        <v>27.417667462779246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67">
        <f t="shared" si="110"/>
        <v>518.58738083100661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229</v>
      </c>
      <c r="O142" s="13">
        <f>N142*VLOOKUP('Données projet'!$B$9,Paramètres!$A$1:$I$89,3,0)*VLOOKUP('Données projet'!$B$9,Paramètres!$A$1:$I$89,5,0)</f>
        <v>136.94200000000001</v>
      </c>
      <c r="P142" s="13">
        <f t="shared" si="141"/>
        <v>35.595562742420903</v>
      </c>
      <c r="Q142" s="20">
        <f t="shared" si="108"/>
        <v>300.50292177638306</v>
      </c>
      <c r="R142" s="59">
        <f t="shared" si="109"/>
        <v>593.83625510971638</v>
      </c>
      <c r="S142" s="59">
        <f ca="1">AVERAGE(OFFSET($R$3,0,0,'Données projet'!$E$9+1,1))-AVERAGE(OFFSET($H$3,0,0,'Données projet'!$E$9+1,1))</f>
        <v>125.14227069357082</v>
      </c>
      <c r="T142" s="59">
        <f t="shared" si="142"/>
        <v>193.39407925063165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4.510191906079573</v>
      </c>
      <c r="AA142" s="21">
        <f>EXP(-LN(2)/25)*AA141+(1-EXP(-LN(2)/25))/(LN(2)/25)*Calculateur!V142*Calculateur!X142*VLOOKUP('Données projet'!$B$9,Paramètres!$A$1:$I$89,3,0)*0.475*44/12</f>
        <v>1.4569918835454252</v>
      </c>
      <c r="AB142" s="21">
        <f>EXP(-LN(2)/2)*AB141+(1-EXP(-LN(2)/2))/(LN(2)/2)*V142*Y142*VLOOKUP('Données projet'!$B$9,Paramètres!$A$1:$I$89,3,0)*0.475*44/12</f>
        <v>1.9088176527205286E-12</v>
      </c>
      <c r="AC142" s="22">
        <f t="shared" si="111"/>
        <v>5.9671837896269073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-5.999999999994543E-2</v>
      </c>
      <c r="AJ142" s="13">
        <f>AI142*VLOOKUP('Données projet'!$B$10,Paramètres!$A$1:$I$89,3,0)*VLOOKUP('Données projet'!$B$10,Paramètres!$A$1:$I$89,5,0)</f>
        <v>-2.8079999999974462E-2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74.573470247551825</v>
      </c>
      <c r="AO142" s="59">
        <f t="shared" si="144"/>
        <v>122.43655207772224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15.253612910683648</v>
      </c>
      <c r="AV142" s="21">
        <f>EXP(-LN(2)/25)*AV141+(1-EXP(-LN(2)/25))/(LN(2)/25)*Calculateur!AQ142*Calculateur!AS142*VLOOKUP('Données projet'!$B$10,Paramètres!$A$1:$I$89,3,0)*0.475*44/12</f>
        <v>3.7117376077313589</v>
      </c>
      <c r="AW142" s="21">
        <f>EXP(-LN(2)/2)*AW141+(1-EXP(-LN(2)/2))/(LN(2)/2)*AQ142*AT142*VLOOKUP('Données projet'!$B$10,Paramètres!$A$1:$I$89,3,0)*0.475*44/12</f>
        <v>5.5815293810188983E-11</v>
      </c>
      <c r="AX142" s="21">
        <f t="shared" si="114"/>
        <v>18.965350518470824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209.99999999999977</v>
      </c>
      <c r="BE142" s="13">
        <f>BD142*VLOOKUP('Données projet'!$B$11,Paramètres!$A$1:$I$89,3,0)*VLOOKUP('Données projet'!$B$11,Paramètres!$A$1:$I$89,5,0)</f>
        <v>212.9399999999998</v>
      </c>
      <c r="BF142" s="13">
        <f t="shared" si="145"/>
        <v>52.577528895212772</v>
      </c>
      <c r="BG142" s="20">
        <f t="shared" si="115"/>
        <v>462.44302949249521</v>
      </c>
      <c r="BH142" s="59">
        <f t="shared" si="116"/>
        <v>755.77636282582853</v>
      </c>
      <c r="BI142" s="59">
        <f ca="1">AVERAGE(OFFSET($BH$3,0,0,'Données projet'!$E$11+1,1))-AVERAGE(OFFSET($H$3,0,0,'Données projet'!$E$11+1,1))</f>
        <v>183.74583738362492</v>
      </c>
      <c r="BJ142" s="59">
        <f t="shared" si="146"/>
        <v>46.344307013926596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35.278654541694401</v>
      </c>
      <c r="BQ142" s="21">
        <f>EXP(-LN(2)/25)*BQ141+(1-EXP(-LN(2)/25))/(LN(2)/25)*Calculateur!BL142*Calculateur!BN142*VLOOKUP('Données projet'!$B$11,Paramètres!$A$1:$I$89,3,0)*0.475*44/12</f>
        <v>1.3873960415973166</v>
      </c>
      <c r="BR142" s="21">
        <f>EXP(-LN(2)/2)*BR141+(1-EXP(-LN(2)/2))/(LN(2)/2)*BL142*BO142*VLOOKUP('Données projet'!$B$11,Paramètres!$A$1:$I$89,3,0)*0.475*44/12</f>
        <v>3.147566849484229E-2</v>
      </c>
      <c r="BS142" s="22">
        <f t="shared" si="117"/>
        <v>36.697526251786563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789.00000000000045</v>
      </c>
      <c r="BZ142" s="13">
        <f>BY142*VLOOKUP('Données projet'!$B$12,Paramètres!$A$1:$I$89,3,0)*VLOOKUP('Données projet'!$B$12,Paramètres!$A$1:$I$89,5,0)</f>
        <v>348.73800000000023</v>
      </c>
      <c r="CA142" s="13">
        <f t="shared" si="147"/>
        <v>81.302597726165047</v>
      </c>
      <c r="CB142" s="20">
        <f t="shared" si="118"/>
        <v>748.98737437307125</v>
      </c>
      <c r="CC142" s="59">
        <f t="shared" si="119"/>
        <v>1042.3207077064046</v>
      </c>
      <c r="CD142" s="59">
        <f ca="1">AVERAGE(OFFSET($CC$3,0,0,'Données projet'!$E$12+1,1))-AVERAGE(OFFSET($H$3,0,0,'Données projet'!$E$12+1,1))</f>
        <v>333.00091572040611</v>
      </c>
      <c r="CE142" s="59">
        <f t="shared" si="148"/>
        <v>267.06874181561398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17.932964142508133</v>
      </c>
      <c r="CL142" s="21">
        <f>EXP(-LN(2)/25)*CL141+(1-EXP(-LN(2)/25))/(LN(2)/25)*Calculateur!CG142*Calculateur!CI142*VLOOKUP('Données projet'!$B$12,Paramètres!$A$1:$I$89,3,0)*0.475*44/12</f>
        <v>4.691899306980357</v>
      </c>
      <c r="CM142" s="21">
        <f>EXP(-LN(2)/2)*CM141+(1-EXP(-LN(2)/2))/(LN(2)/2)*CG142*CJ142*VLOOKUP('Données projet'!$B$12,Paramètres!$A$1:$I$89,3,0)*0.475*44/12</f>
        <v>2.6261107902665091E-9</v>
      </c>
      <c r="CN142" s="22">
        <f t="shared" si="120"/>
        <v>22.624863452114599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1">
        <f t="shared" si="140"/>
        <v>27.591884256812975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67">
        <f t="shared" si="110"/>
        <v>520.16779841394873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229</v>
      </c>
      <c r="O143" s="13">
        <f>N143*VLOOKUP('Données projet'!$B$9,Paramètres!$A$1:$I$89,3,0)*VLOOKUP('Données projet'!$B$9,Paramètres!$A$1:$I$89,5,0)</f>
        <v>136.94200000000001</v>
      </c>
      <c r="P143" s="13">
        <f t="shared" si="141"/>
        <v>35.595562742420903</v>
      </c>
      <c r="Q143" s="20">
        <f t="shared" si="108"/>
        <v>300.50292177638306</v>
      </c>
      <c r="R143" s="59">
        <f t="shared" si="109"/>
        <v>593.83625510971638</v>
      </c>
      <c r="S143" s="59">
        <f ca="1">AVERAGE(OFFSET($R$3,0,0,'Données projet'!$E$9+1,1))-AVERAGE(OFFSET($H$3,0,0,'Données projet'!$E$9+1,1))</f>
        <v>125.14227069357082</v>
      </c>
      <c r="T143" s="59">
        <f t="shared" si="142"/>
        <v>193.39407925063165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4.4217497937467822</v>
      </c>
      <c r="AA143" s="21">
        <f>EXP(-LN(2)/25)*AA142+(1-EXP(-LN(2)/25))/(LN(2)/25)*Calculateur!V143*Calculateur!X143*VLOOKUP('Données projet'!$B$9,Paramètres!$A$1:$I$89,3,0)*0.475*44/12</f>
        <v>1.4171503638700025</v>
      </c>
      <c r="AB143" s="21">
        <f>EXP(-LN(2)/2)*AB142+(1-EXP(-LN(2)/2))/(LN(2)/2)*V143*Y143*VLOOKUP('Données projet'!$B$9,Paramètres!$A$1:$I$89,3,0)*0.475*44/12</f>
        <v>1.3497379062872741E-12</v>
      </c>
      <c r="AC143" s="22">
        <f t="shared" si="111"/>
        <v>5.8389001576181343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-5.999999999994543E-2</v>
      </c>
      <c r="AJ143" s="13">
        <f>AI143*VLOOKUP('Données projet'!$B$10,Paramètres!$A$1:$I$89,3,0)*VLOOKUP('Données projet'!$B$10,Paramètres!$A$1:$I$89,5,0)</f>
        <v>-2.8079999999974462E-2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74.573470247551825</v>
      </c>
      <c r="AO143" s="59">
        <f t="shared" si="144"/>
        <v>122.43655207772224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14.954498865290345</v>
      </c>
      <c r="AV143" s="21">
        <f>EXP(-LN(2)/25)*AV142+(1-EXP(-LN(2)/25))/(LN(2)/25)*Calculateur!AQ143*Calculateur!AS143*VLOOKUP('Données projet'!$B$10,Paramètres!$A$1:$I$89,3,0)*0.475*44/12</f>
        <v>3.6102399476561473</v>
      </c>
      <c r="AW143" s="21">
        <f>EXP(-LN(2)/2)*AW142+(1-EXP(-LN(2)/2))/(LN(2)/2)*AQ143*AT143*VLOOKUP('Données projet'!$B$10,Paramètres!$A$1:$I$89,3,0)*0.475*44/12</f>
        <v>3.9467372747104161E-11</v>
      </c>
      <c r="AX143" s="21">
        <f t="shared" si="114"/>
        <v>18.564738812985961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209.99999999999977</v>
      </c>
      <c r="BE143" s="13">
        <f>BD143*VLOOKUP('Données projet'!$B$11,Paramètres!$A$1:$I$89,3,0)*VLOOKUP('Données projet'!$B$11,Paramètres!$A$1:$I$89,5,0)</f>
        <v>212.9399999999998</v>
      </c>
      <c r="BF143" s="13">
        <f t="shared" si="145"/>
        <v>52.577528895212772</v>
      </c>
      <c r="BG143" s="20">
        <f t="shared" si="115"/>
        <v>462.44302949249521</v>
      </c>
      <c r="BH143" s="59">
        <f t="shared" si="116"/>
        <v>755.77636282582853</v>
      </c>
      <c r="BI143" s="59">
        <f ca="1">AVERAGE(OFFSET($BH$3,0,0,'Données projet'!$E$11+1,1))-AVERAGE(OFFSET($H$3,0,0,'Données projet'!$E$11+1,1))</f>
        <v>183.74583738362492</v>
      </c>
      <c r="BJ143" s="59">
        <f t="shared" si="146"/>
        <v>46.344307013926596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34.586861643986332</v>
      </c>
      <c r="BQ143" s="21">
        <f>EXP(-LN(2)/25)*BQ142+(1-EXP(-LN(2)/25))/(LN(2)/25)*Calculateur!BL143*Calculateur!BN143*VLOOKUP('Données projet'!$B$11,Paramètres!$A$1:$I$89,3,0)*0.475*44/12</f>
        <v>1.349457623879851</v>
      </c>
      <c r="BR143" s="21">
        <f>EXP(-LN(2)/2)*BR142+(1-EXP(-LN(2)/2))/(LN(2)/2)*BL143*BO143*VLOOKUP('Données projet'!$B$11,Paramètres!$A$1:$I$89,3,0)*0.475*44/12</f>
        <v>2.2256658635082756E-2</v>
      </c>
      <c r="BS143" s="22">
        <f t="shared" si="117"/>
        <v>35.958575926501261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789.00000000000045</v>
      </c>
      <c r="BZ143" s="13">
        <f>BY143*VLOOKUP('Données projet'!$B$12,Paramètres!$A$1:$I$89,3,0)*VLOOKUP('Données projet'!$B$12,Paramètres!$A$1:$I$89,5,0)</f>
        <v>348.73800000000023</v>
      </c>
      <c r="CA143" s="13">
        <f t="shared" si="147"/>
        <v>81.302597726165047</v>
      </c>
      <c r="CB143" s="20">
        <f t="shared" si="118"/>
        <v>748.98737437307125</v>
      </c>
      <c r="CC143" s="59">
        <f t="shared" si="119"/>
        <v>1042.3207077064046</v>
      </c>
      <c r="CD143" s="59">
        <f ca="1">AVERAGE(OFFSET($CC$3,0,0,'Données projet'!$E$12+1,1))-AVERAGE(OFFSET($H$3,0,0,'Données projet'!$E$12+1,1))</f>
        <v>333.00091572040611</v>
      </c>
      <c r="CE143" s="59">
        <f t="shared" si="148"/>
        <v>267.06874181561398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17.581309653701634</v>
      </c>
      <c r="CL143" s="21">
        <f>EXP(-LN(2)/25)*CL142+(1-EXP(-LN(2)/25))/(LN(2)/25)*Calculateur!CG143*Calculateur!CI143*VLOOKUP('Données projet'!$B$12,Paramètres!$A$1:$I$89,3,0)*0.475*44/12</f>
        <v>4.5635990736947178</v>
      </c>
      <c r="CM143" s="21">
        <f>EXP(-LN(2)/2)*CM142+(1-EXP(-LN(2)/2))/(LN(2)/2)*CG143*CJ143*VLOOKUP('Données projet'!$B$12,Paramètres!$A$1:$I$89,3,0)*0.475*44/12</f>
        <v>1.8569407479446119E-9</v>
      </c>
      <c r="CN143" s="22">
        <f t="shared" si="120"/>
        <v>22.144908729253292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1">
        <f t="shared" si="140"/>
        <v>27.765956260923254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67">
        <f t="shared" si="110"/>
        <v>521.74796382110731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229</v>
      </c>
      <c r="O144" s="13">
        <f>N144*VLOOKUP('Données projet'!$B$9,Paramètres!$A$1:$I$89,3,0)*VLOOKUP('Données projet'!$B$9,Paramètres!$A$1:$I$89,5,0)</f>
        <v>136.94200000000001</v>
      </c>
      <c r="P144" s="13">
        <f t="shared" si="141"/>
        <v>35.595562742420903</v>
      </c>
      <c r="Q144" s="20">
        <f t="shared" si="108"/>
        <v>300.50292177638306</v>
      </c>
      <c r="R144" s="59">
        <f t="shared" si="109"/>
        <v>593.83625510971638</v>
      </c>
      <c r="S144" s="59">
        <f ca="1">AVERAGE(OFFSET($R$3,0,0,'Données projet'!$E$9+1,1))-AVERAGE(OFFSET($H$3,0,0,'Données projet'!$E$9+1,1))</f>
        <v>125.14227069357082</v>
      </c>
      <c r="T144" s="59">
        <f t="shared" si="142"/>
        <v>193.39407925063165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4.3350419772924749</v>
      </c>
      <c r="AA144" s="21">
        <f>EXP(-LN(2)/25)*AA143+(1-EXP(-LN(2)/25))/(LN(2)/25)*Calculateur!V144*Calculateur!X144*VLOOKUP('Données projet'!$B$9,Paramètres!$A$1:$I$89,3,0)*0.475*44/12</f>
        <v>1.3783983126452786</v>
      </c>
      <c r="AB144" s="21">
        <f>EXP(-LN(2)/2)*AB143+(1-EXP(-LN(2)/2))/(LN(2)/2)*V144*Y144*VLOOKUP('Données projet'!$B$9,Paramètres!$A$1:$I$89,3,0)*0.475*44/12</f>
        <v>9.5440882636026428E-13</v>
      </c>
      <c r="AC144" s="22">
        <f t="shared" si="111"/>
        <v>5.713440289938708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-5.999999999994543E-2</v>
      </c>
      <c r="AJ144" s="13">
        <f>AI144*VLOOKUP('Données projet'!$B$10,Paramètres!$A$1:$I$89,3,0)*VLOOKUP('Données projet'!$B$10,Paramètres!$A$1:$I$89,5,0)</f>
        <v>-2.8079999999974462E-2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74.573470247551825</v>
      </c>
      <c r="AO144" s="59">
        <f t="shared" si="144"/>
        <v>122.43655207772224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14.661250263885652</v>
      </c>
      <c r="AV144" s="21">
        <f>EXP(-LN(2)/25)*AV143+(1-EXP(-LN(2)/25))/(LN(2)/25)*Calculateur!AQ144*Calculateur!AS144*VLOOKUP('Données projet'!$B$10,Paramètres!$A$1:$I$89,3,0)*0.475*44/12</f>
        <v>3.5115177464332223</v>
      </c>
      <c r="AW144" s="21">
        <f>EXP(-LN(2)/2)*AW143+(1-EXP(-LN(2)/2))/(LN(2)/2)*AQ144*AT144*VLOOKUP('Données projet'!$B$10,Paramètres!$A$1:$I$89,3,0)*0.475*44/12</f>
        <v>2.7907646905094491E-11</v>
      </c>
      <c r="AX144" s="21">
        <f t="shared" si="114"/>
        <v>18.172768010346783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209.99999999999977</v>
      </c>
      <c r="BE144" s="13">
        <f>BD144*VLOOKUP('Données projet'!$B$11,Paramètres!$A$1:$I$89,3,0)*VLOOKUP('Données projet'!$B$11,Paramètres!$A$1:$I$89,5,0)</f>
        <v>212.9399999999998</v>
      </c>
      <c r="BF144" s="13">
        <f t="shared" si="145"/>
        <v>52.577528895212772</v>
      </c>
      <c r="BG144" s="20">
        <f t="shared" si="115"/>
        <v>462.44302949249521</v>
      </c>
      <c r="BH144" s="59">
        <f t="shared" si="116"/>
        <v>755.77636282582853</v>
      </c>
      <c r="BI144" s="59">
        <f ca="1">AVERAGE(OFFSET($BH$3,0,0,'Données projet'!$E$11+1,1))-AVERAGE(OFFSET($H$3,0,0,'Données projet'!$E$11+1,1))</f>
        <v>183.74583738362492</v>
      </c>
      <c r="BJ144" s="59">
        <f t="shared" si="146"/>
        <v>46.344307013926596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33.908634383050313</v>
      </c>
      <c r="BQ144" s="21">
        <f>EXP(-LN(2)/25)*BQ143+(1-EXP(-LN(2)/25))/(LN(2)/25)*Calculateur!BL144*Calculateur!BN144*VLOOKUP('Données projet'!$B$11,Paramètres!$A$1:$I$89,3,0)*0.475*44/12</f>
        <v>1.3125566341899644</v>
      </c>
      <c r="BR144" s="21">
        <f>EXP(-LN(2)/2)*BR143+(1-EXP(-LN(2)/2))/(LN(2)/2)*BL144*BO144*VLOOKUP('Données projet'!$B$11,Paramètres!$A$1:$I$89,3,0)*0.475*44/12</f>
        <v>1.5737834247421145E-2</v>
      </c>
      <c r="BS144" s="22">
        <f t="shared" si="117"/>
        <v>35.236928851487704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789.00000000000045</v>
      </c>
      <c r="BZ144" s="13">
        <f>BY144*VLOOKUP('Données projet'!$B$12,Paramètres!$A$1:$I$89,3,0)*VLOOKUP('Données projet'!$B$12,Paramètres!$A$1:$I$89,5,0)</f>
        <v>348.73800000000023</v>
      </c>
      <c r="CA144" s="13">
        <f t="shared" si="147"/>
        <v>81.302597726165047</v>
      </c>
      <c r="CB144" s="20">
        <f t="shared" si="118"/>
        <v>748.98737437307125</v>
      </c>
      <c r="CC144" s="59">
        <f t="shared" si="119"/>
        <v>1042.3207077064046</v>
      </c>
      <c r="CD144" s="59">
        <f ca="1">AVERAGE(OFFSET($CC$3,0,0,'Données projet'!$E$12+1,1))-AVERAGE(OFFSET($H$3,0,0,'Données projet'!$E$12+1,1))</f>
        <v>333.00091572040611</v>
      </c>
      <c r="CE144" s="59">
        <f t="shared" si="148"/>
        <v>267.06874181561398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17.236550894932574</v>
      </c>
      <c r="CL144" s="21">
        <f>EXP(-LN(2)/25)*CL143+(1-EXP(-LN(2)/25))/(LN(2)/25)*Calculateur!CG144*Calculateur!CI144*VLOOKUP('Données projet'!$B$12,Paramètres!$A$1:$I$89,3,0)*0.475*44/12</f>
        <v>4.4388072170352908</v>
      </c>
      <c r="CM144" s="21">
        <f>EXP(-LN(2)/2)*CM143+(1-EXP(-LN(2)/2))/(LN(2)/2)*CG144*CJ144*VLOOKUP('Données projet'!$B$12,Paramètres!$A$1:$I$89,3,0)*0.475*44/12</f>
        <v>1.3130553951332547E-9</v>
      </c>
      <c r="CN144" s="22">
        <f t="shared" si="120"/>
        <v>21.675358113280918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1">
        <f t="shared" si="140"/>
        <v>27.939884621063818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67">
        <f t="shared" si="110"/>
        <v>523.3278790483522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229</v>
      </c>
      <c r="O145" s="13">
        <f>N145*VLOOKUP('Données projet'!$B$9,Paramètres!$A$1:$I$89,3,0)*VLOOKUP('Données projet'!$B$9,Paramètres!$A$1:$I$89,5,0)</f>
        <v>136.94200000000001</v>
      </c>
      <c r="P145" s="13">
        <f t="shared" si="141"/>
        <v>35.595562742420903</v>
      </c>
      <c r="Q145" s="20">
        <f t="shared" si="108"/>
        <v>300.50292177638306</v>
      </c>
      <c r="R145" s="59">
        <f t="shared" si="109"/>
        <v>593.83625510971638</v>
      </c>
      <c r="S145" s="59">
        <f ca="1">AVERAGE(OFFSET($R$3,0,0,'Données projet'!$E$9+1,1))-AVERAGE(OFFSET($H$3,0,0,'Données projet'!$E$9+1,1))</f>
        <v>125.14227069357082</v>
      </c>
      <c r="T145" s="59">
        <f t="shared" si="142"/>
        <v>193.39407925063165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4.2500344482322907</v>
      </c>
      <c r="AA145" s="21">
        <f>EXP(-LN(2)/25)*AA144+(1-EXP(-LN(2)/25))/(LN(2)/25)*Calculateur!V145*Calculateur!X145*VLOOKUP('Données projet'!$B$9,Paramètres!$A$1:$I$89,3,0)*0.475*44/12</f>
        <v>1.3407059382991766</v>
      </c>
      <c r="AB145" s="21">
        <f>EXP(-LN(2)/2)*AB144+(1-EXP(-LN(2)/2))/(LN(2)/2)*V145*Y145*VLOOKUP('Données projet'!$B$9,Paramètres!$A$1:$I$89,3,0)*0.475*44/12</f>
        <v>6.7486895314363704E-13</v>
      </c>
      <c r="AC145" s="22">
        <f t="shared" si="111"/>
        <v>5.5907403865321426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-5.999999999994543E-2</v>
      </c>
      <c r="AJ145" s="13">
        <f>AI145*VLOOKUP('Données projet'!$B$10,Paramètres!$A$1:$I$89,3,0)*VLOOKUP('Données projet'!$B$10,Paramètres!$A$1:$I$89,5,0)</f>
        <v>-2.8079999999974462E-2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74.573470247551825</v>
      </c>
      <c r="AO145" s="59">
        <f t="shared" si="144"/>
        <v>122.43655207772224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14.373752088690519</v>
      </c>
      <c r="AV145" s="21">
        <f>EXP(-LN(2)/25)*AV144+(1-EXP(-LN(2)/25))/(LN(2)/25)*Calculateur!AQ145*Calculateur!AS145*VLOOKUP('Données projet'!$B$10,Paramètres!$A$1:$I$89,3,0)*0.475*44/12</f>
        <v>3.4154951089943131</v>
      </c>
      <c r="AW145" s="21">
        <f>EXP(-LN(2)/2)*AW144+(1-EXP(-LN(2)/2))/(LN(2)/2)*AQ145*AT145*VLOOKUP('Données projet'!$B$10,Paramètres!$A$1:$I$89,3,0)*0.475*44/12</f>
        <v>1.9733686373552081E-11</v>
      </c>
      <c r="AX145" s="21">
        <f t="shared" si="114"/>
        <v>17.789247197704569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209.99999999999977</v>
      </c>
      <c r="BE145" s="13">
        <f>BD145*VLOOKUP('Données projet'!$B$11,Paramètres!$A$1:$I$89,3,0)*VLOOKUP('Données projet'!$B$11,Paramètres!$A$1:$I$89,5,0)</f>
        <v>212.9399999999998</v>
      </c>
      <c r="BF145" s="13">
        <f t="shared" si="145"/>
        <v>52.577528895212772</v>
      </c>
      <c r="BG145" s="20">
        <f t="shared" si="115"/>
        <v>462.44302949249521</v>
      </c>
      <c r="BH145" s="59">
        <f t="shared" si="116"/>
        <v>755.77636282582853</v>
      </c>
      <c r="BI145" s="59">
        <f ca="1">AVERAGE(OFFSET($BH$3,0,0,'Données projet'!$E$11+1,1))-AVERAGE(OFFSET($H$3,0,0,'Données projet'!$E$11+1,1))</f>
        <v>183.74583738362492</v>
      </c>
      <c r="BJ145" s="59">
        <f t="shared" si="146"/>
        <v>46.344307013926596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33.243706745023466</v>
      </c>
      <c r="BQ145" s="21">
        <f>EXP(-LN(2)/25)*BQ144+(1-EXP(-LN(2)/25))/(LN(2)/25)*Calculateur!BL145*Calculateur!BN145*VLOOKUP('Données projet'!$B$11,Paramètres!$A$1:$I$89,3,0)*0.475*44/12</f>
        <v>1.2766647040036863</v>
      </c>
      <c r="BR145" s="21">
        <f>EXP(-LN(2)/2)*BR144+(1-EXP(-LN(2)/2))/(LN(2)/2)*BL145*BO145*VLOOKUP('Données projet'!$B$11,Paramètres!$A$1:$I$89,3,0)*0.475*44/12</f>
        <v>1.1128329317541378E-2</v>
      </c>
      <c r="BS145" s="22">
        <f t="shared" si="117"/>
        <v>34.531499778344696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789.00000000000045</v>
      </c>
      <c r="BZ145" s="13">
        <f>BY145*VLOOKUP('Données projet'!$B$12,Paramètres!$A$1:$I$89,3,0)*VLOOKUP('Données projet'!$B$12,Paramètres!$A$1:$I$89,5,0)</f>
        <v>348.73800000000023</v>
      </c>
      <c r="CA145" s="13">
        <f t="shared" si="147"/>
        <v>81.302597726165047</v>
      </c>
      <c r="CB145" s="20">
        <f t="shared" si="118"/>
        <v>748.98737437307125</v>
      </c>
      <c r="CC145" s="59">
        <f t="shared" si="119"/>
        <v>1042.3207077064046</v>
      </c>
      <c r="CD145" s="59">
        <f ca="1">AVERAGE(OFFSET($CC$3,0,0,'Données projet'!$E$12+1,1))-AVERAGE(OFFSET($H$3,0,0,'Données projet'!$E$12+1,1))</f>
        <v>333.00091572040611</v>
      </c>
      <c r="CE145" s="59">
        <f t="shared" si="148"/>
        <v>267.06874181561398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16.898552645140892</v>
      </c>
      <c r="CL145" s="21">
        <f>EXP(-LN(2)/25)*CL144+(1-EXP(-LN(2)/25))/(LN(2)/25)*Calculateur!CG145*Calculateur!CI145*VLOOKUP('Données projet'!$B$12,Paramètres!$A$1:$I$89,3,0)*0.475*44/12</f>
        <v>4.3174278002587343</v>
      </c>
      <c r="CM145" s="21">
        <f>EXP(-LN(2)/2)*CM144+(1-EXP(-LN(2)/2))/(LN(2)/2)*CG145*CJ145*VLOOKUP('Données projet'!$B$12,Paramètres!$A$1:$I$89,3,0)*0.475*44/12</f>
        <v>9.2847037397230617E-10</v>
      </c>
      <c r="CN145" s="22">
        <f t="shared" si="120"/>
        <v>21.215980446328096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1">
        <f t="shared" si="140"/>
        <v>28.113670466115568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67">
        <f t="shared" si="110"/>
        <v>524.90754606181736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229</v>
      </c>
      <c r="O146" s="13">
        <f>N146*VLOOKUP('Données projet'!$B$9,Paramètres!$A$1:$I$89,3,0)*VLOOKUP('Données projet'!$B$9,Paramètres!$A$1:$I$89,5,0)</f>
        <v>136.94200000000001</v>
      </c>
      <c r="P146" s="13">
        <f t="shared" si="141"/>
        <v>35.595562742420903</v>
      </c>
      <c r="Q146" s="20">
        <f t="shared" si="108"/>
        <v>300.50292177638306</v>
      </c>
      <c r="R146" s="59">
        <f t="shared" si="109"/>
        <v>593.83625510971638</v>
      </c>
      <c r="S146" s="59">
        <f ca="1">AVERAGE(OFFSET($R$3,0,0,'Données projet'!$E$9+1,1))-AVERAGE(OFFSET($H$3,0,0,'Données projet'!$E$9+1,1))</f>
        <v>125.14227069357082</v>
      </c>
      <c r="T146" s="59">
        <f t="shared" si="142"/>
        <v>193.39407925063165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4.1666938649675043</v>
      </c>
      <c r="AA146" s="21">
        <f>EXP(-LN(2)/25)*AA145+(1-EXP(-LN(2)/25))/(LN(2)/25)*Calculateur!V146*Calculateur!X146*VLOOKUP('Données projet'!$B$9,Paramètres!$A$1:$I$89,3,0)*0.475*44/12</f>
        <v>1.3040442639117245</v>
      </c>
      <c r="AB146" s="21">
        <f>EXP(-LN(2)/2)*AB145+(1-EXP(-LN(2)/2))/(LN(2)/2)*V146*Y146*VLOOKUP('Données projet'!$B$9,Paramètres!$A$1:$I$89,3,0)*0.475*44/12</f>
        <v>4.7720441318013214E-13</v>
      </c>
      <c r="AC146" s="22">
        <f t="shared" si="111"/>
        <v>5.4707381288797059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-5.999999999994543E-2</v>
      </c>
      <c r="AJ146" s="13">
        <f>AI146*VLOOKUP('Données projet'!$B$10,Paramètres!$A$1:$I$89,3,0)*VLOOKUP('Données projet'!$B$10,Paramètres!$A$1:$I$89,5,0)</f>
        <v>-2.8079999999974462E-2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74.573470247551825</v>
      </c>
      <c r="AO146" s="59">
        <f t="shared" si="144"/>
        <v>122.43655207772224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14.09189157735439</v>
      </c>
      <c r="AV146" s="21">
        <f>EXP(-LN(2)/25)*AV145+(1-EXP(-LN(2)/25))/(LN(2)/25)*Calculateur!AQ146*Calculateur!AS146*VLOOKUP('Données projet'!$B$10,Paramètres!$A$1:$I$89,3,0)*0.475*44/12</f>
        <v>3.3220982156257821</v>
      </c>
      <c r="AW146" s="21">
        <f>EXP(-LN(2)/2)*AW145+(1-EXP(-LN(2)/2))/(LN(2)/2)*AQ146*AT146*VLOOKUP('Données projet'!$B$10,Paramètres!$A$1:$I$89,3,0)*0.475*44/12</f>
        <v>1.3953823452547246E-11</v>
      </c>
      <c r="AX146" s="21">
        <f t="shared" si="114"/>
        <v>17.413989792994126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209.99999999999977</v>
      </c>
      <c r="BE146" s="13">
        <f>BD146*VLOOKUP('Données projet'!$B$11,Paramètres!$A$1:$I$89,3,0)*VLOOKUP('Données projet'!$B$11,Paramètres!$A$1:$I$89,5,0)</f>
        <v>212.9399999999998</v>
      </c>
      <c r="BF146" s="13">
        <f t="shared" si="145"/>
        <v>52.577528895212772</v>
      </c>
      <c r="BG146" s="20">
        <f t="shared" si="115"/>
        <v>462.44302949249521</v>
      </c>
      <c r="BH146" s="59">
        <f t="shared" si="116"/>
        <v>755.77636282582853</v>
      </c>
      <c r="BI146" s="59">
        <f ca="1">AVERAGE(OFFSET($BH$3,0,0,'Données projet'!$E$11+1,1))-AVERAGE(OFFSET($H$3,0,0,'Données projet'!$E$11+1,1))</f>
        <v>183.74583738362492</v>
      </c>
      <c r="BJ146" s="59">
        <f t="shared" si="146"/>
        <v>46.344307013926596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32.591817932412518</v>
      </c>
      <c r="BQ146" s="21">
        <f>EXP(-LN(2)/25)*BQ145+(1-EXP(-LN(2)/25))/(LN(2)/25)*Calculateur!BL146*Calculateur!BN146*VLOOKUP('Données projet'!$B$11,Paramètres!$A$1:$I$89,3,0)*0.475*44/12</f>
        <v>1.2417542405358266</v>
      </c>
      <c r="BR146" s="21">
        <f>EXP(-LN(2)/2)*BR145+(1-EXP(-LN(2)/2))/(LN(2)/2)*BL146*BO146*VLOOKUP('Données projet'!$B$11,Paramètres!$A$1:$I$89,3,0)*0.475*44/12</f>
        <v>7.8689171237105726E-3</v>
      </c>
      <c r="BS146" s="22">
        <f t="shared" si="117"/>
        <v>33.841441090072053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789.00000000000045</v>
      </c>
      <c r="BZ146" s="13">
        <f>BY146*VLOOKUP('Données projet'!$B$12,Paramètres!$A$1:$I$89,3,0)*VLOOKUP('Données projet'!$B$12,Paramètres!$A$1:$I$89,5,0)</f>
        <v>348.73800000000023</v>
      </c>
      <c r="CA146" s="13">
        <f t="shared" si="147"/>
        <v>81.302597726165047</v>
      </c>
      <c r="CB146" s="20">
        <f t="shared" si="118"/>
        <v>748.98737437307125</v>
      </c>
      <c r="CC146" s="59">
        <f t="shared" si="119"/>
        <v>1042.3207077064046</v>
      </c>
      <c r="CD146" s="59">
        <f ca="1">AVERAGE(OFFSET($CC$3,0,0,'Données projet'!$E$12+1,1))-AVERAGE(OFFSET($H$3,0,0,'Données projet'!$E$12+1,1))</f>
        <v>333.00091572040611</v>
      </c>
      <c r="CE146" s="59">
        <f t="shared" si="148"/>
        <v>267.06874181561398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16.567182334869052</v>
      </c>
      <c r="CL146" s="21">
        <f>EXP(-LN(2)/25)*CL145+(1-EXP(-LN(2)/25))/(LN(2)/25)*Calculateur!CG146*Calculateur!CI146*VLOOKUP('Données projet'!$B$12,Paramètres!$A$1:$I$89,3,0)*0.475*44/12</f>
        <v>4.1993675100169989</v>
      </c>
      <c r="CM146" s="21">
        <f>EXP(-LN(2)/2)*CM145+(1-EXP(-LN(2)/2))/(LN(2)/2)*CG146*CJ146*VLOOKUP('Données projet'!$B$12,Paramètres!$A$1:$I$89,3,0)*0.475*44/12</f>
        <v>6.5652769756662747E-10</v>
      </c>
      <c r="CN146" s="22">
        <f t="shared" si="120"/>
        <v>20.766549845542578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1">
        <f t="shared" si="140"/>
        <v>28.287314908258214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67">
        <f t="shared" si="110"/>
        <v>526.48696679854902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229</v>
      </c>
      <c r="O147" s="13">
        <f>N147*VLOOKUP('Données projet'!$B$9,Paramètres!$A$1:$I$89,3,0)*VLOOKUP('Données projet'!$B$9,Paramètres!$A$1:$I$89,5,0)</f>
        <v>136.94200000000001</v>
      </c>
      <c r="P147" s="13">
        <f t="shared" si="141"/>
        <v>35.595562742420903</v>
      </c>
      <c r="Q147" s="20">
        <f t="shared" si="108"/>
        <v>300.50292177638306</v>
      </c>
      <c r="R147" s="59">
        <f t="shared" si="109"/>
        <v>593.83625510971638</v>
      </c>
      <c r="S147" s="59">
        <f ca="1">AVERAGE(OFFSET($R$3,0,0,'Données projet'!$E$9+1,1))-AVERAGE(OFFSET($H$3,0,0,'Données projet'!$E$9+1,1))</f>
        <v>125.14227069357082</v>
      </c>
      <c r="T147" s="59">
        <f t="shared" si="142"/>
        <v>193.39407925063165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4.0849875397078037</v>
      </c>
      <c r="AA147" s="21">
        <f>EXP(-LN(2)/25)*AA146+(1-EXP(-LN(2)/25))/(LN(2)/25)*Calculateur!V147*Calculateur!X147*VLOOKUP('Données projet'!$B$9,Paramètres!$A$1:$I$89,3,0)*0.475*44/12</f>
        <v>1.268385104938351</v>
      </c>
      <c r="AB147" s="21">
        <f>EXP(-LN(2)/2)*AB146+(1-EXP(-LN(2)/2))/(LN(2)/2)*V147*Y147*VLOOKUP('Données projet'!$B$9,Paramètres!$A$1:$I$89,3,0)*0.475*44/12</f>
        <v>3.3743447657181852E-13</v>
      </c>
      <c r="AC147" s="22">
        <f t="shared" si="111"/>
        <v>5.353372644646492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-5.999999999994543E-2</v>
      </c>
      <c r="AJ147" s="13">
        <f>AI147*VLOOKUP('Données projet'!$B$10,Paramètres!$A$1:$I$89,3,0)*VLOOKUP('Données projet'!$B$10,Paramètres!$A$1:$I$89,5,0)</f>
        <v>-2.8079999999974462E-2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74.573470247551825</v>
      </c>
      <c r="AO147" s="59">
        <f t="shared" si="144"/>
        <v>122.43655207772224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13.815558178727628</v>
      </c>
      <c r="AV147" s="21">
        <f>EXP(-LN(2)/25)*AV146+(1-EXP(-LN(2)/25))/(LN(2)/25)*Calculateur!AQ147*Calculateur!AS147*VLOOKUP('Données projet'!$B$10,Paramètres!$A$1:$I$89,3,0)*0.475*44/12</f>
        <v>3.2312552652179427</v>
      </c>
      <c r="AW147" s="21">
        <f>EXP(-LN(2)/2)*AW146+(1-EXP(-LN(2)/2))/(LN(2)/2)*AQ147*AT147*VLOOKUP('Données projet'!$B$10,Paramètres!$A$1:$I$89,3,0)*0.475*44/12</f>
        <v>9.8668431867760403E-12</v>
      </c>
      <c r="AX147" s="21">
        <f t="shared" si="114"/>
        <v>17.046813443955436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209.99999999999977</v>
      </c>
      <c r="BE147" s="13">
        <f>BD147*VLOOKUP('Données projet'!$B$11,Paramètres!$A$1:$I$89,3,0)*VLOOKUP('Données projet'!$B$11,Paramètres!$A$1:$I$89,5,0)</f>
        <v>212.9399999999998</v>
      </c>
      <c r="BF147" s="13">
        <f t="shared" si="145"/>
        <v>52.577528895212772</v>
      </c>
      <c r="BG147" s="20">
        <f t="shared" si="115"/>
        <v>462.44302949249521</v>
      </c>
      <c r="BH147" s="59">
        <f t="shared" si="116"/>
        <v>755.77636282582853</v>
      </c>
      <c r="BI147" s="59">
        <f ca="1">AVERAGE(OFFSET($BH$3,0,0,'Données projet'!$E$11+1,1))-AVERAGE(OFFSET($H$3,0,0,'Données projet'!$E$11+1,1))</f>
        <v>183.74583738362492</v>
      </c>
      <c r="BJ147" s="59">
        <f t="shared" si="146"/>
        <v>46.344307013926596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31.952712261803953</v>
      </c>
      <c r="BQ147" s="21">
        <f>EXP(-LN(2)/25)*BQ146+(1-EXP(-LN(2)/25))/(LN(2)/25)*Calculateur!BL147*Calculateur!BN147*VLOOKUP('Données projet'!$B$11,Paramètres!$A$1:$I$89,3,0)*0.475*44/12</f>
        <v>1.207798405527357</v>
      </c>
      <c r="BR147" s="21">
        <f>EXP(-LN(2)/2)*BR146+(1-EXP(-LN(2)/2))/(LN(2)/2)*BL147*BO147*VLOOKUP('Données projet'!$B$11,Paramètres!$A$1:$I$89,3,0)*0.475*44/12</f>
        <v>5.564164658770689E-3</v>
      </c>
      <c r="BS147" s="22">
        <f t="shared" si="117"/>
        <v>33.16607483199008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789.00000000000045</v>
      </c>
      <c r="BZ147" s="13">
        <f>BY147*VLOOKUP('Données projet'!$B$12,Paramètres!$A$1:$I$89,3,0)*VLOOKUP('Données projet'!$B$12,Paramètres!$A$1:$I$89,5,0)</f>
        <v>348.73800000000023</v>
      </c>
      <c r="CA147" s="13">
        <f t="shared" si="147"/>
        <v>81.302597726165047</v>
      </c>
      <c r="CB147" s="20">
        <f t="shared" si="118"/>
        <v>748.98737437307125</v>
      </c>
      <c r="CC147" s="59">
        <f t="shared" si="119"/>
        <v>1042.3207077064046</v>
      </c>
      <c r="CD147" s="59">
        <f ca="1">AVERAGE(OFFSET($CC$3,0,0,'Données projet'!$E$12+1,1))-AVERAGE(OFFSET($H$3,0,0,'Données projet'!$E$12+1,1))</f>
        <v>333.00091572040611</v>
      </c>
      <c r="CE147" s="59">
        <f t="shared" si="148"/>
        <v>267.06874181561398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16.24230999426571</v>
      </c>
      <c r="CL147" s="21">
        <f>EXP(-LN(2)/25)*CL146+(1-EXP(-LN(2)/25))/(LN(2)/25)*Calculateur!CG147*Calculateur!CI147*VLOOKUP('Données projet'!$B$12,Paramètres!$A$1:$I$89,3,0)*0.475*44/12</f>
        <v>4.0845355846204443</v>
      </c>
      <c r="CM147" s="21">
        <f>EXP(-LN(2)/2)*CM146+(1-EXP(-LN(2)/2))/(LN(2)/2)*CG147*CJ147*VLOOKUP('Données projet'!$B$12,Paramètres!$A$1:$I$89,3,0)*0.475*44/12</f>
        <v>4.6423518698615314E-10</v>
      </c>
      <c r="CN147" s="22">
        <f t="shared" si="120"/>
        <v>20.32684557935039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1">
        <f t="shared" si="140"/>
        <v>28.460819043331849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67">
        <f t="shared" si="110"/>
        <v>528.06614316713558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229</v>
      </c>
      <c r="O148" s="13">
        <f>N148*VLOOKUP('Données projet'!$B$9,Paramètres!$A$1:$I$89,3,0)*VLOOKUP('Données projet'!$B$9,Paramètres!$A$1:$I$89,5,0)</f>
        <v>136.94200000000001</v>
      </c>
      <c r="P148" s="13">
        <f t="shared" si="141"/>
        <v>35.595562742420903</v>
      </c>
      <c r="Q148" s="20">
        <f t="shared" si="108"/>
        <v>300.50292177638306</v>
      </c>
      <c r="R148" s="59">
        <f t="shared" si="109"/>
        <v>593.83625510971638</v>
      </c>
      <c r="S148" s="59">
        <f ca="1">AVERAGE(OFFSET($R$3,0,0,'Données projet'!$E$9+1,1))-AVERAGE(OFFSET($H$3,0,0,'Données projet'!$E$9+1,1))</f>
        <v>125.14227069357082</v>
      </c>
      <c r="T148" s="59">
        <f t="shared" si="142"/>
        <v>193.39407925063165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4.0048834256505081</v>
      </c>
      <c r="AA148" s="21">
        <f>EXP(-LN(2)/25)*AA147+(1-EXP(-LN(2)/25))/(LN(2)/25)*Calculateur!V148*Calculateur!X148*VLOOKUP('Données projet'!$B$9,Paramètres!$A$1:$I$89,3,0)*0.475*44/12</f>
        <v>1.233701047542338</v>
      </c>
      <c r="AB148" s="21">
        <f>EXP(-LN(2)/2)*AB147+(1-EXP(-LN(2)/2))/(LN(2)/2)*V148*Y148*VLOOKUP('Données projet'!$B$9,Paramètres!$A$1:$I$89,3,0)*0.475*44/12</f>
        <v>2.3860220659006607E-13</v>
      </c>
      <c r="AC148" s="22">
        <f t="shared" si="111"/>
        <v>5.2385844731930851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-5.999999999994543E-2</v>
      </c>
      <c r="AJ148" s="13">
        <f>AI148*VLOOKUP('Données projet'!$B$10,Paramètres!$A$1:$I$89,3,0)*VLOOKUP('Données projet'!$B$10,Paramètres!$A$1:$I$89,5,0)</f>
        <v>-2.8079999999974462E-2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74.573470247551825</v>
      </c>
      <c r="AO148" s="59">
        <f t="shared" si="144"/>
        <v>122.43655207772224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13.544643509501205</v>
      </c>
      <c r="AV148" s="21">
        <f>EXP(-LN(2)/25)*AV147+(1-EXP(-LN(2)/25))/(LN(2)/25)*Calculateur!AQ148*Calculateur!AS148*VLOOKUP('Données projet'!$B$10,Paramètres!$A$1:$I$89,3,0)*0.475*44/12</f>
        <v>3.1428964200662288</v>
      </c>
      <c r="AW148" s="21">
        <f>EXP(-LN(2)/2)*AW147+(1-EXP(-LN(2)/2))/(LN(2)/2)*AQ148*AT148*VLOOKUP('Données projet'!$B$10,Paramètres!$A$1:$I$89,3,0)*0.475*44/12</f>
        <v>6.9769117262736229E-12</v>
      </c>
      <c r="AX148" s="21">
        <f t="shared" si="114"/>
        <v>16.68753992957441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209.99999999999977</v>
      </c>
      <c r="BE148" s="13">
        <f>BD148*VLOOKUP('Données projet'!$B$11,Paramètres!$A$1:$I$89,3,0)*VLOOKUP('Données projet'!$B$11,Paramètres!$A$1:$I$89,5,0)</f>
        <v>212.9399999999998</v>
      </c>
      <c r="BF148" s="13">
        <f t="shared" si="145"/>
        <v>52.577528895212772</v>
      </c>
      <c r="BG148" s="20">
        <f t="shared" si="115"/>
        <v>462.44302949249521</v>
      </c>
      <c r="BH148" s="59">
        <f t="shared" si="116"/>
        <v>755.77636282582853</v>
      </c>
      <c r="BI148" s="59">
        <f ca="1">AVERAGE(OFFSET($BH$3,0,0,'Données projet'!$E$11+1,1))-AVERAGE(OFFSET($H$3,0,0,'Données projet'!$E$11+1,1))</f>
        <v>183.74583738362492</v>
      </c>
      <c r="BJ148" s="59">
        <f t="shared" si="146"/>
        <v>46.344307013926596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31.326139063580055</v>
      </c>
      <c r="BQ148" s="21">
        <f>EXP(-LN(2)/25)*BQ147+(1-EXP(-LN(2)/25))/(LN(2)/25)*Calculateur!BL148*Calculateur!BN148*VLOOKUP('Données projet'!$B$11,Paramètres!$A$1:$I$89,3,0)*0.475*44/12</f>
        <v>1.1747710946128538</v>
      </c>
      <c r="BR148" s="21">
        <f>EXP(-LN(2)/2)*BR147+(1-EXP(-LN(2)/2))/(LN(2)/2)*BL148*BO148*VLOOKUP('Données projet'!$B$11,Paramètres!$A$1:$I$89,3,0)*0.475*44/12</f>
        <v>3.9344585618552863E-3</v>
      </c>
      <c r="BS148" s="22">
        <f t="shared" si="117"/>
        <v>32.504844616754767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789.00000000000045</v>
      </c>
      <c r="BZ148" s="13">
        <f>BY148*VLOOKUP('Données projet'!$B$12,Paramètres!$A$1:$I$89,3,0)*VLOOKUP('Données projet'!$B$12,Paramètres!$A$1:$I$89,5,0)</f>
        <v>348.73800000000023</v>
      </c>
      <c r="CA148" s="13">
        <f t="shared" si="147"/>
        <v>81.302597726165047</v>
      </c>
      <c r="CB148" s="20">
        <f t="shared" si="118"/>
        <v>748.98737437307125</v>
      </c>
      <c r="CC148" s="59">
        <f t="shared" si="119"/>
        <v>1042.3207077064046</v>
      </c>
      <c r="CD148" s="59">
        <f ca="1">AVERAGE(OFFSET($CC$3,0,0,'Données projet'!$E$12+1,1))-AVERAGE(OFFSET($H$3,0,0,'Données projet'!$E$12+1,1))</f>
        <v>333.00091572040611</v>
      </c>
      <c r="CE148" s="59">
        <f t="shared" si="148"/>
        <v>267.06874181561398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15.923808202109038</v>
      </c>
      <c r="CL148" s="21">
        <f>EXP(-LN(2)/25)*CL147+(1-EXP(-LN(2)/25))/(LN(2)/25)*Calculateur!CG148*Calculateur!CI148*VLOOKUP('Données projet'!$B$12,Paramètres!$A$1:$I$89,3,0)*0.475*44/12</f>
        <v>3.9728437442626072</v>
      </c>
      <c r="CM148" s="21">
        <f>EXP(-LN(2)/2)*CM147+(1-EXP(-LN(2)/2))/(LN(2)/2)*CG148*CJ148*VLOOKUP('Données projet'!$B$12,Paramètres!$A$1:$I$89,3,0)*0.475*44/12</f>
        <v>3.2826384878331379E-10</v>
      </c>
      <c r="CN148" s="22">
        <f t="shared" si="120"/>
        <v>19.896651946699908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1">
        <f t="shared" si="140"/>
        <v>28.634183951187829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67">
        <f t="shared" si="110"/>
        <v>529.64507704831817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229</v>
      </c>
      <c r="O149" s="13">
        <f>N149*VLOOKUP('Données projet'!$B$9,Paramètres!$A$1:$I$89,3,0)*VLOOKUP('Données projet'!$B$9,Paramètres!$A$1:$I$89,5,0)</f>
        <v>136.94200000000001</v>
      </c>
      <c r="P149" s="13">
        <f t="shared" si="141"/>
        <v>35.595562742420903</v>
      </c>
      <c r="Q149" s="20">
        <f t="shared" si="108"/>
        <v>300.50292177638306</v>
      </c>
      <c r="R149" s="59">
        <f t="shared" si="109"/>
        <v>593.83625510971638</v>
      </c>
      <c r="S149" s="59">
        <f ca="1">AVERAGE(OFFSET($R$3,0,0,'Données projet'!$E$9+1,1))-AVERAGE(OFFSET($H$3,0,0,'Données projet'!$E$9+1,1))</f>
        <v>125.14227069357082</v>
      </c>
      <c r="T149" s="59">
        <f t="shared" si="142"/>
        <v>193.39407925063165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3.926350104411191</v>
      </c>
      <c r="AA149" s="21">
        <f>EXP(-LN(2)/25)*AA148+(1-EXP(-LN(2)/25))/(LN(2)/25)*Calculateur!V149*Calculateur!X149*VLOOKUP('Données projet'!$B$9,Paramètres!$A$1:$I$89,3,0)*0.475*44/12</f>
        <v>1.1999654275197744</v>
      </c>
      <c r="AB149" s="21">
        <f>EXP(-LN(2)/2)*AB148+(1-EXP(-LN(2)/2))/(LN(2)/2)*V149*Y149*VLOOKUP('Données projet'!$B$9,Paramètres!$A$1:$I$89,3,0)*0.475*44/12</f>
        <v>1.6871723828590926E-13</v>
      </c>
      <c r="AC149" s="22">
        <f t="shared" si="111"/>
        <v>5.1263155319311338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-5.999999999994543E-2</v>
      </c>
      <c r="AJ149" s="13">
        <f>AI149*VLOOKUP('Données projet'!$B$10,Paramètres!$A$1:$I$89,3,0)*VLOOKUP('Données projet'!$B$10,Paramètres!$A$1:$I$89,5,0)</f>
        <v>-2.8079999999974462E-2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74.573470247551825</v>
      </c>
      <c r="AO149" s="59">
        <f t="shared" si="144"/>
        <v>122.43655207772224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13.27904131169668</v>
      </c>
      <c r="AV149" s="21">
        <f>EXP(-LN(2)/25)*AV148+(1-EXP(-LN(2)/25))/(LN(2)/25)*Calculateur!AQ149*Calculateur!AS149*VLOOKUP('Données projet'!$B$10,Paramètres!$A$1:$I$89,3,0)*0.475*44/12</f>
        <v>3.0569537521817782</v>
      </c>
      <c r="AW149" s="21">
        <f>EXP(-LN(2)/2)*AW148+(1-EXP(-LN(2)/2))/(LN(2)/2)*AQ149*AT149*VLOOKUP('Données projet'!$B$10,Paramètres!$A$1:$I$89,3,0)*0.475*44/12</f>
        <v>4.9334215933880201E-12</v>
      </c>
      <c r="AX149" s="21">
        <f t="shared" si="114"/>
        <v>16.335995063883392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209.99999999999977</v>
      </c>
      <c r="BE149" s="13">
        <f>BD149*VLOOKUP('Données projet'!$B$11,Paramètres!$A$1:$I$89,3,0)*VLOOKUP('Données projet'!$B$11,Paramètres!$A$1:$I$89,5,0)</f>
        <v>212.9399999999998</v>
      </c>
      <c r="BF149" s="13">
        <f t="shared" si="145"/>
        <v>52.577528895212772</v>
      </c>
      <c r="BG149" s="20">
        <f t="shared" si="115"/>
        <v>462.44302949249521</v>
      </c>
      <c r="BH149" s="59">
        <f t="shared" si="116"/>
        <v>755.77636282582853</v>
      </c>
      <c r="BI149" s="59">
        <f ca="1">AVERAGE(OFFSET($BH$3,0,0,'Données projet'!$E$11+1,1))-AVERAGE(OFFSET($H$3,0,0,'Données projet'!$E$11+1,1))</f>
        <v>183.74583738362492</v>
      </c>
      <c r="BJ149" s="59">
        <f t="shared" si="146"/>
        <v>46.344307013926596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30.711852583601413</v>
      </c>
      <c r="BQ149" s="21">
        <f>EXP(-LN(2)/25)*BQ148+(1-EXP(-LN(2)/25))/(LN(2)/25)*Calculateur!BL149*Calculateur!BN149*VLOOKUP('Données projet'!$B$11,Paramètres!$A$1:$I$89,3,0)*0.475*44/12</f>
        <v>1.1426469172521385</v>
      </c>
      <c r="BR149" s="21">
        <f>EXP(-LN(2)/2)*BR148+(1-EXP(-LN(2)/2))/(LN(2)/2)*BL149*BO149*VLOOKUP('Données projet'!$B$11,Paramètres!$A$1:$I$89,3,0)*0.475*44/12</f>
        <v>2.7820823293853445E-3</v>
      </c>
      <c r="BS149" s="22">
        <f t="shared" si="117"/>
        <v>31.857281583182939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789.00000000000045</v>
      </c>
      <c r="BZ149" s="13">
        <f>BY149*VLOOKUP('Données projet'!$B$12,Paramètres!$A$1:$I$89,3,0)*VLOOKUP('Données projet'!$B$12,Paramètres!$A$1:$I$89,5,0)</f>
        <v>348.73800000000023</v>
      </c>
      <c r="CA149" s="13">
        <f t="shared" si="147"/>
        <v>81.302597726165047</v>
      </c>
      <c r="CB149" s="20">
        <f t="shared" si="118"/>
        <v>748.98737437307125</v>
      </c>
      <c r="CC149" s="59">
        <f t="shared" si="119"/>
        <v>1042.3207077064046</v>
      </c>
      <c r="CD149" s="59">
        <f ca="1">AVERAGE(OFFSET($CC$3,0,0,'Données projet'!$E$12+1,1))-AVERAGE(OFFSET($H$3,0,0,'Données projet'!$E$12+1,1))</f>
        <v>333.00091572040611</v>
      </c>
      <c r="CE149" s="59">
        <f t="shared" si="148"/>
        <v>267.06874181561398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15.611552035829646</v>
      </c>
      <c r="CL149" s="21">
        <f>EXP(-LN(2)/25)*CL148+(1-EXP(-LN(2)/25))/(LN(2)/25)*Calculateur!CG149*Calculateur!CI149*VLOOKUP('Données projet'!$B$12,Paramètres!$A$1:$I$89,3,0)*0.475*44/12</f>
        <v>3.8642061231529738</v>
      </c>
      <c r="CM149" s="21">
        <f>EXP(-LN(2)/2)*CM148+(1-EXP(-LN(2)/2))/(LN(2)/2)*CG149*CJ149*VLOOKUP('Données projet'!$B$12,Paramètres!$A$1:$I$89,3,0)*0.475*44/12</f>
        <v>2.3211759349307659E-10</v>
      </c>
      <c r="CN149" s="22">
        <f t="shared" si="120"/>
        <v>19.475758159214738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1">
        <f t="shared" si="140"/>
        <v>28.807410696029962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67">
        <f t="shared" si="110"/>
        <v>531.22377029558493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229</v>
      </c>
      <c r="O150" s="13">
        <f>N150*VLOOKUP('Données projet'!$B$9,Paramètres!$A$1:$I$89,3,0)*VLOOKUP('Données projet'!$B$9,Paramètres!$A$1:$I$89,5,0)</f>
        <v>136.94200000000001</v>
      </c>
      <c r="P150" s="13">
        <f t="shared" si="141"/>
        <v>35.595562742420903</v>
      </c>
      <c r="Q150" s="20">
        <f t="shared" si="108"/>
        <v>300.50292177638306</v>
      </c>
      <c r="R150" s="59">
        <f t="shared" si="109"/>
        <v>593.83625510971638</v>
      </c>
      <c r="S150" s="59">
        <f ca="1">AVERAGE(OFFSET($R$3,0,0,'Données projet'!$E$9+1,1))-AVERAGE(OFFSET($H$3,0,0,'Données projet'!$E$9+1,1))</f>
        <v>125.14227069357082</v>
      </c>
      <c r="T150" s="59">
        <f t="shared" si="142"/>
        <v>193.39407925063165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3.8493567737007806</v>
      </c>
      <c r="AA150" s="21">
        <f>EXP(-LN(2)/25)*AA149+(1-EXP(-LN(2)/25))/(LN(2)/25)*Calculateur!V150*Calculateur!X150*VLOOKUP('Données projet'!$B$9,Paramètres!$A$1:$I$89,3,0)*0.475*44/12</f>
        <v>1.167152309800807</v>
      </c>
      <c r="AB150" s="21">
        <f>EXP(-LN(2)/2)*AB149+(1-EXP(-LN(2)/2))/(LN(2)/2)*V150*Y150*VLOOKUP('Données projet'!$B$9,Paramètres!$A$1:$I$89,3,0)*0.475*44/12</f>
        <v>1.1930110329503304E-13</v>
      </c>
      <c r="AC150" s="22">
        <f t="shared" si="111"/>
        <v>5.0165090835017061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-5.999999999994543E-2</v>
      </c>
      <c r="AJ150" s="13">
        <f>AI150*VLOOKUP('Données projet'!$B$10,Paramètres!$A$1:$I$89,3,0)*VLOOKUP('Données projet'!$B$10,Paramètres!$A$1:$I$89,5,0)</f>
        <v>-2.8079999999974462E-2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74.573470247551825</v>
      </c>
      <c r="AO150" s="59">
        <f t="shared" si="144"/>
        <v>122.43655207772224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13.018647410989757</v>
      </c>
      <c r="AV150" s="21">
        <f>EXP(-LN(2)/25)*AV149+(1-EXP(-LN(2)/25))/(LN(2)/25)*Calculateur!AQ150*Calculateur!AS150*VLOOKUP('Données projet'!$B$10,Paramètres!$A$1:$I$89,3,0)*0.475*44/12</f>
        <v>2.9733611910701563</v>
      </c>
      <c r="AW150" s="21">
        <f>EXP(-LN(2)/2)*AW149+(1-EXP(-LN(2)/2))/(LN(2)/2)*AQ150*AT150*VLOOKUP('Données projet'!$B$10,Paramètres!$A$1:$I$89,3,0)*0.475*44/12</f>
        <v>3.4884558631368114E-12</v>
      </c>
      <c r="AX150" s="21">
        <f t="shared" si="114"/>
        <v>15.992008602063402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209.99999999999977</v>
      </c>
      <c r="BE150" s="13">
        <f>BD150*VLOOKUP('Données projet'!$B$11,Paramètres!$A$1:$I$89,3,0)*VLOOKUP('Données projet'!$B$11,Paramètres!$A$1:$I$89,5,0)</f>
        <v>212.9399999999998</v>
      </c>
      <c r="BF150" s="13">
        <f t="shared" si="145"/>
        <v>52.577528895212772</v>
      </c>
      <c r="BG150" s="20">
        <f t="shared" si="115"/>
        <v>462.44302949249521</v>
      </c>
      <c r="BH150" s="59">
        <f t="shared" si="116"/>
        <v>755.77636282582853</v>
      </c>
      <c r="BI150" s="59">
        <f ca="1">AVERAGE(OFFSET($BH$3,0,0,'Données projet'!$E$11+1,1))-AVERAGE(OFFSET($H$3,0,0,'Données projet'!$E$11+1,1))</f>
        <v>183.74583738362492</v>
      </c>
      <c r="BJ150" s="59">
        <f t="shared" si="146"/>
        <v>46.344307013926596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30.109611886817397</v>
      </c>
      <c r="BQ150" s="21">
        <f>EXP(-LN(2)/25)*BQ149+(1-EXP(-LN(2)/25))/(LN(2)/25)*Calculateur!BL150*Calculateur!BN150*VLOOKUP('Données projet'!$B$11,Paramètres!$A$1:$I$89,3,0)*0.475*44/12</f>
        <v>1.1114011772106889</v>
      </c>
      <c r="BR150" s="21">
        <f>EXP(-LN(2)/2)*BR149+(1-EXP(-LN(2)/2))/(LN(2)/2)*BL150*BO150*VLOOKUP('Données projet'!$B$11,Paramètres!$A$1:$I$89,3,0)*0.475*44/12</f>
        <v>1.9672292809276432E-3</v>
      </c>
      <c r="BS150" s="22">
        <f t="shared" si="117"/>
        <v>31.222980293309014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789.00000000000045</v>
      </c>
      <c r="BZ150" s="13">
        <f>BY150*VLOOKUP('Données projet'!$B$12,Paramètres!$A$1:$I$89,3,0)*VLOOKUP('Données projet'!$B$12,Paramètres!$A$1:$I$89,5,0)</f>
        <v>348.73800000000023</v>
      </c>
      <c r="CA150" s="13">
        <f t="shared" si="147"/>
        <v>81.302597726165047</v>
      </c>
      <c r="CB150" s="20">
        <f t="shared" si="118"/>
        <v>748.98737437307125</v>
      </c>
      <c r="CC150" s="59">
        <f t="shared" si="119"/>
        <v>1042.3207077064046</v>
      </c>
      <c r="CD150" s="59">
        <f ca="1">AVERAGE(OFFSET($CC$3,0,0,'Données projet'!$E$12+1,1))-AVERAGE(OFFSET($H$3,0,0,'Données projet'!$E$12+1,1))</f>
        <v>333.00091572040611</v>
      </c>
      <c r="CE150" s="59">
        <f t="shared" si="148"/>
        <v>267.06874181561398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15.305419022513538</v>
      </c>
      <c r="CL150" s="21">
        <f>EXP(-LN(2)/25)*CL149+(1-EXP(-LN(2)/25))/(LN(2)/25)*Calculateur!CG150*Calculateur!CI150*VLOOKUP('Données projet'!$B$12,Paramètres!$A$1:$I$89,3,0)*0.475*44/12</f>
        <v>3.7585392035055873</v>
      </c>
      <c r="CM150" s="21">
        <f>EXP(-LN(2)/2)*CM149+(1-EXP(-LN(2)/2))/(LN(2)/2)*CG150*CJ150*VLOOKUP('Données projet'!$B$12,Paramètres!$A$1:$I$89,3,0)*0.475*44/12</f>
        <v>1.6413192439165692E-10</v>
      </c>
      <c r="CN150" s="22">
        <f t="shared" si="120"/>
        <v>19.063958226183257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1">
        <f t="shared" si="140"/>
        <v>28.980500326746164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67">
        <f t="shared" si="110"/>
        <v>532.80222473574895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229</v>
      </c>
      <c r="O151" s="13">
        <f>N151*VLOOKUP('Données projet'!$B$9,Paramètres!$A$1:$I$89,3,0)*VLOOKUP('Données projet'!$B$9,Paramètres!$A$1:$I$89,5,0)</f>
        <v>136.94200000000001</v>
      </c>
      <c r="P151" s="13">
        <f t="shared" si="141"/>
        <v>35.595562742420903</v>
      </c>
      <c r="Q151" s="20">
        <f t="shared" si="108"/>
        <v>300.50292177638306</v>
      </c>
      <c r="R151" s="59">
        <f t="shared" si="109"/>
        <v>593.83625510971638</v>
      </c>
      <c r="S151" s="59">
        <f ca="1">AVERAGE(OFFSET($R$3,0,0,'Données projet'!$E$9+1,1))-AVERAGE(OFFSET($H$3,0,0,'Données projet'!$E$9+1,1))</f>
        <v>125.14227069357082</v>
      </c>
      <c r="T151" s="59">
        <f t="shared" si="142"/>
        <v>193.39407925063165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3.7738732352443067</v>
      </c>
      <c r="AA151" s="21">
        <f>EXP(-LN(2)/25)*AA150+(1-EXP(-LN(2)/25))/(LN(2)/25)*Calculateur!V151*Calculateur!X151*VLOOKUP('Données projet'!$B$9,Paramètres!$A$1:$I$89,3,0)*0.475*44/12</f>
        <v>1.1352364685114316</v>
      </c>
      <c r="AB151" s="21">
        <f>EXP(-LN(2)/2)*AB150+(1-EXP(-LN(2)/2))/(LN(2)/2)*V151*Y151*VLOOKUP('Données projet'!$B$9,Paramètres!$A$1:$I$89,3,0)*0.475*44/12</f>
        <v>8.435861914295463E-14</v>
      </c>
      <c r="AC151" s="22">
        <f t="shared" si="111"/>
        <v>4.9091097037558225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-5.999999999994543E-2</v>
      </c>
      <c r="AJ151" s="13">
        <f>AI151*VLOOKUP('Données projet'!$B$10,Paramètres!$A$1:$I$89,3,0)*VLOOKUP('Données projet'!$B$10,Paramètres!$A$1:$I$89,5,0)</f>
        <v>-2.8079999999974462E-2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74.573470247551825</v>
      </c>
      <c r="AO151" s="59">
        <f t="shared" si="144"/>
        <v>122.43655207772224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12.763359675851101</v>
      </c>
      <c r="AV151" s="21">
        <f>EXP(-LN(2)/25)*AV150+(1-EXP(-LN(2)/25))/(LN(2)/25)*Calculateur!AQ151*Calculateur!AS151*VLOOKUP('Données projet'!$B$10,Paramètres!$A$1:$I$89,3,0)*0.475*44/12</f>
        <v>2.8920544729380735</v>
      </c>
      <c r="AW151" s="21">
        <f>EXP(-LN(2)/2)*AW150+(1-EXP(-LN(2)/2))/(LN(2)/2)*AQ151*AT151*VLOOKUP('Données projet'!$B$10,Paramètres!$A$1:$I$89,3,0)*0.475*44/12</f>
        <v>2.4667107966940101E-12</v>
      </c>
      <c r="AX151" s="21">
        <f t="shared" si="114"/>
        <v>15.655414148791641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209.99999999999977</v>
      </c>
      <c r="BE151" s="13">
        <f>BD151*VLOOKUP('Données projet'!$B$11,Paramètres!$A$1:$I$89,3,0)*VLOOKUP('Données projet'!$B$11,Paramètres!$A$1:$I$89,5,0)</f>
        <v>212.9399999999998</v>
      </c>
      <c r="BF151" s="13">
        <f t="shared" si="145"/>
        <v>52.577528895212772</v>
      </c>
      <c r="BG151" s="20">
        <f t="shared" si="115"/>
        <v>462.44302949249521</v>
      </c>
      <c r="BH151" s="59">
        <f t="shared" si="116"/>
        <v>755.77636282582853</v>
      </c>
      <c r="BI151" s="59">
        <f ca="1">AVERAGE(OFFSET($BH$3,0,0,'Données projet'!$E$11+1,1))-AVERAGE(OFFSET($H$3,0,0,'Données projet'!$E$11+1,1))</f>
        <v>183.74583738362492</v>
      </c>
      <c r="BJ151" s="59">
        <f t="shared" si="146"/>
        <v>46.344307013926596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29.519180762766762</v>
      </c>
      <c r="BQ151" s="21">
        <f>EXP(-LN(2)/25)*BQ150+(1-EXP(-LN(2)/25))/(LN(2)/25)*Calculateur!BL151*Calculateur!BN151*VLOOKUP('Données projet'!$B$11,Paramètres!$A$1:$I$89,3,0)*0.475*44/12</f>
        <v>1.0810098535738148</v>
      </c>
      <c r="BR151" s="21">
        <f>EXP(-LN(2)/2)*BR150+(1-EXP(-LN(2)/2))/(LN(2)/2)*BL151*BO151*VLOOKUP('Données projet'!$B$11,Paramètres!$A$1:$I$89,3,0)*0.475*44/12</f>
        <v>1.3910411646926722E-3</v>
      </c>
      <c r="BS151" s="22">
        <f t="shared" si="117"/>
        <v>30.601581657505267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789.00000000000045</v>
      </c>
      <c r="BZ151" s="13">
        <f>BY151*VLOOKUP('Données projet'!$B$12,Paramètres!$A$1:$I$89,3,0)*VLOOKUP('Données projet'!$B$12,Paramètres!$A$1:$I$89,5,0)</f>
        <v>348.73800000000023</v>
      </c>
      <c r="CA151" s="13">
        <f t="shared" si="147"/>
        <v>81.302597726165047</v>
      </c>
      <c r="CB151" s="20">
        <f t="shared" si="118"/>
        <v>748.98737437307125</v>
      </c>
      <c r="CC151" s="59">
        <f t="shared" si="119"/>
        <v>1042.3207077064046</v>
      </c>
      <c r="CD151" s="59">
        <f ca="1">AVERAGE(OFFSET($CC$3,0,0,'Données projet'!$E$12+1,1))-AVERAGE(OFFSET($H$3,0,0,'Données projet'!$E$12+1,1))</f>
        <v>333.00091572040611</v>
      </c>
      <c r="CE151" s="59">
        <f t="shared" si="148"/>
        <v>267.06874181561398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15.005289090865858</v>
      </c>
      <c r="CL151" s="21">
        <f>EXP(-LN(2)/25)*CL150+(1-EXP(-LN(2)/25))/(LN(2)/25)*Calculateur!CG151*Calculateur!CI151*VLOOKUP('Données projet'!$B$12,Paramètres!$A$1:$I$89,3,0)*0.475*44/12</f>
        <v>3.6557617513327405</v>
      </c>
      <c r="CM151" s="21">
        <f>EXP(-LN(2)/2)*CM150+(1-EXP(-LN(2)/2))/(LN(2)/2)*CG151*CJ151*VLOOKUP('Données projet'!$B$12,Paramètres!$A$1:$I$89,3,0)*0.475*44/12</f>
        <v>1.1605879674653832E-10</v>
      </c>
      <c r="CN151" s="22">
        <f t="shared" si="120"/>
        <v>18.661050842314658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1">
        <f t="shared" si="140"/>
        <v>29.153453877230778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67">
        <f t="shared" si="110"/>
        <v>534.38044216950959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229</v>
      </c>
      <c r="O152" s="13">
        <f>N152*VLOOKUP('Données projet'!$B$9,Paramètres!$A$1:$I$89,3,0)*VLOOKUP('Données projet'!$B$9,Paramètres!$A$1:$I$89,5,0)</f>
        <v>136.94200000000001</v>
      </c>
      <c r="P152" s="13">
        <f t="shared" si="141"/>
        <v>35.595562742420903</v>
      </c>
      <c r="Q152" s="20">
        <f t="shared" si="108"/>
        <v>300.50292177638306</v>
      </c>
      <c r="R152" s="59">
        <f t="shared" si="109"/>
        <v>593.83625510971638</v>
      </c>
      <c r="S152" s="59">
        <f ca="1">AVERAGE(OFFSET($R$3,0,0,'Données projet'!$E$9+1,1))-AVERAGE(OFFSET($H$3,0,0,'Données projet'!$E$9+1,1))</f>
        <v>125.14227069357082</v>
      </c>
      <c r="T152" s="59">
        <f t="shared" si="142"/>
        <v>193.39407925063165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3.6998698829365519</v>
      </c>
      <c r="AA152" s="21">
        <f>EXP(-LN(2)/25)*AA151+(1-EXP(-LN(2)/25))/(LN(2)/25)*Calculateur!V152*Calculateur!X152*VLOOKUP('Données projet'!$B$9,Paramètres!$A$1:$I$89,3,0)*0.475*44/12</f>
        <v>1.1041933675804951</v>
      </c>
      <c r="AB152" s="21">
        <f>EXP(-LN(2)/2)*AB151+(1-EXP(-LN(2)/2))/(LN(2)/2)*V152*Y152*VLOOKUP('Données projet'!$B$9,Paramètres!$A$1:$I$89,3,0)*0.475*44/12</f>
        <v>5.9650551647516518E-14</v>
      </c>
      <c r="AC152" s="22">
        <f t="shared" si="111"/>
        <v>4.8040632505171068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-5.999999999994543E-2</v>
      </c>
      <c r="AJ152" s="13">
        <f>AI152*VLOOKUP('Données projet'!$B$10,Paramètres!$A$1:$I$89,3,0)*VLOOKUP('Données projet'!$B$10,Paramètres!$A$1:$I$89,5,0)</f>
        <v>-2.8079999999974462E-2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74.573470247551825</v>
      </c>
      <c r="AO152" s="59">
        <f t="shared" si="144"/>
        <v>122.43655207772224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12.51307797748837</v>
      </c>
      <c r="AV152" s="21">
        <f>EXP(-LN(2)/25)*AV151+(1-EXP(-LN(2)/25))/(LN(2)/25)*Calculateur!AQ152*Calculateur!AS152*VLOOKUP('Données projet'!$B$10,Paramètres!$A$1:$I$89,3,0)*0.475*44/12</f>
        <v>2.8129710912890471</v>
      </c>
      <c r="AW152" s="21">
        <f>EXP(-LN(2)/2)*AW151+(1-EXP(-LN(2)/2))/(LN(2)/2)*AQ152*AT152*VLOOKUP('Données projet'!$B$10,Paramètres!$A$1:$I$89,3,0)*0.475*44/12</f>
        <v>1.7442279315684057E-12</v>
      </c>
      <c r="AX152" s="21">
        <f t="shared" si="114"/>
        <v>15.326049068779161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209.99999999999977</v>
      </c>
      <c r="BE152" s="13">
        <f>BD152*VLOOKUP('Données projet'!$B$11,Paramètres!$A$1:$I$89,3,0)*VLOOKUP('Données projet'!$B$11,Paramètres!$A$1:$I$89,5,0)</f>
        <v>212.9399999999998</v>
      </c>
      <c r="BF152" s="13">
        <f t="shared" si="145"/>
        <v>52.577528895212772</v>
      </c>
      <c r="BG152" s="20">
        <f t="shared" si="115"/>
        <v>462.44302949249521</v>
      </c>
      <c r="BH152" s="59">
        <f t="shared" si="116"/>
        <v>755.77636282582853</v>
      </c>
      <c r="BI152" s="59">
        <f ca="1">AVERAGE(OFFSET($BH$3,0,0,'Données projet'!$E$11+1,1))-AVERAGE(OFFSET($H$3,0,0,'Données projet'!$E$11+1,1))</f>
        <v>183.74583738362492</v>
      </c>
      <c r="BJ152" s="59">
        <f t="shared" si="146"/>
        <v>46.344307013926596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28.940327632931332</v>
      </c>
      <c r="BQ152" s="21">
        <f>EXP(-LN(2)/25)*BQ151+(1-EXP(-LN(2)/25))/(LN(2)/25)*Calculateur!BL152*Calculateur!BN152*VLOOKUP('Données projet'!$B$11,Paramètres!$A$1:$I$89,3,0)*0.475*44/12</f>
        <v>1.0514495822800014</v>
      </c>
      <c r="BR152" s="21">
        <f>EXP(-LN(2)/2)*BR151+(1-EXP(-LN(2)/2))/(LN(2)/2)*BL152*BO152*VLOOKUP('Données projet'!$B$11,Paramètres!$A$1:$I$89,3,0)*0.475*44/12</f>
        <v>9.8361464046382158E-4</v>
      </c>
      <c r="BS152" s="22">
        <f t="shared" si="117"/>
        <v>29.992760829851797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789.00000000000045</v>
      </c>
      <c r="BZ152" s="13">
        <f>BY152*VLOOKUP('Données projet'!$B$12,Paramètres!$A$1:$I$89,3,0)*VLOOKUP('Données projet'!$B$12,Paramètres!$A$1:$I$89,5,0)</f>
        <v>348.73800000000023</v>
      </c>
      <c r="CA152" s="13">
        <f t="shared" si="147"/>
        <v>81.302597726165047</v>
      </c>
      <c r="CB152" s="20">
        <f t="shared" si="118"/>
        <v>748.98737437307125</v>
      </c>
      <c r="CC152" s="59">
        <f t="shared" si="119"/>
        <v>1042.3207077064046</v>
      </c>
      <c r="CD152" s="59">
        <f ca="1">AVERAGE(OFFSET($CC$3,0,0,'Données projet'!$E$12+1,1))-AVERAGE(OFFSET($H$3,0,0,'Données projet'!$E$12+1,1))</f>
        <v>333.00091572040611</v>
      </c>
      <c r="CE152" s="59">
        <f t="shared" si="148"/>
        <v>267.06874181561398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14.711044524116607</v>
      </c>
      <c r="CL152" s="21">
        <f>EXP(-LN(2)/25)*CL151+(1-EXP(-LN(2)/25))/(LN(2)/25)*Calculateur!CG152*Calculateur!CI152*VLOOKUP('Données projet'!$B$12,Paramètres!$A$1:$I$89,3,0)*0.475*44/12</f>
        <v>3.5557947539943915</v>
      </c>
      <c r="CM152" s="21">
        <f>EXP(-LN(2)/2)*CM151+(1-EXP(-LN(2)/2))/(LN(2)/2)*CG152*CJ152*VLOOKUP('Données projet'!$B$12,Paramètres!$A$1:$I$89,3,0)*0.475*44/12</f>
        <v>8.2065962195828473E-11</v>
      </c>
      <c r="CN152" s="22">
        <f t="shared" si="120"/>
        <v>18.266839278193068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1">
        <f t="shared" si="140"/>
        <v>29.326272366698181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67">
        <f t="shared" si="110"/>
        <v>535.95842437199872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229</v>
      </c>
      <c r="O153" s="13">
        <f>N153*VLOOKUP('Données projet'!$B$9,Paramètres!$A$1:$I$89,3,0)*VLOOKUP('Données projet'!$B$9,Paramètres!$A$1:$I$89,5,0)</f>
        <v>136.94200000000001</v>
      </c>
      <c r="P153" s="13">
        <f t="shared" si="141"/>
        <v>35.595562742420903</v>
      </c>
      <c r="Q153" s="20">
        <f t="shared" si="108"/>
        <v>300.50292177638306</v>
      </c>
      <c r="R153" s="59">
        <f t="shared" si="109"/>
        <v>593.83625510971638</v>
      </c>
      <c r="S153" s="59">
        <f ca="1">AVERAGE(OFFSET($R$3,0,0,'Données projet'!$E$9+1,1))-AVERAGE(OFFSET($H$3,0,0,'Données projet'!$E$9+1,1))</f>
        <v>125.14227069357082</v>
      </c>
      <c r="T153" s="59">
        <f t="shared" si="142"/>
        <v>193.39407925063165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3.6273176912299645</v>
      </c>
      <c r="AA153" s="21">
        <f>EXP(-LN(2)/25)*AA152+(1-EXP(-LN(2)/25))/(LN(2)/25)*Calculateur!V153*Calculateur!X153*VLOOKUP('Données projet'!$B$9,Paramètres!$A$1:$I$89,3,0)*0.475*44/12</f>
        <v>1.073999141877001</v>
      </c>
      <c r="AB153" s="21">
        <f>EXP(-LN(2)/2)*AB152+(1-EXP(-LN(2)/2))/(LN(2)/2)*V153*Y153*VLOOKUP('Données projet'!$B$9,Paramètres!$A$1:$I$89,3,0)*0.475*44/12</f>
        <v>4.2179309571477315E-14</v>
      </c>
      <c r="AC153" s="22">
        <f t="shared" si="111"/>
        <v>4.7013168331070068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-5.999999999994543E-2</v>
      </c>
      <c r="AJ153" s="13">
        <f>AI153*VLOOKUP('Données projet'!$B$10,Paramètres!$A$1:$I$89,3,0)*VLOOKUP('Données projet'!$B$10,Paramètres!$A$1:$I$89,5,0)</f>
        <v>-2.8079999999974462E-2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74.573470247551825</v>
      </c>
      <c r="AO153" s="59">
        <f t="shared" si="144"/>
        <v>122.43655207772224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12.267704150573771</v>
      </c>
      <c r="AV153" s="21">
        <f>EXP(-LN(2)/25)*AV152+(1-EXP(-LN(2)/25))/(LN(2)/25)*Calculateur!AQ153*Calculateur!AS153*VLOOKUP('Données projet'!$B$10,Paramètres!$A$1:$I$89,3,0)*0.475*44/12</f>
        <v>2.7360502488700273</v>
      </c>
      <c r="AW153" s="21">
        <f>EXP(-LN(2)/2)*AW152+(1-EXP(-LN(2)/2))/(LN(2)/2)*AQ153*AT153*VLOOKUP('Données projet'!$B$10,Paramètres!$A$1:$I$89,3,0)*0.475*44/12</f>
        <v>1.233355398347005E-12</v>
      </c>
      <c r="AX153" s="21">
        <f t="shared" si="114"/>
        <v>15.003754399445031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209.99999999999977</v>
      </c>
      <c r="BE153" s="13">
        <f>BD153*VLOOKUP('Données projet'!$B$11,Paramètres!$A$1:$I$89,3,0)*VLOOKUP('Données projet'!$B$11,Paramètres!$A$1:$I$89,5,0)</f>
        <v>212.9399999999998</v>
      </c>
      <c r="BF153" s="13">
        <f t="shared" si="145"/>
        <v>52.577528895212772</v>
      </c>
      <c r="BG153" s="20">
        <f t="shared" si="115"/>
        <v>462.44302949249521</v>
      </c>
      <c r="BH153" s="59">
        <f t="shared" si="116"/>
        <v>755.77636282582853</v>
      </c>
      <c r="BI153" s="59">
        <f ca="1">AVERAGE(OFFSET($BH$3,0,0,'Données projet'!$E$11+1,1))-AVERAGE(OFFSET($H$3,0,0,'Données projet'!$E$11+1,1))</f>
        <v>183.74583738362492</v>
      </c>
      <c r="BJ153" s="59">
        <f t="shared" si="146"/>
        <v>46.344307013926596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28.37282545990643</v>
      </c>
      <c r="BQ153" s="21">
        <f>EXP(-LN(2)/25)*BQ152+(1-EXP(-LN(2)/25))/(LN(2)/25)*Calculateur!BL153*Calculateur!BN153*VLOOKUP('Données projet'!$B$11,Paramètres!$A$1:$I$89,3,0)*0.475*44/12</f>
        <v>1.0226976381592243</v>
      </c>
      <c r="BR153" s="21">
        <f>EXP(-LN(2)/2)*BR152+(1-EXP(-LN(2)/2))/(LN(2)/2)*BL153*BO153*VLOOKUP('Données projet'!$B$11,Paramètres!$A$1:$I$89,3,0)*0.475*44/12</f>
        <v>6.9552058234633612E-4</v>
      </c>
      <c r="BS153" s="22">
        <f t="shared" si="117"/>
        <v>29.396218618648003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789.00000000000045</v>
      </c>
      <c r="BZ153" s="13">
        <f>BY153*VLOOKUP('Données projet'!$B$12,Paramètres!$A$1:$I$89,3,0)*VLOOKUP('Données projet'!$B$12,Paramètres!$A$1:$I$89,5,0)</f>
        <v>348.73800000000023</v>
      </c>
      <c r="CA153" s="13">
        <f t="shared" si="147"/>
        <v>81.302597726165047</v>
      </c>
      <c r="CB153" s="20">
        <f t="shared" si="118"/>
        <v>748.98737437307125</v>
      </c>
      <c r="CC153" s="59">
        <f t="shared" si="119"/>
        <v>1042.3207077064046</v>
      </c>
      <c r="CD153" s="59">
        <f ca="1">AVERAGE(OFFSET($CC$3,0,0,'Données projet'!$E$12+1,1))-AVERAGE(OFFSET($H$3,0,0,'Données projet'!$E$12+1,1))</f>
        <v>333.00091572040611</v>
      </c>
      <c r="CE153" s="59">
        <f t="shared" si="148"/>
        <v>267.06874181561398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14.422569913849845</v>
      </c>
      <c r="CL153" s="21">
        <f>EXP(-LN(2)/25)*CL152+(1-EXP(-LN(2)/25))/(LN(2)/25)*Calculateur!CG153*Calculateur!CI153*VLOOKUP('Données projet'!$B$12,Paramètres!$A$1:$I$89,3,0)*0.475*44/12</f>
        <v>3.4585613594552957</v>
      </c>
      <c r="CM153" s="21">
        <f>EXP(-LN(2)/2)*CM152+(1-EXP(-LN(2)/2))/(LN(2)/2)*CG153*CJ153*VLOOKUP('Données projet'!$B$12,Paramètres!$A$1:$I$89,3,0)*0.475*44/12</f>
        <v>5.8029398373269168E-11</v>
      </c>
      <c r="CN153" s="22">
        <f t="shared" si="120"/>
        <v>17.88113127336317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1">
        <f t="shared" si="140"/>
        <v>29.498956799987411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67">
        <f t="shared" si="110"/>
        <v>537.53617309331071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229</v>
      </c>
      <c r="O154" s="13">
        <f>N154*VLOOKUP('Données projet'!$B$9,Paramètres!$A$1:$I$89,3,0)*VLOOKUP('Données projet'!$B$9,Paramètres!$A$1:$I$89,5,0)</f>
        <v>136.94200000000001</v>
      </c>
      <c r="P154" s="13">
        <f t="shared" si="141"/>
        <v>35.595562742420903</v>
      </c>
      <c r="Q154" s="20">
        <f t="shared" ref="Q154:Q203" si="162">(O154+P154)*0.475*44/12</f>
        <v>300.50292177638306</v>
      </c>
      <c r="R154" s="59">
        <f t="shared" si="109"/>
        <v>593.83625510971638</v>
      </c>
      <c r="S154" s="59">
        <f ca="1">AVERAGE(OFFSET($R$3,0,0,'Données projet'!$E$9+1,1))-AVERAGE(OFFSET($H$3,0,0,'Données projet'!$E$9+1,1))</f>
        <v>125.14227069357082</v>
      </c>
      <c r="T154" s="59">
        <f t="shared" si="142"/>
        <v>193.39407925063165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3.5561882037502759</v>
      </c>
      <c r="AA154" s="21">
        <f>EXP(-LN(2)/25)*AA153+(1-EXP(-LN(2)/25))/(LN(2)/25)*Calculateur!V154*Calculateur!X154*VLOOKUP('Données projet'!$B$9,Paramètres!$A$1:$I$89,3,0)*0.475*44/12</f>
        <v>1.0446305788632142</v>
      </c>
      <c r="AB154" s="21">
        <f>EXP(-LN(2)/2)*AB153+(1-EXP(-LN(2)/2))/(LN(2)/2)*V154*Y154*VLOOKUP('Données projet'!$B$9,Paramètres!$A$1:$I$89,3,0)*0.475*44/12</f>
        <v>2.9825275823758259E-14</v>
      </c>
      <c r="AC154" s="22">
        <f t="shared" ref="AC154:AC203" si="163">SUM(Z154:AB154)</f>
        <v>4.6008187826135201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-5.999999999994543E-2</v>
      </c>
      <c r="AJ154" s="13">
        <f>AI154*VLOOKUP('Données projet'!$B$10,Paramètres!$A$1:$I$89,3,0)*VLOOKUP('Données projet'!$B$10,Paramètres!$A$1:$I$89,5,0)</f>
        <v>-2.8079999999974462E-2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74.573470247551825</v>
      </c>
      <c r="AO154" s="59">
        <f t="shared" si="144"/>
        <v>122.43655207772224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12.02714195474171</v>
      </c>
      <c r="AV154" s="21">
        <f>EXP(-LN(2)/25)*AV153+(1-EXP(-LN(2)/25))/(LN(2)/25)*Calculateur!AQ154*Calculateur!AS154*VLOOKUP('Données projet'!$B$10,Paramètres!$A$1:$I$89,3,0)*0.475*44/12</f>
        <v>2.6612328109320473</v>
      </c>
      <c r="AW154" s="21">
        <f>EXP(-LN(2)/2)*AW153+(1-EXP(-LN(2)/2))/(LN(2)/2)*AQ154*AT154*VLOOKUP('Données projet'!$B$10,Paramètres!$A$1:$I$89,3,0)*0.475*44/12</f>
        <v>8.7211396578420286E-13</v>
      </c>
      <c r="AX154" s="21">
        <f t="shared" ref="AX154:AX203" si="166">SUM(AU154:AW154)</f>
        <v>14.688374765674629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209.99999999999977</v>
      </c>
      <c r="BE154" s="13">
        <f>BD154*VLOOKUP('Données projet'!$B$11,Paramètres!$A$1:$I$89,3,0)*VLOOKUP('Données projet'!$B$11,Paramètres!$A$1:$I$89,5,0)</f>
        <v>212.9399999999998</v>
      </c>
      <c r="BF154" s="13">
        <f t="shared" ref="BF154:BF203" si="167">EXP(-1.0587+0.8836*LN(BE154)+0.284)</f>
        <v>52.577528895212772</v>
      </c>
      <c r="BG154" s="20">
        <f t="shared" ref="BG154:BG203" si="168">(BE154+BF154)*0.475*44/12</f>
        <v>462.44302949249521</v>
      </c>
      <c r="BH154" s="59">
        <f t="shared" si="116"/>
        <v>755.77636282582853</v>
      </c>
      <c r="BI154" s="59">
        <f ca="1">AVERAGE(OFFSET($BH$3,0,0,'Données projet'!$E$11+1,1))-AVERAGE(OFFSET($H$3,0,0,'Données projet'!$E$11+1,1))</f>
        <v>183.74583738362492</v>
      </c>
      <c r="BJ154" s="59">
        <f t="shared" si="146"/>
        <v>46.344307013926596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27.816451658352399</v>
      </c>
      <c r="BQ154" s="21">
        <f>EXP(-LN(2)/25)*BQ153+(1-EXP(-LN(2)/25))/(LN(2)/25)*Calculateur!BL154*Calculateur!BN154*VLOOKUP('Données projet'!$B$11,Paramètres!$A$1:$I$89,3,0)*0.475*44/12</f>
        <v>0.99473191746242895</v>
      </c>
      <c r="BR154" s="21">
        <f>EXP(-LN(2)/2)*BR153+(1-EXP(-LN(2)/2))/(LN(2)/2)*BL154*BO154*VLOOKUP('Données projet'!$B$11,Paramètres!$A$1:$I$89,3,0)*0.475*44/12</f>
        <v>4.9180732023191079E-4</v>
      </c>
      <c r="BS154" s="22">
        <f t="shared" ref="BS154:BS203" si="169">SUM(BP154:BR154)</f>
        <v>28.811675383135057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789.00000000000045</v>
      </c>
      <c r="BZ154" s="13">
        <f>BY154*VLOOKUP('Données projet'!$B$12,Paramètres!$A$1:$I$89,3,0)*VLOOKUP('Données projet'!$B$12,Paramètres!$A$1:$I$89,5,0)</f>
        <v>348.73800000000023</v>
      </c>
      <c r="CA154" s="13">
        <f t="shared" ref="CA154:CA203" si="170">EXP(-1.0587+0.8836*LN(BZ154)+0.284)</f>
        <v>81.302597726165047</v>
      </c>
      <c r="CB154" s="20">
        <f t="shared" ref="CB154:CB203" si="171">(BZ154+CA154)*0.475*44/12</f>
        <v>748.98737437307125</v>
      </c>
      <c r="CC154" s="59">
        <f t="shared" si="119"/>
        <v>1042.3207077064046</v>
      </c>
      <c r="CD154" s="59">
        <f ca="1">AVERAGE(OFFSET($CC$3,0,0,'Données projet'!$E$12+1,1))-AVERAGE(OFFSET($H$3,0,0,'Données projet'!$E$12+1,1))</f>
        <v>333.00091572040611</v>
      </c>
      <c r="CE154" s="59">
        <f t="shared" si="148"/>
        <v>267.06874181561398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14.139752114738275</v>
      </c>
      <c r="CL154" s="21">
        <f>EXP(-LN(2)/25)*CL153+(1-EXP(-LN(2)/25))/(LN(2)/25)*Calculateur!CG154*Calculateur!CI154*VLOOKUP('Données projet'!$B$12,Paramètres!$A$1:$I$89,3,0)*0.475*44/12</f>
        <v>3.3639868172031533</v>
      </c>
      <c r="CM154" s="21">
        <f>EXP(-LN(2)/2)*CM153+(1-EXP(-LN(2)/2))/(LN(2)/2)*CG154*CJ154*VLOOKUP('Données projet'!$B$12,Paramètres!$A$1:$I$89,3,0)*0.475*44/12</f>
        <v>4.1032981097914243E-11</v>
      </c>
      <c r="CN154" s="22">
        <f t="shared" ref="CN154:CN203" si="172">SUM(CK154:CM154)</f>
        <v>17.503738931982461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1">
        <f t="shared" si="140"/>
        <v>29.671508167859105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67">
        <f t="shared" si="110"/>
        <v>539.11369005902054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229</v>
      </c>
      <c r="O155" s="13">
        <f>N155*VLOOKUP('Données projet'!$B$9,Paramètres!$A$1:$I$89,3,0)*VLOOKUP('Données projet'!$B$9,Paramètres!$A$1:$I$89,5,0)</f>
        <v>136.94200000000001</v>
      </c>
      <c r="P155" s="13">
        <f t="shared" si="141"/>
        <v>35.595562742420903</v>
      </c>
      <c r="Q155" s="20">
        <f t="shared" si="162"/>
        <v>300.50292177638306</v>
      </c>
      <c r="R155" s="59">
        <f t="shared" si="109"/>
        <v>593.83625510971638</v>
      </c>
      <c r="S155" s="59">
        <f ca="1">AVERAGE(OFFSET($R$3,0,0,'Données projet'!$E$9+1,1))-AVERAGE(OFFSET($H$3,0,0,'Données projet'!$E$9+1,1))</f>
        <v>125.14227069357082</v>
      </c>
      <c r="T155" s="59">
        <f t="shared" si="142"/>
        <v>193.39407925063165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3.4864535221353603</v>
      </c>
      <c r="AA155" s="21">
        <f>EXP(-LN(2)/25)*AA154+(1-EXP(-LN(2)/25))/(LN(2)/25)*Calculateur!V155*Calculateur!X155*VLOOKUP('Données projet'!$B$9,Paramètres!$A$1:$I$89,3,0)*0.475*44/12</f>
        <v>1.016065100749465</v>
      </c>
      <c r="AB155" s="21">
        <f>EXP(-LN(2)/2)*AB154+(1-EXP(-LN(2)/2))/(LN(2)/2)*V155*Y155*VLOOKUP('Données projet'!$B$9,Paramètres!$A$1:$I$89,3,0)*0.475*44/12</f>
        <v>2.1089654785738658E-14</v>
      </c>
      <c r="AC155" s="22">
        <f t="shared" si="163"/>
        <v>4.5025186228848462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-5.999999999994543E-2</v>
      </c>
      <c r="AJ155" s="13">
        <f>AI155*VLOOKUP('Données projet'!$B$10,Paramètres!$A$1:$I$89,3,0)*VLOOKUP('Données projet'!$B$10,Paramètres!$A$1:$I$89,5,0)</f>
        <v>-2.8079999999974462E-2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74.573470247551825</v>
      </c>
      <c r="AO155" s="59">
        <f t="shared" si="144"/>
        <v>122.43655207772224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11.791297036841463</v>
      </c>
      <c r="AV155" s="21">
        <f>EXP(-LN(2)/25)*AV154+(1-EXP(-LN(2)/25))/(LN(2)/25)*Calculateur!AQ155*Calculateur!AS155*VLOOKUP('Données projet'!$B$10,Paramètres!$A$1:$I$89,3,0)*0.475*44/12</f>
        <v>2.5884612597689594</v>
      </c>
      <c r="AW155" s="21">
        <f>EXP(-LN(2)/2)*AW154+(1-EXP(-LN(2)/2))/(LN(2)/2)*AQ155*AT155*VLOOKUP('Données projet'!$B$10,Paramètres!$A$1:$I$89,3,0)*0.475*44/12</f>
        <v>6.1667769917350252E-13</v>
      </c>
      <c r="AX155" s="21">
        <f t="shared" si="166"/>
        <v>14.379758296611039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209.99999999999977</v>
      </c>
      <c r="BE155" s="13">
        <f>BD155*VLOOKUP('Données projet'!$B$11,Paramètres!$A$1:$I$89,3,0)*VLOOKUP('Données projet'!$B$11,Paramètres!$A$1:$I$89,5,0)</f>
        <v>212.9399999999998</v>
      </c>
      <c r="BF155" s="13">
        <f t="shared" si="167"/>
        <v>52.577528895212772</v>
      </c>
      <c r="BG155" s="20">
        <f t="shared" si="168"/>
        <v>462.44302949249521</v>
      </c>
      <c r="BH155" s="59">
        <f t="shared" si="116"/>
        <v>755.77636282582853</v>
      </c>
      <c r="BI155" s="59">
        <f ca="1">AVERAGE(OFFSET($BH$3,0,0,'Données projet'!$E$11+1,1))-AVERAGE(OFFSET($H$3,0,0,'Données projet'!$E$11+1,1))</f>
        <v>183.74583738362492</v>
      </c>
      <c r="BJ155" s="59">
        <f t="shared" si="146"/>
        <v>46.344307013926596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27.270988007692331</v>
      </c>
      <c r="BQ155" s="21">
        <f>EXP(-LN(2)/25)*BQ154+(1-EXP(-LN(2)/25))/(LN(2)/25)*Calculateur!BL155*Calculateur!BN155*VLOOKUP('Données projet'!$B$11,Paramètres!$A$1:$I$89,3,0)*0.475*44/12</f>
        <v>0.96753092086874082</v>
      </c>
      <c r="BR155" s="21">
        <f>EXP(-LN(2)/2)*BR154+(1-EXP(-LN(2)/2))/(LN(2)/2)*BL155*BO155*VLOOKUP('Données projet'!$B$11,Paramètres!$A$1:$I$89,3,0)*0.475*44/12</f>
        <v>3.4776029117316806E-4</v>
      </c>
      <c r="BS155" s="22">
        <f t="shared" si="169"/>
        <v>28.238866688852244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789.00000000000045</v>
      </c>
      <c r="BZ155" s="13">
        <f>BY155*VLOOKUP('Données projet'!$B$12,Paramètres!$A$1:$I$89,3,0)*VLOOKUP('Données projet'!$B$12,Paramètres!$A$1:$I$89,5,0)</f>
        <v>348.73800000000023</v>
      </c>
      <c r="CA155" s="13">
        <f t="shared" si="170"/>
        <v>81.302597726165047</v>
      </c>
      <c r="CB155" s="20">
        <f t="shared" si="171"/>
        <v>748.98737437307125</v>
      </c>
      <c r="CC155" s="59">
        <f t="shared" si="119"/>
        <v>1042.3207077064046</v>
      </c>
      <c r="CD155" s="59">
        <f ca="1">AVERAGE(OFFSET($CC$3,0,0,'Données projet'!$E$12+1,1))-AVERAGE(OFFSET($H$3,0,0,'Données projet'!$E$12+1,1))</f>
        <v>333.00091572040611</v>
      </c>
      <c r="CE155" s="59">
        <f t="shared" si="148"/>
        <v>267.06874181561398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13.862480200165459</v>
      </c>
      <c r="CL155" s="21">
        <f>EXP(-LN(2)/25)*CL154+(1-EXP(-LN(2)/25))/(LN(2)/25)*Calculateur!CG155*Calculateur!CI155*VLOOKUP('Données projet'!$B$12,Paramètres!$A$1:$I$89,3,0)*0.475*44/12</f>
        <v>3.2719984207823547</v>
      </c>
      <c r="CM155" s="21">
        <f>EXP(-LN(2)/2)*CM154+(1-EXP(-LN(2)/2))/(LN(2)/2)*CG155*CJ155*VLOOKUP('Données projet'!$B$12,Paramètres!$A$1:$I$89,3,0)*0.475*44/12</f>
        <v>2.901469918663459E-11</v>
      </c>
      <c r="CN155" s="22">
        <f t="shared" si="172"/>
        <v>17.134478620976829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1">
        <f t="shared" si="140"/>
        <v>29.843927447283722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67">
        <f t="shared" si="110"/>
        <v>540.69097697068514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229</v>
      </c>
      <c r="O156" s="13">
        <f>N156*VLOOKUP('Données projet'!$B$9,Paramètres!$A$1:$I$89,3,0)*VLOOKUP('Données projet'!$B$9,Paramètres!$A$1:$I$89,5,0)</f>
        <v>136.94200000000001</v>
      </c>
      <c r="P156" s="13">
        <f t="shared" si="141"/>
        <v>35.595562742420903</v>
      </c>
      <c r="Q156" s="20">
        <f t="shared" si="162"/>
        <v>300.50292177638306</v>
      </c>
      <c r="R156" s="59">
        <f t="shared" si="109"/>
        <v>593.83625510971638</v>
      </c>
      <c r="S156" s="59">
        <f ca="1">AVERAGE(OFFSET($R$3,0,0,'Données projet'!$E$9+1,1))-AVERAGE(OFFSET($H$3,0,0,'Données projet'!$E$9+1,1))</f>
        <v>125.14227069357082</v>
      </c>
      <c r="T156" s="59">
        <f t="shared" si="142"/>
        <v>193.39407925063165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3.4180862950929574</v>
      </c>
      <c r="AA156" s="21">
        <f>EXP(-LN(2)/25)*AA155+(1-EXP(-LN(2)/25))/(LN(2)/25)*Calculateur!V156*Calculateur!X156*VLOOKUP('Données projet'!$B$9,Paramètres!$A$1:$I$89,3,0)*0.475*44/12</f>
        <v>0.98828074713692948</v>
      </c>
      <c r="AB156" s="21">
        <f>EXP(-LN(2)/2)*AB155+(1-EXP(-LN(2)/2))/(LN(2)/2)*V156*Y156*VLOOKUP('Données projet'!$B$9,Paramètres!$A$1:$I$89,3,0)*0.475*44/12</f>
        <v>1.4912637911879129E-14</v>
      </c>
      <c r="AC156" s="22">
        <f t="shared" si="163"/>
        <v>4.4063670422299017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-5.999999999994543E-2</v>
      </c>
      <c r="AJ156" s="13">
        <f>AI156*VLOOKUP('Données projet'!$B$10,Paramètres!$A$1:$I$89,3,0)*VLOOKUP('Données projet'!$B$10,Paramètres!$A$1:$I$89,5,0)</f>
        <v>-2.8079999999974462E-2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74.573470247551825</v>
      </c>
      <c r="AO156" s="59">
        <f t="shared" si="144"/>
        <v>122.43655207772224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11.560076893930045</v>
      </c>
      <c r="AV156" s="21">
        <f>EXP(-LN(2)/25)*AV155+(1-EXP(-LN(2)/25))/(LN(2)/25)*Calculateur!AQ156*Calculateur!AS156*VLOOKUP('Données projet'!$B$10,Paramètres!$A$1:$I$89,3,0)*0.475*44/12</f>
        <v>2.5176796504993155</v>
      </c>
      <c r="AW156" s="21">
        <f>EXP(-LN(2)/2)*AW155+(1-EXP(-LN(2)/2))/(LN(2)/2)*AQ156*AT156*VLOOKUP('Données projet'!$B$10,Paramètres!$A$1:$I$89,3,0)*0.475*44/12</f>
        <v>4.3605698289210143E-13</v>
      </c>
      <c r="AX156" s="21">
        <f t="shared" si="166"/>
        <v>14.077756544429796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209.99999999999977</v>
      </c>
      <c r="BE156" s="13">
        <f>BD156*VLOOKUP('Données projet'!$B$11,Paramètres!$A$1:$I$89,3,0)*VLOOKUP('Données projet'!$B$11,Paramètres!$A$1:$I$89,5,0)</f>
        <v>212.9399999999998</v>
      </c>
      <c r="BF156" s="13">
        <f t="shared" si="167"/>
        <v>52.577528895212772</v>
      </c>
      <c r="BG156" s="20">
        <f t="shared" si="168"/>
        <v>462.44302949249521</v>
      </c>
      <c r="BH156" s="59">
        <f t="shared" si="116"/>
        <v>755.77636282582853</v>
      </c>
      <c r="BI156" s="59">
        <f ca="1">AVERAGE(OFFSET($BH$3,0,0,'Données projet'!$E$11+1,1))-AVERAGE(OFFSET($H$3,0,0,'Données projet'!$E$11+1,1))</f>
        <v>183.74583738362492</v>
      </c>
      <c r="BJ156" s="59">
        <f t="shared" si="146"/>
        <v>46.344307013926596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26.73622056652173</v>
      </c>
      <c r="BQ156" s="21">
        <f>EXP(-LN(2)/25)*BQ155+(1-EXP(-LN(2)/25))/(LN(2)/25)*Calculateur!BL156*Calculateur!BN156*VLOOKUP('Données projet'!$B$11,Paramètres!$A$1:$I$89,3,0)*0.475*44/12</f>
        <v>0.94107373695734531</v>
      </c>
      <c r="BR156" s="21">
        <f>EXP(-LN(2)/2)*BR155+(1-EXP(-LN(2)/2))/(LN(2)/2)*BL156*BO156*VLOOKUP('Données projet'!$B$11,Paramètres!$A$1:$I$89,3,0)*0.475*44/12</f>
        <v>2.4590366011595539E-4</v>
      </c>
      <c r="BS156" s="22">
        <f t="shared" si="169"/>
        <v>27.677540207139192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789.00000000000045</v>
      </c>
      <c r="BZ156" s="13">
        <f>BY156*VLOOKUP('Données projet'!$B$12,Paramètres!$A$1:$I$89,3,0)*VLOOKUP('Données projet'!$B$12,Paramètres!$A$1:$I$89,5,0)</f>
        <v>348.73800000000023</v>
      </c>
      <c r="CA156" s="13">
        <f t="shared" si="170"/>
        <v>81.302597726165047</v>
      </c>
      <c r="CB156" s="20">
        <f t="shared" si="171"/>
        <v>748.98737437307125</v>
      </c>
      <c r="CC156" s="59">
        <f t="shared" si="119"/>
        <v>1042.3207077064046</v>
      </c>
      <c r="CD156" s="59">
        <f ca="1">AVERAGE(OFFSET($CC$3,0,0,'Données projet'!$E$12+1,1))-AVERAGE(OFFSET($H$3,0,0,'Données projet'!$E$12+1,1))</f>
        <v>333.00091572040611</v>
      </c>
      <c r="CE156" s="59">
        <f t="shared" si="148"/>
        <v>267.06874181561398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13.590645418718248</v>
      </c>
      <c r="CL156" s="21">
        <f>EXP(-LN(2)/25)*CL155+(1-EXP(-LN(2)/25))/(LN(2)/25)*Calculateur!CG156*Calculateur!CI156*VLOOKUP('Données projet'!$B$12,Paramètres!$A$1:$I$89,3,0)*0.475*44/12</f>
        <v>3.1825254518991426</v>
      </c>
      <c r="CM156" s="21">
        <f>EXP(-LN(2)/2)*CM155+(1-EXP(-LN(2)/2))/(LN(2)/2)*CG156*CJ156*VLOOKUP('Données projet'!$B$12,Paramètres!$A$1:$I$89,3,0)*0.475*44/12</f>
        <v>2.0516490548957125E-11</v>
      </c>
      <c r="CN156" s="22">
        <f t="shared" si="172"/>
        <v>16.773170870637909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1">
        <f t="shared" si="140"/>
        <v>30.016215601722468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67">
        <f t="shared" si="110"/>
        <v>542.26803550633258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229</v>
      </c>
      <c r="O157" s="13">
        <f>N157*VLOOKUP('Données projet'!$B$9,Paramètres!$A$1:$I$89,3,0)*VLOOKUP('Données projet'!$B$9,Paramètres!$A$1:$I$89,5,0)</f>
        <v>136.94200000000001</v>
      </c>
      <c r="P157" s="13">
        <f t="shared" si="141"/>
        <v>35.595562742420903</v>
      </c>
      <c r="Q157" s="20">
        <f t="shared" si="162"/>
        <v>300.50292177638306</v>
      </c>
      <c r="R157" s="59">
        <f t="shared" si="109"/>
        <v>593.83625510971638</v>
      </c>
      <c r="S157" s="59">
        <f ca="1">AVERAGE(OFFSET($R$3,0,0,'Données projet'!$E$9+1,1))-AVERAGE(OFFSET($H$3,0,0,'Données projet'!$E$9+1,1))</f>
        <v>125.14227069357082</v>
      </c>
      <c r="T157" s="59">
        <f t="shared" si="142"/>
        <v>193.39407925063165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3.3510597076729649</v>
      </c>
      <c r="AA157" s="21">
        <f>EXP(-LN(2)/25)*AA156+(1-EXP(-LN(2)/25))/(LN(2)/25)*Calculateur!V157*Calculateur!X157*VLOOKUP('Données projet'!$B$9,Paramètres!$A$1:$I$89,3,0)*0.475*44/12</f>
        <v>0.96125615813504439</v>
      </c>
      <c r="AB157" s="21">
        <f>EXP(-LN(2)/2)*AB156+(1-EXP(-LN(2)/2))/(LN(2)/2)*V157*Y157*VLOOKUP('Données projet'!$B$9,Paramètres!$A$1:$I$89,3,0)*0.475*44/12</f>
        <v>1.0544827392869329E-14</v>
      </c>
      <c r="AC157" s="22">
        <f t="shared" si="163"/>
        <v>4.3123158658080198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-5.999999999994543E-2</v>
      </c>
      <c r="AJ157" s="13">
        <f>AI157*VLOOKUP('Données projet'!$B$10,Paramètres!$A$1:$I$89,3,0)*VLOOKUP('Données projet'!$B$10,Paramètres!$A$1:$I$89,5,0)</f>
        <v>-2.8079999999974462E-2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74.573470247551825</v>
      </c>
      <c r="AO157" s="59">
        <f t="shared" si="144"/>
        <v>122.43655207772224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11.333390836990759</v>
      </c>
      <c r="AV157" s="21">
        <f>EXP(-LN(2)/25)*AV156+(1-EXP(-LN(2)/25))/(LN(2)/25)*Calculateur!AQ157*Calculateur!AS157*VLOOKUP('Données projet'!$B$10,Paramètres!$A$1:$I$89,3,0)*0.475*44/12</f>
        <v>2.4488335680573932</v>
      </c>
      <c r="AW157" s="21">
        <f>EXP(-LN(2)/2)*AW156+(1-EXP(-LN(2)/2))/(LN(2)/2)*AQ157*AT157*VLOOKUP('Données projet'!$B$10,Paramètres!$A$1:$I$89,3,0)*0.475*44/12</f>
        <v>3.0833884958675126E-13</v>
      </c>
      <c r="AX157" s="21">
        <f t="shared" si="166"/>
        <v>13.782224405048462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209.99999999999977</v>
      </c>
      <c r="BE157" s="13">
        <f>BD157*VLOOKUP('Données projet'!$B$11,Paramètres!$A$1:$I$89,3,0)*VLOOKUP('Données projet'!$B$11,Paramètres!$A$1:$I$89,5,0)</f>
        <v>212.9399999999998</v>
      </c>
      <c r="BF157" s="13">
        <f t="shared" si="167"/>
        <v>52.577528895212772</v>
      </c>
      <c r="BG157" s="20">
        <f t="shared" si="168"/>
        <v>462.44302949249521</v>
      </c>
      <c r="BH157" s="59">
        <f t="shared" si="116"/>
        <v>755.77636282582853</v>
      </c>
      <c r="BI157" s="59">
        <f ca="1">AVERAGE(OFFSET($BH$3,0,0,'Données projet'!$E$11+1,1))-AVERAGE(OFFSET($H$3,0,0,'Données projet'!$E$11+1,1))</f>
        <v>183.74583738362492</v>
      </c>
      <c r="BJ157" s="59">
        <f t="shared" si="146"/>
        <v>46.344307013926596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26.211939588696556</v>
      </c>
      <c r="BQ157" s="21">
        <f>EXP(-LN(2)/25)*BQ156+(1-EXP(-LN(2)/25))/(LN(2)/25)*Calculateur!BL157*Calculateur!BN157*VLOOKUP('Données projet'!$B$11,Paramètres!$A$1:$I$89,3,0)*0.475*44/12</f>
        <v>0.9153400261313297</v>
      </c>
      <c r="BR157" s="21">
        <f>EXP(-LN(2)/2)*BR156+(1-EXP(-LN(2)/2))/(LN(2)/2)*BL157*BO157*VLOOKUP('Données projet'!$B$11,Paramètres!$A$1:$I$89,3,0)*0.475*44/12</f>
        <v>1.7388014558658403E-4</v>
      </c>
      <c r="BS157" s="22">
        <f t="shared" si="169"/>
        <v>27.127453494973469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789.00000000000045</v>
      </c>
      <c r="BZ157" s="13">
        <f>BY157*VLOOKUP('Données projet'!$B$12,Paramètres!$A$1:$I$89,3,0)*VLOOKUP('Données projet'!$B$12,Paramètres!$A$1:$I$89,5,0)</f>
        <v>348.73800000000023</v>
      </c>
      <c r="CA157" s="13">
        <f t="shared" si="170"/>
        <v>81.302597726165047</v>
      </c>
      <c r="CB157" s="20">
        <f t="shared" si="171"/>
        <v>748.98737437307125</v>
      </c>
      <c r="CC157" s="59">
        <f t="shared" si="119"/>
        <v>1042.3207077064046</v>
      </c>
      <c r="CD157" s="59">
        <f ca="1">AVERAGE(OFFSET($CC$3,0,0,'Données projet'!$E$12+1,1))-AVERAGE(OFFSET($H$3,0,0,'Données projet'!$E$12+1,1))</f>
        <v>333.00091572040611</v>
      </c>
      <c r="CE157" s="59">
        <f t="shared" si="148"/>
        <v>267.06874181561398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13.324141151532372</v>
      </c>
      <c r="CL157" s="21">
        <f>EXP(-LN(2)/25)*CL156+(1-EXP(-LN(2)/25))/(LN(2)/25)*Calculateur!CG157*Calculateur!CI157*VLOOKUP('Données projet'!$B$12,Paramètres!$A$1:$I$89,3,0)*0.475*44/12</f>
        <v>3.0954991260552207</v>
      </c>
      <c r="CM157" s="21">
        <f>EXP(-LN(2)/2)*CM156+(1-EXP(-LN(2)/2))/(LN(2)/2)*CG157*CJ157*VLOOKUP('Données projet'!$B$12,Paramètres!$A$1:$I$89,3,0)*0.475*44/12</f>
        <v>1.4507349593317297E-11</v>
      </c>
      <c r="CN157" s="22">
        <f t="shared" si="172"/>
        <v>16.419640277602099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1">
        <f t="shared" si="140"/>
        <v>30.188373581400619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67">
        <f t="shared" si="110"/>
        <v>543.84486732093865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229</v>
      </c>
      <c r="O158" s="13">
        <f>N158*VLOOKUP('Données projet'!$B$9,Paramètres!$A$1:$I$89,3,0)*VLOOKUP('Données projet'!$B$9,Paramètres!$A$1:$I$89,5,0)</f>
        <v>136.94200000000001</v>
      </c>
      <c r="P158" s="13">
        <f t="shared" si="141"/>
        <v>35.595562742420903</v>
      </c>
      <c r="Q158" s="20">
        <f t="shared" si="162"/>
        <v>300.50292177638306</v>
      </c>
      <c r="R158" s="59">
        <f t="shared" si="109"/>
        <v>593.83625510971638</v>
      </c>
      <c r="S158" s="59">
        <f ca="1">AVERAGE(OFFSET($R$3,0,0,'Données projet'!$E$9+1,1))-AVERAGE(OFFSET($H$3,0,0,'Données projet'!$E$9+1,1))</f>
        <v>125.14227069357082</v>
      </c>
      <c r="T158" s="59">
        <f t="shared" si="142"/>
        <v>193.39407925063165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3.2853474707500969</v>
      </c>
      <c r="AA158" s="21">
        <f>EXP(-LN(2)/25)*AA157+(1-EXP(-LN(2)/25))/(LN(2)/25)*Calculateur!V158*Calculateur!X158*VLOOKUP('Données projet'!$B$9,Paramètres!$A$1:$I$89,3,0)*0.475*44/12</f>
        <v>0.93497055794057726</v>
      </c>
      <c r="AB158" s="21">
        <f>EXP(-LN(2)/2)*AB157+(1-EXP(-LN(2)/2))/(LN(2)/2)*V158*Y158*VLOOKUP('Données projet'!$B$9,Paramètres!$A$1:$I$89,3,0)*0.475*44/12</f>
        <v>7.4563189559395647E-15</v>
      </c>
      <c r="AC158" s="22">
        <f t="shared" si="163"/>
        <v>4.2203180286906816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-5.999999999994543E-2</v>
      </c>
      <c r="AJ158" s="13">
        <f>AI158*VLOOKUP('Données projet'!$B$10,Paramètres!$A$1:$I$89,3,0)*VLOOKUP('Données projet'!$B$10,Paramètres!$A$1:$I$89,5,0)</f>
        <v>-2.8079999999974462E-2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74.573470247551825</v>
      </c>
      <c r="AO158" s="59">
        <f t="shared" si="144"/>
        <v>122.43655207772224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11.11114995536321</v>
      </c>
      <c r="AV158" s="21">
        <f>EXP(-LN(2)/25)*AV157+(1-EXP(-LN(2)/25))/(LN(2)/25)*Calculateur!AQ158*Calculateur!AS158*VLOOKUP('Données projet'!$B$10,Paramètres!$A$1:$I$89,3,0)*0.475*44/12</f>
        <v>2.3818700853603034</v>
      </c>
      <c r="AW158" s="21">
        <f>EXP(-LN(2)/2)*AW157+(1-EXP(-LN(2)/2))/(LN(2)/2)*AQ158*AT158*VLOOKUP('Données projet'!$B$10,Paramètres!$A$1:$I$89,3,0)*0.475*44/12</f>
        <v>2.1802849144605071E-13</v>
      </c>
      <c r="AX158" s="21">
        <f t="shared" si="166"/>
        <v>13.493020040723732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209.99999999999977</v>
      </c>
      <c r="BE158" s="13">
        <f>BD158*VLOOKUP('Données projet'!$B$11,Paramètres!$A$1:$I$89,3,0)*VLOOKUP('Données projet'!$B$11,Paramètres!$A$1:$I$89,5,0)</f>
        <v>212.9399999999998</v>
      </c>
      <c r="BF158" s="13">
        <f t="shared" si="167"/>
        <v>52.577528895212772</v>
      </c>
      <c r="BG158" s="20">
        <f t="shared" si="168"/>
        <v>462.44302949249521</v>
      </c>
      <c r="BH158" s="59">
        <f t="shared" si="116"/>
        <v>755.77636282582853</v>
      </c>
      <c r="BI158" s="59">
        <f ca="1">AVERAGE(OFFSET($BH$3,0,0,'Données projet'!$E$11+1,1))-AVERAGE(OFFSET($H$3,0,0,'Données projet'!$E$11+1,1))</f>
        <v>183.74583738362492</v>
      </c>
      <c r="BJ158" s="59">
        <f t="shared" si="146"/>
        <v>46.344307013926596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25.697939441066712</v>
      </c>
      <c r="BQ158" s="21">
        <f>EXP(-LN(2)/25)*BQ157+(1-EXP(-LN(2)/25))/(LN(2)/25)*Calculateur!BL158*Calculateur!BN158*VLOOKUP('Données projet'!$B$11,Paramètres!$A$1:$I$89,3,0)*0.475*44/12</f>
        <v>0.89031000498112856</v>
      </c>
      <c r="BR158" s="21">
        <f>EXP(-LN(2)/2)*BR157+(1-EXP(-LN(2)/2))/(LN(2)/2)*BL158*BO158*VLOOKUP('Données projet'!$B$11,Paramètres!$A$1:$I$89,3,0)*0.475*44/12</f>
        <v>1.229518300579777E-4</v>
      </c>
      <c r="BS158" s="22">
        <f t="shared" si="169"/>
        <v>26.588372397877897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789.00000000000045</v>
      </c>
      <c r="BZ158" s="13">
        <f>BY158*VLOOKUP('Données projet'!$B$12,Paramètres!$A$1:$I$89,3,0)*VLOOKUP('Données projet'!$B$12,Paramètres!$A$1:$I$89,5,0)</f>
        <v>348.73800000000023</v>
      </c>
      <c r="CA158" s="13">
        <f t="shared" si="170"/>
        <v>81.302597726165047</v>
      </c>
      <c r="CB158" s="20">
        <f t="shared" si="171"/>
        <v>748.98737437307125</v>
      </c>
      <c r="CC158" s="59">
        <f t="shared" si="119"/>
        <v>1042.3207077064046</v>
      </c>
      <c r="CD158" s="59">
        <f ca="1">AVERAGE(OFFSET($CC$3,0,0,'Données projet'!$E$12+1,1))-AVERAGE(OFFSET($H$3,0,0,'Données projet'!$E$12+1,1))</f>
        <v>333.00091572040611</v>
      </c>
      <c r="CE158" s="59">
        <f t="shared" si="148"/>
        <v>267.06874181561398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13.062862870474458</v>
      </c>
      <c r="CL158" s="21">
        <f>EXP(-LN(2)/25)*CL157+(1-EXP(-LN(2)/25))/(LN(2)/25)*Calculateur!CG158*Calculateur!CI158*VLOOKUP('Données projet'!$B$12,Paramètres!$A$1:$I$89,3,0)*0.475*44/12</f>
        <v>3.0108525396680164</v>
      </c>
      <c r="CM158" s="21">
        <f>EXP(-LN(2)/2)*CM157+(1-EXP(-LN(2)/2))/(LN(2)/2)*CG158*CJ158*VLOOKUP('Données projet'!$B$12,Paramètres!$A$1:$I$89,3,0)*0.475*44/12</f>
        <v>1.0258245274478564E-11</v>
      </c>
      <c r="CN158" s="22">
        <f t="shared" si="172"/>
        <v>16.07371541015273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1">
        <f t="shared" si="140"/>
        <v>30.360402323573442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67">
        <f t="shared" si="110"/>
        <v>545.42147404688967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229</v>
      </c>
      <c r="O159" s="13">
        <f>N159*VLOOKUP('Données projet'!$B$9,Paramètres!$A$1:$I$89,3,0)*VLOOKUP('Données projet'!$B$9,Paramètres!$A$1:$I$89,5,0)</f>
        <v>136.94200000000001</v>
      </c>
      <c r="P159" s="13">
        <f t="shared" si="141"/>
        <v>35.595562742420903</v>
      </c>
      <c r="Q159" s="20">
        <f t="shared" si="162"/>
        <v>300.50292177638306</v>
      </c>
      <c r="R159" s="59">
        <f t="shared" si="109"/>
        <v>593.83625510971638</v>
      </c>
      <c r="S159" s="59">
        <f ca="1">AVERAGE(OFFSET($R$3,0,0,'Données projet'!$E$9+1,1))-AVERAGE(OFFSET($H$3,0,0,'Données projet'!$E$9+1,1))</f>
        <v>125.14227069357082</v>
      </c>
      <c r="T159" s="59">
        <f t="shared" si="142"/>
        <v>193.39407925063165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3.2209238107127796</v>
      </c>
      <c r="AA159" s="21">
        <f>EXP(-LN(2)/25)*AA158+(1-EXP(-LN(2)/25))/(LN(2)/25)*Calculateur!V159*Calculateur!X159*VLOOKUP('Données projet'!$B$9,Paramètres!$A$1:$I$89,3,0)*0.475*44/12</f>
        <v>0.90940373886572745</v>
      </c>
      <c r="AB159" s="21">
        <f>EXP(-LN(2)/2)*AB158+(1-EXP(-LN(2)/2))/(LN(2)/2)*V159*Y159*VLOOKUP('Données projet'!$B$9,Paramètres!$A$1:$I$89,3,0)*0.475*44/12</f>
        <v>5.2724136964346644E-15</v>
      </c>
      <c r="AC159" s="22">
        <f t="shared" si="163"/>
        <v>4.1303275495785119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-5.999999999994543E-2</v>
      </c>
      <c r="AJ159" s="13">
        <f>AI159*VLOOKUP('Données projet'!$B$10,Paramètres!$A$1:$I$89,3,0)*VLOOKUP('Données projet'!$B$10,Paramètres!$A$1:$I$89,5,0)</f>
        <v>-2.8079999999974462E-2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74.573470247551825</v>
      </c>
      <c r="AO159" s="59">
        <f t="shared" si="144"/>
        <v>122.43655207772224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10.893267081870825</v>
      </c>
      <c r="AV159" s="21">
        <f>EXP(-LN(2)/25)*AV158+(1-EXP(-LN(2)/25))/(LN(2)/25)*Calculateur!AQ159*Calculateur!AS159*VLOOKUP('Données projet'!$B$10,Paramètres!$A$1:$I$89,3,0)*0.475*44/12</f>
        <v>2.3167377226190218</v>
      </c>
      <c r="AW159" s="21">
        <f>EXP(-LN(2)/2)*AW158+(1-EXP(-LN(2)/2))/(LN(2)/2)*AQ159*AT159*VLOOKUP('Données projet'!$B$10,Paramètres!$A$1:$I$89,3,0)*0.475*44/12</f>
        <v>1.5416942479337563E-13</v>
      </c>
      <c r="AX159" s="21">
        <f t="shared" si="166"/>
        <v>13.210004804490001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209.99999999999977</v>
      </c>
      <c r="BE159" s="13">
        <f>BD159*VLOOKUP('Données projet'!$B$11,Paramètres!$A$1:$I$89,3,0)*VLOOKUP('Données projet'!$B$11,Paramètres!$A$1:$I$89,5,0)</f>
        <v>212.9399999999998</v>
      </c>
      <c r="BF159" s="13">
        <f t="shared" si="167"/>
        <v>52.577528895212772</v>
      </c>
      <c r="BG159" s="20">
        <f t="shared" si="168"/>
        <v>462.44302949249521</v>
      </c>
      <c r="BH159" s="59">
        <f t="shared" si="116"/>
        <v>755.77636282582853</v>
      </c>
      <c r="BI159" s="59">
        <f ca="1">AVERAGE(OFFSET($BH$3,0,0,'Données projet'!$E$11+1,1))-AVERAGE(OFFSET($H$3,0,0,'Données projet'!$E$11+1,1))</f>
        <v>183.74583738362492</v>
      </c>
      <c r="BJ159" s="59">
        <f t="shared" si="146"/>
        <v>46.344307013926596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25.194018522822756</v>
      </c>
      <c r="BQ159" s="21">
        <f>EXP(-LN(2)/25)*BQ158+(1-EXP(-LN(2)/25))/(LN(2)/25)*Calculateur!BL159*Calculateur!BN159*VLOOKUP('Données projet'!$B$11,Paramètres!$A$1:$I$89,3,0)*0.475*44/12</f>
        <v>0.86596443107555121</v>
      </c>
      <c r="BR159" s="21">
        <f>EXP(-LN(2)/2)*BR158+(1-EXP(-LN(2)/2))/(LN(2)/2)*BL159*BO159*VLOOKUP('Données projet'!$B$11,Paramètres!$A$1:$I$89,3,0)*0.475*44/12</f>
        <v>8.6940072793292015E-5</v>
      </c>
      <c r="BS159" s="22">
        <f t="shared" si="169"/>
        <v>26.0600698939711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789.00000000000045</v>
      </c>
      <c r="BZ159" s="13">
        <f>BY159*VLOOKUP('Données projet'!$B$12,Paramètres!$A$1:$I$89,3,0)*VLOOKUP('Données projet'!$B$12,Paramètres!$A$1:$I$89,5,0)</f>
        <v>348.73800000000023</v>
      </c>
      <c r="CA159" s="13">
        <f t="shared" si="170"/>
        <v>81.302597726165047</v>
      </c>
      <c r="CB159" s="20">
        <f t="shared" si="171"/>
        <v>748.98737437307125</v>
      </c>
      <c r="CC159" s="59">
        <f t="shared" si="119"/>
        <v>1042.3207077064046</v>
      </c>
      <c r="CD159" s="59">
        <f ca="1">AVERAGE(OFFSET($CC$3,0,0,'Données projet'!$E$12+1,1))-AVERAGE(OFFSET($H$3,0,0,'Données projet'!$E$12+1,1))</f>
        <v>333.00091572040611</v>
      </c>
      <c r="CE159" s="59">
        <f t="shared" si="148"/>
        <v>267.06874181561398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12.806708097144073</v>
      </c>
      <c r="CL159" s="21">
        <f>EXP(-LN(2)/25)*CL158+(1-EXP(-LN(2)/25))/(LN(2)/25)*Calculateur!CG159*Calculateur!CI159*VLOOKUP('Données projet'!$B$12,Paramètres!$A$1:$I$89,3,0)*0.475*44/12</f>
        <v>2.9285206186369406</v>
      </c>
      <c r="CM159" s="21">
        <f>EXP(-LN(2)/2)*CM158+(1-EXP(-LN(2)/2))/(LN(2)/2)*CG159*CJ159*VLOOKUP('Données projet'!$B$12,Paramètres!$A$1:$I$89,3,0)*0.475*44/12</f>
        <v>7.2536747966586492E-12</v>
      </c>
      <c r="CN159" s="22">
        <f t="shared" si="172"/>
        <v>15.735228715788265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1">
        <f t="shared" si="140"/>
        <v>30.532302752785306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67">
        <f t="shared" si="110"/>
        <v>546.99785729443374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229</v>
      </c>
      <c r="O160" s="13">
        <f>N160*VLOOKUP('Données projet'!$B$9,Paramètres!$A$1:$I$89,3,0)*VLOOKUP('Données projet'!$B$9,Paramètres!$A$1:$I$89,5,0)</f>
        <v>136.94200000000001</v>
      </c>
      <c r="P160" s="13">
        <f t="shared" si="141"/>
        <v>35.595562742420903</v>
      </c>
      <c r="Q160" s="20">
        <f t="shared" si="162"/>
        <v>300.50292177638306</v>
      </c>
      <c r="R160" s="59">
        <f t="shared" si="109"/>
        <v>593.83625510971638</v>
      </c>
      <c r="S160" s="59">
        <f ca="1">AVERAGE(OFFSET($R$3,0,0,'Données projet'!$E$9+1,1))-AVERAGE(OFFSET($H$3,0,0,'Données projet'!$E$9+1,1))</f>
        <v>125.14227069357082</v>
      </c>
      <c r="T160" s="59">
        <f t="shared" si="142"/>
        <v>193.39407925063165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3.1577634593542414</v>
      </c>
      <c r="AA160" s="21">
        <f>EXP(-LN(2)/25)*AA159+(1-EXP(-LN(2)/25))/(LN(2)/25)*Calculateur!V160*Calculateur!X160*VLOOKUP('Données projet'!$B$9,Paramètres!$A$1:$I$89,3,0)*0.475*44/12</f>
        <v>0.88453604580297995</v>
      </c>
      <c r="AB160" s="21">
        <f>EXP(-LN(2)/2)*AB159+(1-EXP(-LN(2)/2))/(LN(2)/2)*V160*Y160*VLOOKUP('Données projet'!$B$9,Paramètres!$A$1:$I$89,3,0)*0.475*44/12</f>
        <v>3.7281594779697824E-15</v>
      </c>
      <c r="AC160" s="22">
        <f t="shared" si="163"/>
        <v>4.0422995051572252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-5.999999999994543E-2</v>
      </c>
      <c r="AJ160" s="13">
        <f>AI160*VLOOKUP('Données projet'!$B$10,Paramètres!$A$1:$I$89,3,0)*VLOOKUP('Données projet'!$B$10,Paramètres!$A$1:$I$89,5,0)</f>
        <v>-2.8079999999974462E-2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74.573470247551825</v>
      </c>
      <c r="AO160" s="59">
        <f t="shared" si="144"/>
        <v>122.43655207772224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10.679656758632193</v>
      </c>
      <c r="AV160" s="21">
        <f>EXP(-LN(2)/25)*AV159+(1-EXP(-LN(2)/25))/(LN(2)/25)*Calculateur!AQ160*Calculateur!AS160*VLOOKUP('Données projet'!$B$10,Paramètres!$A$1:$I$89,3,0)*0.475*44/12</f>
        <v>2.2533864077620627</v>
      </c>
      <c r="AW160" s="21">
        <f>EXP(-LN(2)/2)*AW159+(1-EXP(-LN(2)/2))/(LN(2)/2)*AQ160*AT160*VLOOKUP('Données projet'!$B$10,Paramètres!$A$1:$I$89,3,0)*0.475*44/12</f>
        <v>1.0901424572302536E-13</v>
      </c>
      <c r="AX160" s="21">
        <f t="shared" si="166"/>
        <v>12.933043166394365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209.99999999999977</v>
      </c>
      <c r="BE160" s="13">
        <f>BD160*VLOOKUP('Données projet'!$B$11,Paramètres!$A$1:$I$89,3,0)*VLOOKUP('Données projet'!$B$11,Paramètres!$A$1:$I$89,5,0)</f>
        <v>212.9399999999998</v>
      </c>
      <c r="BF160" s="13">
        <f t="shared" si="167"/>
        <v>52.577528895212772</v>
      </c>
      <c r="BG160" s="20">
        <f t="shared" si="168"/>
        <v>462.44302949249521</v>
      </c>
      <c r="BH160" s="59">
        <f t="shared" si="116"/>
        <v>755.77636282582853</v>
      </c>
      <c r="BI160" s="59">
        <f ca="1">AVERAGE(OFFSET($BH$3,0,0,'Données projet'!$E$11+1,1))-AVERAGE(OFFSET($H$3,0,0,'Données projet'!$E$11+1,1))</f>
        <v>183.74583738362492</v>
      </c>
      <c r="BJ160" s="59">
        <f t="shared" si="146"/>
        <v>46.344307013926596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24.699979186424152</v>
      </c>
      <c r="BQ160" s="21">
        <f>EXP(-LN(2)/25)*BQ159+(1-EXP(-LN(2)/25))/(LN(2)/25)*Calculateur!BL160*Calculateur!BN160*VLOOKUP('Données projet'!$B$11,Paramètres!$A$1:$I$89,3,0)*0.475*44/12</f>
        <v>0.8422845881687</v>
      </c>
      <c r="BR160" s="21">
        <f>EXP(-LN(2)/2)*BR159+(1-EXP(-LN(2)/2))/(LN(2)/2)*BL160*BO160*VLOOKUP('Données projet'!$B$11,Paramètres!$A$1:$I$89,3,0)*0.475*44/12</f>
        <v>6.1475915028988849E-5</v>
      </c>
      <c r="BS160" s="22">
        <f t="shared" si="169"/>
        <v>25.542325250507879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789.00000000000045</v>
      </c>
      <c r="BZ160" s="13">
        <f>BY160*VLOOKUP('Données projet'!$B$12,Paramètres!$A$1:$I$89,3,0)*VLOOKUP('Données projet'!$B$12,Paramètres!$A$1:$I$89,5,0)</f>
        <v>348.73800000000023</v>
      </c>
      <c r="CA160" s="13">
        <f t="shared" si="170"/>
        <v>81.302597726165047</v>
      </c>
      <c r="CB160" s="20">
        <f t="shared" si="171"/>
        <v>748.98737437307125</v>
      </c>
      <c r="CC160" s="59">
        <f t="shared" si="119"/>
        <v>1042.3207077064046</v>
      </c>
      <c r="CD160" s="59">
        <f ca="1">AVERAGE(OFFSET($CC$3,0,0,'Données projet'!$E$12+1,1))-AVERAGE(OFFSET($H$3,0,0,'Données projet'!$E$12+1,1))</f>
        <v>333.00091572040611</v>
      </c>
      <c r="CE160" s="59">
        <f t="shared" si="148"/>
        <v>267.06874181561398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12.555576362679712</v>
      </c>
      <c r="CL160" s="21">
        <f>EXP(-LN(2)/25)*CL159+(1-EXP(-LN(2)/25))/(LN(2)/25)*Calculateur!CG160*Calculateur!CI160*VLOOKUP('Données projet'!$B$12,Paramètres!$A$1:$I$89,3,0)*0.475*44/12</f>
        <v>2.8484400683161075</v>
      </c>
      <c r="CM160" s="21">
        <f>EXP(-LN(2)/2)*CM159+(1-EXP(-LN(2)/2))/(LN(2)/2)*CG160*CJ160*VLOOKUP('Données projet'!$B$12,Paramètres!$A$1:$I$89,3,0)*0.475*44/12</f>
        <v>5.1291226372392828E-12</v>
      </c>
      <c r="CN160" s="22">
        <f t="shared" si="172"/>
        <v>15.404016431000949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1">
        <f t="shared" si="140"/>
        <v>30.704075781121787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67">
        <f t="shared" si="110"/>
        <v>548.57401865211966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229</v>
      </c>
      <c r="O161" s="13">
        <f>N161*VLOOKUP('Données projet'!$B$9,Paramètres!$A$1:$I$89,3,0)*VLOOKUP('Données projet'!$B$9,Paramètres!$A$1:$I$89,5,0)</f>
        <v>136.94200000000001</v>
      </c>
      <c r="P161" s="13">
        <f t="shared" si="141"/>
        <v>35.595562742420903</v>
      </c>
      <c r="Q161" s="20">
        <f t="shared" si="162"/>
        <v>300.50292177638306</v>
      </c>
      <c r="R161" s="59">
        <f t="shared" si="109"/>
        <v>593.83625510971638</v>
      </c>
      <c r="S161" s="59">
        <f ca="1">AVERAGE(OFFSET($R$3,0,0,'Données projet'!$E$9+1,1))-AVERAGE(OFFSET($H$3,0,0,'Données projet'!$E$9+1,1))</f>
        <v>125.14227069357082</v>
      </c>
      <c r="T161" s="59">
        <f t="shared" si="142"/>
        <v>193.39407925063165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3.0958416439618337</v>
      </c>
      <c r="AA161" s="21">
        <f>EXP(-LN(2)/25)*AA160+(1-EXP(-LN(2)/25))/(LN(2)/25)*Calculateur!V161*Calculateur!X161*VLOOKUP('Données projet'!$B$9,Paramètres!$A$1:$I$89,3,0)*0.475*44/12</f>
        <v>0.86034836111476842</v>
      </c>
      <c r="AB161" s="21">
        <f>EXP(-LN(2)/2)*AB160+(1-EXP(-LN(2)/2))/(LN(2)/2)*V161*Y161*VLOOKUP('Données projet'!$B$9,Paramètres!$A$1:$I$89,3,0)*0.475*44/12</f>
        <v>2.6362068482173322E-15</v>
      </c>
      <c r="AC161" s="22">
        <f t="shared" si="163"/>
        <v>3.9561900050766048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-5.999999999994543E-2</v>
      </c>
      <c r="AJ161" s="13">
        <f>AI161*VLOOKUP('Données projet'!$B$10,Paramètres!$A$1:$I$89,3,0)*VLOOKUP('Données projet'!$B$10,Paramètres!$A$1:$I$89,5,0)</f>
        <v>-2.8079999999974462E-2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74.573470247551825</v>
      </c>
      <c r="AO161" s="59">
        <f t="shared" si="144"/>
        <v>122.43655207772224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10.47023520354284</v>
      </c>
      <c r="AV161" s="21">
        <f>EXP(-LN(2)/25)*AV160+(1-EXP(-LN(2)/25))/(LN(2)/25)*Calculateur!AQ161*Calculateur!AS161*VLOOKUP('Données projet'!$B$10,Paramètres!$A$1:$I$89,3,0)*0.475*44/12</f>
        <v>2.1917674379413681</v>
      </c>
      <c r="AW161" s="21">
        <f>EXP(-LN(2)/2)*AW160+(1-EXP(-LN(2)/2))/(LN(2)/2)*AQ161*AT161*VLOOKUP('Données projet'!$B$10,Paramètres!$A$1:$I$89,3,0)*0.475*44/12</f>
        <v>7.7084712396687815E-14</v>
      </c>
      <c r="AX161" s="21">
        <f t="shared" si="166"/>
        <v>12.662002641484284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209.99999999999977</v>
      </c>
      <c r="BE161" s="13">
        <f>BD161*VLOOKUP('Données projet'!$B$11,Paramètres!$A$1:$I$89,3,0)*VLOOKUP('Données projet'!$B$11,Paramètres!$A$1:$I$89,5,0)</f>
        <v>212.9399999999998</v>
      </c>
      <c r="BF161" s="13">
        <f t="shared" si="167"/>
        <v>52.577528895212772</v>
      </c>
      <c r="BG161" s="20">
        <f t="shared" si="168"/>
        <v>462.44302949249521</v>
      </c>
      <c r="BH161" s="59">
        <f t="shared" si="116"/>
        <v>755.77636282582853</v>
      </c>
      <c r="BI161" s="59">
        <f ca="1">AVERAGE(OFFSET($BH$3,0,0,'Données projet'!$E$11+1,1))-AVERAGE(OFFSET($H$3,0,0,'Données projet'!$E$11+1,1))</f>
        <v>183.74583738362492</v>
      </c>
      <c r="BJ161" s="59">
        <f t="shared" si="146"/>
        <v>46.344307013926596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24.215627660078084</v>
      </c>
      <c r="BQ161" s="21">
        <f>EXP(-LN(2)/25)*BQ160+(1-EXP(-LN(2)/25))/(LN(2)/25)*Calculateur!BL161*Calculateur!BN161*VLOOKUP('Données projet'!$B$11,Paramètres!$A$1:$I$89,3,0)*0.475*44/12</f>
        <v>0.81925227181140547</v>
      </c>
      <c r="BR161" s="21">
        <f>EXP(-LN(2)/2)*BR160+(1-EXP(-LN(2)/2))/(LN(2)/2)*BL161*BO161*VLOOKUP('Données projet'!$B$11,Paramètres!$A$1:$I$89,3,0)*0.475*44/12</f>
        <v>4.3470036396646007E-5</v>
      </c>
      <c r="BS161" s="22">
        <f t="shared" si="169"/>
        <v>25.034923401925884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789.00000000000045</v>
      </c>
      <c r="BZ161" s="13">
        <f>BY161*VLOOKUP('Données projet'!$B$12,Paramètres!$A$1:$I$89,3,0)*VLOOKUP('Données projet'!$B$12,Paramètres!$A$1:$I$89,5,0)</f>
        <v>348.73800000000023</v>
      </c>
      <c r="CA161" s="13">
        <f t="shared" si="170"/>
        <v>81.302597726165047</v>
      </c>
      <c r="CB161" s="20">
        <f t="shared" si="171"/>
        <v>748.98737437307125</v>
      </c>
      <c r="CC161" s="59">
        <f t="shared" si="119"/>
        <v>1042.3207077064046</v>
      </c>
      <c r="CD161" s="59">
        <f ca="1">AVERAGE(OFFSET($CC$3,0,0,'Données projet'!$E$12+1,1))-AVERAGE(OFFSET($H$3,0,0,'Données projet'!$E$12+1,1))</f>
        <v>333.00091572040611</v>
      </c>
      <c r="CE161" s="59">
        <f t="shared" si="148"/>
        <v>267.06874181561398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12.309369168352966</v>
      </c>
      <c r="CL161" s="21">
        <f>EXP(-LN(2)/25)*CL160+(1-EXP(-LN(2)/25))/(LN(2)/25)*Calculateur!CG161*Calculateur!CI161*VLOOKUP('Données projet'!$B$12,Paramètres!$A$1:$I$89,3,0)*0.475*44/12</f>
        <v>2.7705493248550503</v>
      </c>
      <c r="CM161" s="21">
        <f>EXP(-LN(2)/2)*CM160+(1-EXP(-LN(2)/2))/(LN(2)/2)*CG161*CJ161*VLOOKUP('Données projet'!$B$12,Paramètres!$A$1:$I$89,3,0)*0.475*44/12</f>
        <v>3.6268373983293254E-12</v>
      </c>
      <c r="CN161" s="22">
        <f t="shared" si="172"/>
        <v>15.079918493211643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1">
        <f t="shared" si="140"/>
        <v>30.875722308455476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67">
        <f t="shared" si="110"/>
        <v>550.14995968722587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229</v>
      </c>
      <c r="O162" s="13">
        <f>N162*VLOOKUP('Données projet'!$B$9,Paramètres!$A$1:$I$89,3,0)*VLOOKUP('Données projet'!$B$9,Paramètres!$A$1:$I$89,5,0)</f>
        <v>136.94200000000001</v>
      </c>
      <c r="P162" s="13">
        <f t="shared" si="141"/>
        <v>35.595562742420903</v>
      </c>
      <c r="Q162" s="20">
        <f t="shared" si="162"/>
        <v>300.50292177638306</v>
      </c>
      <c r="R162" s="59">
        <f t="shared" si="109"/>
        <v>593.83625510971638</v>
      </c>
      <c r="S162" s="59">
        <f ca="1">AVERAGE(OFFSET($R$3,0,0,'Données projet'!$E$9+1,1))-AVERAGE(OFFSET($H$3,0,0,'Données projet'!$E$9+1,1))</f>
        <v>125.14227069357082</v>
      </c>
      <c r="T162" s="59">
        <f t="shared" si="142"/>
        <v>193.39407925063165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3.0351340776006932</v>
      </c>
      <c r="AA162" s="21">
        <f>EXP(-LN(2)/25)*AA161+(1-EXP(-LN(2)/25))/(LN(2)/25)*Calculateur!V162*Calculateur!X162*VLOOKUP('Données projet'!$B$9,Paramètres!$A$1:$I$89,3,0)*0.475*44/12</f>
        <v>0.83682208993633111</v>
      </c>
      <c r="AB162" s="21">
        <f>EXP(-LN(2)/2)*AB161+(1-EXP(-LN(2)/2))/(LN(2)/2)*V162*Y162*VLOOKUP('Données projet'!$B$9,Paramètres!$A$1:$I$89,3,0)*0.475*44/12</f>
        <v>1.8640797389848912E-15</v>
      </c>
      <c r="AC162" s="22">
        <f t="shared" si="163"/>
        <v>3.871956167537026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-5.999999999994543E-2</v>
      </c>
      <c r="AJ162" s="13">
        <f>AI162*VLOOKUP('Données projet'!$B$10,Paramètres!$A$1:$I$89,3,0)*VLOOKUP('Données projet'!$B$10,Paramètres!$A$1:$I$89,5,0)</f>
        <v>-2.8079999999974462E-2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74.573470247551825</v>
      </c>
      <c r="AO162" s="59">
        <f t="shared" si="144"/>
        <v>122.43655207772224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10.264920277414253</v>
      </c>
      <c r="AV162" s="21">
        <f>EXP(-LN(2)/25)*AV161+(1-EXP(-LN(2)/25))/(LN(2)/25)*Calculateur!AQ162*Calculateur!AS162*VLOOKUP('Données projet'!$B$10,Paramètres!$A$1:$I$89,3,0)*0.475*44/12</f>
        <v>2.1318334420908212</v>
      </c>
      <c r="AW162" s="21">
        <f>EXP(-LN(2)/2)*AW161+(1-EXP(-LN(2)/2))/(LN(2)/2)*AQ162*AT162*VLOOKUP('Données projet'!$B$10,Paramètres!$A$1:$I$89,3,0)*0.475*44/12</f>
        <v>5.4507122861512679E-14</v>
      </c>
      <c r="AX162" s="21">
        <f t="shared" si="166"/>
        <v>12.39675371950513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209.99999999999977</v>
      </c>
      <c r="BE162" s="13">
        <f>BD162*VLOOKUP('Données projet'!$B$11,Paramètres!$A$1:$I$89,3,0)*VLOOKUP('Données projet'!$B$11,Paramètres!$A$1:$I$89,5,0)</f>
        <v>212.9399999999998</v>
      </c>
      <c r="BF162" s="13">
        <f t="shared" si="167"/>
        <v>52.577528895212772</v>
      </c>
      <c r="BG162" s="20">
        <f t="shared" si="168"/>
        <v>462.44302949249521</v>
      </c>
      <c r="BH162" s="59">
        <f t="shared" si="116"/>
        <v>755.77636282582853</v>
      </c>
      <c r="BI162" s="59">
        <f ca="1">AVERAGE(OFFSET($BH$3,0,0,'Données projet'!$E$11+1,1))-AVERAGE(OFFSET($H$3,0,0,'Données projet'!$E$11+1,1))</f>
        <v>183.74583738362492</v>
      </c>
      <c r="BJ162" s="59">
        <f t="shared" si="146"/>
        <v>46.344307013926596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23.740773971738403</v>
      </c>
      <c r="BQ162" s="21">
        <f>EXP(-LN(2)/25)*BQ161+(1-EXP(-LN(2)/25))/(LN(2)/25)*Calculateur!BL162*Calculateur!BN162*VLOOKUP('Données projet'!$B$11,Paramètres!$A$1:$I$89,3,0)*0.475*44/12</f>
        <v>0.79684977535611801</v>
      </c>
      <c r="BR162" s="21">
        <f>EXP(-LN(2)/2)*BR161+(1-EXP(-LN(2)/2))/(LN(2)/2)*BL162*BO162*VLOOKUP('Données projet'!$B$11,Paramètres!$A$1:$I$89,3,0)*0.475*44/12</f>
        <v>3.0737957514494424E-5</v>
      </c>
      <c r="BS162" s="22">
        <f t="shared" si="169"/>
        <v>24.537654485052038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789.00000000000045</v>
      </c>
      <c r="BZ162" s="13">
        <f>BY162*VLOOKUP('Données projet'!$B$12,Paramètres!$A$1:$I$89,3,0)*VLOOKUP('Données projet'!$B$12,Paramètres!$A$1:$I$89,5,0)</f>
        <v>348.73800000000023</v>
      </c>
      <c r="CA162" s="13">
        <f t="shared" si="170"/>
        <v>81.302597726165047</v>
      </c>
      <c r="CB162" s="20">
        <f t="shared" si="171"/>
        <v>748.98737437307125</v>
      </c>
      <c r="CC162" s="59">
        <f t="shared" si="119"/>
        <v>1042.3207077064046</v>
      </c>
      <c r="CD162" s="59">
        <f ca="1">AVERAGE(OFFSET($CC$3,0,0,'Données projet'!$E$12+1,1))-AVERAGE(OFFSET($H$3,0,0,'Données projet'!$E$12+1,1))</f>
        <v>333.00091572040611</v>
      </c>
      <c r="CE162" s="59">
        <f t="shared" si="148"/>
        <v>267.06874181561398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12.067989946935405</v>
      </c>
      <c r="CL162" s="21">
        <f>EXP(-LN(2)/25)*CL161+(1-EXP(-LN(2)/25))/(LN(2)/25)*Calculateur!CG162*Calculateur!CI162*VLOOKUP('Données projet'!$B$12,Paramètres!$A$1:$I$89,3,0)*0.475*44/12</f>
        <v>2.6947885078700322</v>
      </c>
      <c r="CM162" s="21">
        <f>EXP(-LN(2)/2)*CM161+(1-EXP(-LN(2)/2))/(LN(2)/2)*CG162*CJ162*VLOOKUP('Données projet'!$B$12,Paramètres!$A$1:$I$89,3,0)*0.475*44/12</f>
        <v>2.5645613186196418E-12</v>
      </c>
      <c r="CN162" s="22">
        <f t="shared" si="172"/>
        <v>14.762778454808004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1">
        <f t="shared" si="140"/>
        <v>31.047243222685147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67">
        <f t="shared" si="110"/>
        <v>551.72568194617588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229</v>
      </c>
      <c r="O163" s="13">
        <f>N163*VLOOKUP('Données projet'!$B$9,Paramètres!$A$1:$I$89,3,0)*VLOOKUP('Données projet'!$B$9,Paramètres!$A$1:$I$89,5,0)</f>
        <v>136.94200000000001</v>
      </c>
      <c r="P163" s="13">
        <f t="shared" si="141"/>
        <v>35.595562742420903</v>
      </c>
      <c r="Q163" s="20">
        <f t="shared" si="162"/>
        <v>300.50292177638306</v>
      </c>
      <c r="R163" s="59">
        <f t="shared" si="109"/>
        <v>593.83625510971638</v>
      </c>
      <c r="S163" s="59">
        <f ca="1">AVERAGE(OFFSET($R$3,0,0,'Données projet'!$E$9+1,1))-AVERAGE(OFFSET($H$3,0,0,'Données projet'!$E$9+1,1))</f>
        <v>125.14227069357082</v>
      </c>
      <c r="T163" s="59">
        <f t="shared" si="142"/>
        <v>193.39407925063165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2.9756169495879354</v>
      </c>
      <c r="AA163" s="21">
        <f>EXP(-LN(2)/25)*AA162+(1-EXP(-LN(2)/25))/(LN(2)/25)*Calculateur!V163*Calculateur!X163*VLOOKUP('Données projet'!$B$9,Paramètres!$A$1:$I$89,3,0)*0.475*44/12</f>
        <v>0.81393914588046101</v>
      </c>
      <c r="AB163" s="21">
        <f>EXP(-LN(2)/2)*AB162+(1-EXP(-LN(2)/2))/(LN(2)/2)*V163*Y163*VLOOKUP('Données projet'!$B$9,Paramètres!$A$1:$I$89,3,0)*0.475*44/12</f>
        <v>1.3181034241086661E-15</v>
      </c>
      <c r="AC163" s="22">
        <f t="shared" si="163"/>
        <v>3.7895560954683978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-5.999999999994543E-2</v>
      </c>
      <c r="AJ163" s="13">
        <f>AI163*VLOOKUP('Données projet'!$B$10,Paramètres!$A$1:$I$89,3,0)*VLOOKUP('Données projet'!$B$10,Paramètres!$A$1:$I$89,5,0)</f>
        <v>-2.8079999999974462E-2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74.573470247551825</v>
      </c>
      <c r="AO163" s="59">
        <f t="shared" si="144"/>
        <v>122.43655207772224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10.063631451757308</v>
      </c>
      <c r="AV163" s="21">
        <f>EXP(-LN(2)/25)*AV162+(1-EXP(-LN(2)/25))/(LN(2)/25)*Calculateur!AQ163*Calculateur!AS163*VLOOKUP('Données projet'!$B$10,Paramètres!$A$1:$I$89,3,0)*0.475*44/12</f>
        <v>2.0735383445085991</v>
      </c>
      <c r="AW163" s="21">
        <f>EXP(-LN(2)/2)*AW162+(1-EXP(-LN(2)/2))/(LN(2)/2)*AQ163*AT163*VLOOKUP('Données projet'!$B$10,Paramètres!$A$1:$I$89,3,0)*0.475*44/12</f>
        <v>3.8542356198343907E-14</v>
      </c>
      <c r="AX163" s="21">
        <f t="shared" si="166"/>
        <v>12.137169796265946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209.99999999999977</v>
      </c>
      <c r="BE163" s="13">
        <f>BD163*VLOOKUP('Données projet'!$B$11,Paramètres!$A$1:$I$89,3,0)*VLOOKUP('Données projet'!$B$11,Paramètres!$A$1:$I$89,5,0)</f>
        <v>212.9399999999998</v>
      </c>
      <c r="BF163" s="13">
        <f t="shared" si="167"/>
        <v>52.577528895212772</v>
      </c>
      <c r="BG163" s="20">
        <f t="shared" si="168"/>
        <v>462.44302949249521</v>
      </c>
      <c r="BH163" s="59">
        <f t="shared" si="116"/>
        <v>755.77636282582853</v>
      </c>
      <c r="BI163" s="59">
        <f ca="1">AVERAGE(OFFSET($BH$3,0,0,'Données projet'!$E$11+1,1))-AVERAGE(OFFSET($H$3,0,0,'Données projet'!$E$11+1,1))</f>
        <v>183.74583738362492</v>
      </c>
      <c r="BJ163" s="59">
        <f t="shared" si="146"/>
        <v>46.344307013926596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23.275231874594912</v>
      </c>
      <c r="BQ163" s="21">
        <f>EXP(-LN(2)/25)*BQ162+(1-EXP(-LN(2)/25))/(LN(2)/25)*Calculateur!BL163*Calculateur!BN163*VLOOKUP('Données projet'!$B$11,Paramètres!$A$1:$I$89,3,0)*0.475*44/12</f>
        <v>0.77505987634449647</v>
      </c>
      <c r="BR163" s="21">
        <f>EXP(-LN(2)/2)*BR162+(1-EXP(-LN(2)/2))/(LN(2)/2)*BL163*BO163*VLOOKUP('Données projet'!$B$11,Paramètres!$A$1:$I$89,3,0)*0.475*44/12</f>
        <v>2.1735018198323004E-5</v>
      </c>
      <c r="BS163" s="22">
        <f t="shared" si="169"/>
        <v>24.050313485957606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789.00000000000045</v>
      </c>
      <c r="BZ163" s="13">
        <f>BY163*VLOOKUP('Données projet'!$B$12,Paramètres!$A$1:$I$89,3,0)*VLOOKUP('Données projet'!$B$12,Paramètres!$A$1:$I$89,5,0)</f>
        <v>348.73800000000023</v>
      </c>
      <c r="CA163" s="13">
        <f t="shared" si="170"/>
        <v>81.302597726165047</v>
      </c>
      <c r="CB163" s="20">
        <f t="shared" si="171"/>
        <v>748.98737437307125</v>
      </c>
      <c r="CC163" s="59">
        <f t="shared" si="119"/>
        <v>1042.3207077064046</v>
      </c>
      <c r="CD163" s="59">
        <f ca="1">AVERAGE(OFFSET($CC$3,0,0,'Données projet'!$E$12+1,1))-AVERAGE(OFFSET($H$3,0,0,'Données projet'!$E$12+1,1))</f>
        <v>333.00091572040611</v>
      </c>
      <c r="CE163" s="59">
        <f t="shared" si="148"/>
        <v>267.06874181561398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11.831344024823057</v>
      </c>
      <c r="CL163" s="21">
        <f>EXP(-LN(2)/25)*CL162+(1-EXP(-LN(2)/25))/(LN(2)/25)*Calculateur!CG163*Calculateur!CI163*VLOOKUP('Données projet'!$B$12,Paramètres!$A$1:$I$89,3,0)*0.475*44/12</f>
        <v>2.6210993744095576</v>
      </c>
      <c r="CM163" s="21">
        <f>EXP(-LN(2)/2)*CM162+(1-EXP(-LN(2)/2))/(LN(2)/2)*CG163*CJ163*VLOOKUP('Données projet'!$B$12,Paramètres!$A$1:$I$89,3,0)*0.475*44/12</f>
        <v>1.8134186991646629E-12</v>
      </c>
      <c r="CN163" s="22">
        <f t="shared" si="172"/>
        <v>14.452443399234427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1">
        <f t="shared" si="140"/>
        <v>31.218639399968879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67">
        <f t="shared" si="110"/>
        <v>553.30118695494502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229</v>
      </c>
      <c r="O164" s="13">
        <f>N164*VLOOKUP('Données projet'!$B$9,Paramètres!$A$1:$I$89,3,0)*VLOOKUP('Données projet'!$B$9,Paramètres!$A$1:$I$89,5,0)</f>
        <v>136.94200000000001</v>
      </c>
      <c r="P164" s="13">
        <f t="shared" si="141"/>
        <v>35.595562742420903</v>
      </c>
      <c r="Q164" s="20">
        <f t="shared" si="162"/>
        <v>300.50292177638306</v>
      </c>
      <c r="R164" s="59">
        <f t="shared" si="109"/>
        <v>593.83625510971638</v>
      </c>
      <c r="S164" s="59">
        <f ca="1">AVERAGE(OFFSET($R$3,0,0,'Données projet'!$E$9+1,1))-AVERAGE(OFFSET($H$3,0,0,'Données projet'!$E$9+1,1))</f>
        <v>125.14227069357082</v>
      </c>
      <c r="T164" s="59">
        <f t="shared" si="142"/>
        <v>193.39407925063165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2.9172669161536442</v>
      </c>
      <c r="AA164" s="21">
        <f>EXP(-LN(2)/25)*AA163+(1-EXP(-LN(2)/25))/(LN(2)/25)*Calculateur!V164*Calculateur!X164*VLOOKUP('Données projet'!$B$9,Paramètres!$A$1:$I$89,3,0)*0.475*44/12</f>
        <v>0.79168193713316037</v>
      </c>
      <c r="AB164" s="21">
        <f>EXP(-LN(2)/2)*AB163+(1-EXP(-LN(2)/2))/(LN(2)/2)*V164*Y164*VLOOKUP('Données projet'!$B$9,Paramètres!$A$1:$I$89,3,0)*0.475*44/12</f>
        <v>9.3203986949244559E-16</v>
      </c>
      <c r="AC164" s="22">
        <f t="shared" si="163"/>
        <v>3.7089488532868056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-5.999999999994543E-2</v>
      </c>
      <c r="AJ164" s="13">
        <f>AI164*VLOOKUP('Données projet'!$B$10,Paramètres!$A$1:$I$89,3,0)*VLOOKUP('Données projet'!$B$10,Paramètres!$A$1:$I$89,5,0)</f>
        <v>-2.8079999999974462E-2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74.573470247551825</v>
      </c>
      <c r="AO164" s="59">
        <f t="shared" si="144"/>
        <v>122.43655207772224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9.8662897771974354</v>
      </c>
      <c r="AV164" s="21">
        <f>EXP(-LN(2)/25)*AV163+(1-EXP(-LN(2)/25))/(LN(2)/25)*Calculateur!AQ164*Calculateur!AS164*VLOOKUP('Données projet'!$B$10,Paramètres!$A$1:$I$89,3,0)*0.475*44/12</f>
        <v>2.016837329435369</v>
      </c>
      <c r="AW164" s="21">
        <f>EXP(-LN(2)/2)*AW163+(1-EXP(-LN(2)/2))/(LN(2)/2)*AQ164*AT164*VLOOKUP('Données projet'!$B$10,Paramètres!$A$1:$I$89,3,0)*0.475*44/12</f>
        <v>2.7253561430756339E-14</v>
      </c>
      <c r="AX164" s="21">
        <f t="shared" si="166"/>
        <v>11.883127106632831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209.99999999999977</v>
      </c>
      <c r="BE164" s="13">
        <f>BD164*VLOOKUP('Données projet'!$B$11,Paramètres!$A$1:$I$89,3,0)*VLOOKUP('Données projet'!$B$11,Paramètres!$A$1:$I$89,5,0)</f>
        <v>212.9399999999998</v>
      </c>
      <c r="BF164" s="13">
        <f t="shared" si="167"/>
        <v>52.577528895212772</v>
      </c>
      <c r="BG164" s="20">
        <f t="shared" si="168"/>
        <v>462.44302949249521</v>
      </c>
      <c r="BH164" s="59">
        <f t="shared" si="116"/>
        <v>755.77636282582853</v>
      </c>
      <c r="BI164" s="59">
        <f ca="1">AVERAGE(OFFSET($BH$3,0,0,'Données projet'!$E$11+1,1))-AVERAGE(OFFSET($H$3,0,0,'Données projet'!$E$11+1,1))</f>
        <v>183.74583738362492</v>
      </c>
      <c r="BJ164" s="59">
        <f t="shared" si="146"/>
        <v>46.344307013926596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22.818818774023761</v>
      </c>
      <c r="BQ164" s="21">
        <f>EXP(-LN(2)/25)*BQ163+(1-EXP(-LN(2)/25))/(LN(2)/25)*Calculateur!BL164*Calculateur!BN164*VLOOKUP('Données projet'!$B$11,Paramètres!$A$1:$I$89,3,0)*0.475*44/12</f>
        <v>0.75386582326722873</v>
      </c>
      <c r="BR164" s="21">
        <f>EXP(-LN(2)/2)*BR163+(1-EXP(-LN(2)/2))/(LN(2)/2)*BL164*BO164*VLOOKUP('Données projet'!$B$11,Paramètres!$A$1:$I$89,3,0)*0.475*44/12</f>
        <v>1.5368978757247212E-5</v>
      </c>
      <c r="BS164" s="22">
        <f t="shared" si="169"/>
        <v>23.572699966269749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789.00000000000045</v>
      </c>
      <c r="BZ164" s="13">
        <f>BY164*VLOOKUP('Données projet'!$B$12,Paramètres!$A$1:$I$89,3,0)*VLOOKUP('Données projet'!$B$12,Paramètres!$A$1:$I$89,5,0)</f>
        <v>348.73800000000023</v>
      </c>
      <c r="CA164" s="13">
        <f t="shared" si="170"/>
        <v>81.302597726165047</v>
      </c>
      <c r="CB164" s="20">
        <f t="shared" si="171"/>
        <v>748.98737437307125</v>
      </c>
      <c r="CC164" s="59">
        <f t="shared" si="119"/>
        <v>1042.3207077064046</v>
      </c>
      <c r="CD164" s="59">
        <f ca="1">AVERAGE(OFFSET($CC$3,0,0,'Données projet'!$E$12+1,1))-AVERAGE(OFFSET($H$3,0,0,'Données projet'!$E$12+1,1))</f>
        <v>333.00091572040611</v>
      </c>
      <c r="CE164" s="59">
        <f t="shared" si="148"/>
        <v>267.06874181561398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11.59933858490357</v>
      </c>
      <c r="CL164" s="21">
        <f>EXP(-LN(2)/25)*CL163+(1-EXP(-LN(2)/25))/(LN(2)/25)*Calculateur!CG164*Calculateur!CI164*VLOOKUP('Données projet'!$B$12,Paramètres!$A$1:$I$89,3,0)*0.475*44/12</f>
        <v>2.5494252741787027</v>
      </c>
      <c r="CM164" s="21">
        <f>EXP(-LN(2)/2)*CM163+(1-EXP(-LN(2)/2))/(LN(2)/2)*CG164*CJ164*VLOOKUP('Données projet'!$B$12,Paramètres!$A$1:$I$89,3,0)*0.475*44/12</f>
        <v>1.2822806593098211E-12</v>
      </c>
      <c r="CN164" s="22">
        <f t="shared" si="172"/>
        <v>14.148763859083555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1">
        <f t="shared" si="140"/>
        <v>31.389911704951448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67">
        <f t="shared" si="110"/>
        <v>554.87647621945644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229</v>
      </c>
      <c r="O165" s="13">
        <f>N165*VLOOKUP('Données projet'!$B$9,Paramètres!$A$1:$I$89,3,0)*VLOOKUP('Données projet'!$B$9,Paramètres!$A$1:$I$89,5,0)</f>
        <v>136.94200000000001</v>
      </c>
      <c r="P165" s="13">
        <f t="shared" si="141"/>
        <v>35.595562742420903</v>
      </c>
      <c r="Q165" s="20">
        <f t="shared" si="162"/>
        <v>300.50292177638306</v>
      </c>
      <c r="R165" s="59">
        <f t="shared" si="109"/>
        <v>593.83625510971638</v>
      </c>
      <c r="S165" s="59">
        <f ca="1">AVERAGE(OFFSET($R$3,0,0,'Données projet'!$E$9+1,1))-AVERAGE(OFFSET($H$3,0,0,'Données projet'!$E$9+1,1))</f>
        <v>125.14227069357082</v>
      </c>
      <c r="T165" s="59">
        <f t="shared" si="142"/>
        <v>193.39407925063165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2.8600610912849933</v>
      </c>
      <c r="AA165" s="21">
        <f>EXP(-LN(2)/25)*AA164+(1-EXP(-LN(2)/25))/(LN(2)/25)*Calculateur!V165*Calculateur!X165*VLOOKUP('Données projet'!$B$9,Paramètres!$A$1:$I$89,3,0)*0.475*44/12</f>
        <v>0.77003335292951047</v>
      </c>
      <c r="AB165" s="21">
        <f>EXP(-LN(2)/2)*AB164+(1-EXP(-LN(2)/2))/(LN(2)/2)*V165*Y165*VLOOKUP('Données projet'!$B$9,Paramètres!$A$1:$I$89,3,0)*0.475*44/12</f>
        <v>6.5905171205433305E-16</v>
      </c>
      <c r="AC165" s="22">
        <f t="shared" si="163"/>
        <v>3.6300944442145044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-5.999999999994543E-2</v>
      </c>
      <c r="AJ165" s="13">
        <f>AI165*VLOOKUP('Données projet'!$B$10,Paramètres!$A$1:$I$89,3,0)*VLOOKUP('Données projet'!$B$10,Paramètres!$A$1:$I$89,5,0)</f>
        <v>-2.8079999999974462E-2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74.573470247551825</v>
      </c>
      <c r="AO165" s="59">
        <f t="shared" si="144"/>
        <v>122.43655207772224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9.6728178525091444</v>
      </c>
      <c r="AV165" s="21">
        <f>EXP(-LN(2)/25)*AV164+(1-EXP(-LN(2)/25))/(LN(2)/25)*Calculateur!AQ165*Calculateur!AS165*VLOOKUP('Données projet'!$B$10,Paramètres!$A$1:$I$89,3,0)*0.475*44/12</f>
        <v>1.9616868066010933</v>
      </c>
      <c r="AW165" s="21">
        <f>EXP(-LN(2)/2)*AW164+(1-EXP(-LN(2)/2))/(LN(2)/2)*AQ165*AT165*VLOOKUP('Données projet'!$B$10,Paramètres!$A$1:$I$89,3,0)*0.475*44/12</f>
        <v>1.9271178099171954E-14</v>
      </c>
      <c r="AX165" s="21">
        <f t="shared" si="166"/>
        <v>11.634504659110258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209.99999999999977</v>
      </c>
      <c r="BE165" s="13">
        <f>BD165*VLOOKUP('Données projet'!$B$11,Paramètres!$A$1:$I$89,3,0)*VLOOKUP('Données projet'!$B$11,Paramètres!$A$1:$I$89,5,0)</f>
        <v>212.9399999999998</v>
      </c>
      <c r="BF165" s="13">
        <f t="shared" si="167"/>
        <v>52.577528895212772</v>
      </c>
      <c r="BG165" s="20">
        <f t="shared" si="168"/>
        <v>462.44302949249521</v>
      </c>
      <c r="BH165" s="59">
        <f t="shared" si="116"/>
        <v>755.77636282582853</v>
      </c>
      <c r="BI165" s="59">
        <f ca="1">AVERAGE(OFFSET($BH$3,0,0,'Données projet'!$E$11+1,1))-AVERAGE(OFFSET($H$3,0,0,'Données projet'!$E$11+1,1))</f>
        <v>183.74583738362492</v>
      </c>
      <c r="BJ165" s="59">
        <f t="shared" si="146"/>
        <v>46.344307013926596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22.371355655970309</v>
      </c>
      <c r="BQ165" s="21">
        <f>EXP(-LN(2)/25)*BQ164+(1-EXP(-LN(2)/25))/(LN(2)/25)*Calculateur!BL165*Calculateur!BN165*VLOOKUP('Données projet'!$B$11,Paramètres!$A$1:$I$89,3,0)*0.475*44/12</f>
        <v>0.73325132268590565</v>
      </c>
      <c r="BR165" s="21">
        <f>EXP(-LN(2)/2)*BR164+(1-EXP(-LN(2)/2))/(LN(2)/2)*BL165*BO165*VLOOKUP('Données projet'!$B$11,Paramètres!$A$1:$I$89,3,0)*0.475*44/12</f>
        <v>1.0867509099161502E-5</v>
      </c>
      <c r="BS165" s="22">
        <f t="shared" si="169"/>
        <v>23.104617846165315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789.00000000000045</v>
      </c>
      <c r="BZ165" s="13">
        <f>BY165*VLOOKUP('Données projet'!$B$12,Paramètres!$A$1:$I$89,3,0)*VLOOKUP('Données projet'!$B$12,Paramètres!$A$1:$I$89,5,0)</f>
        <v>348.73800000000023</v>
      </c>
      <c r="CA165" s="13">
        <f t="shared" si="170"/>
        <v>81.302597726165047</v>
      </c>
      <c r="CB165" s="20">
        <f t="shared" si="171"/>
        <v>748.98737437307125</v>
      </c>
      <c r="CC165" s="59">
        <f t="shared" si="119"/>
        <v>1042.3207077064046</v>
      </c>
      <c r="CD165" s="59">
        <f ca="1">AVERAGE(OFFSET($CC$3,0,0,'Données projet'!$E$12+1,1))-AVERAGE(OFFSET($H$3,0,0,'Données projet'!$E$12+1,1))</f>
        <v>333.00091572040611</v>
      </c>
      <c r="CE165" s="59">
        <f t="shared" si="148"/>
        <v>267.06874181561398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11.371882630151561</v>
      </c>
      <c r="CL165" s="21">
        <f>EXP(-LN(2)/25)*CL164+(1-EXP(-LN(2)/25))/(LN(2)/25)*Calculateur!CG165*Calculateur!CI165*VLOOKUP('Données projet'!$B$12,Paramètres!$A$1:$I$89,3,0)*0.475*44/12</f>
        <v>2.4797111059878376</v>
      </c>
      <c r="CM165" s="21">
        <f>EXP(-LN(2)/2)*CM164+(1-EXP(-LN(2)/2))/(LN(2)/2)*CG165*CJ165*VLOOKUP('Données projet'!$B$12,Paramètres!$A$1:$I$89,3,0)*0.475*44/12</f>
        <v>9.0670934958233166E-13</v>
      </c>
      <c r="CN165" s="22">
        <f t="shared" si="172"/>
        <v>13.851593736140304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1">
        <f t="shared" si="140"/>
        <v>31.561060990985393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67">
        <f t="shared" si="110"/>
        <v>556.45155122596543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229</v>
      </c>
      <c r="O166" s="13">
        <f>N166*VLOOKUP('Données projet'!$B$9,Paramètres!$A$1:$I$89,3,0)*VLOOKUP('Données projet'!$B$9,Paramètres!$A$1:$I$89,5,0)</f>
        <v>136.94200000000001</v>
      </c>
      <c r="P166" s="13">
        <f t="shared" si="141"/>
        <v>35.595562742420903</v>
      </c>
      <c r="Q166" s="20">
        <f t="shared" si="162"/>
        <v>300.50292177638306</v>
      </c>
      <c r="R166" s="59">
        <f t="shared" si="109"/>
        <v>593.83625510971638</v>
      </c>
      <c r="S166" s="59">
        <f ca="1">AVERAGE(OFFSET($R$3,0,0,'Données projet'!$E$9+1,1))-AVERAGE(OFFSET($H$3,0,0,'Données projet'!$E$9+1,1))</f>
        <v>125.14227069357082</v>
      </c>
      <c r="T166" s="59">
        <f t="shared" si="142"/>
        <v>193.39407925063165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2.8039770377499087</v>
      </c>
      <c r="AA166" s="21">
        <f>EXP(-LN(2)/25)*AA165+(1-EXP(-LN(2)/25))/(LN(2)/25)*Calculateur!V166*Calculateur!X166*VLOOKUP('Données projet'!$B$9,Paramètres!$A$1:$I$89,3,0)*0.475*44/12</f>
        <v>0.74897675039935896</v>
      </c>
      <c r="AB166" s="21">
        <f>EXP(-LN(2)/2)*AB165+(1-EXP(-LN(2)/2))/(LN(2)/2)*V166*Y166*VLOOKUP('Données projet'!$B$9,Paramètres!$A$1:$I$89,3,0)*0.475*44/12</f>
        <v>4.660199347462228E-16</v>
      </c>
      <c r="AC166" s="22">
        <f t="shared" si="163"/>
        <v>3.5529537881492681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-5.999999999994543E-2</v>
      </c>
      <c r="AJ166" s="13">
        <f>AI166*VLOOKUP('Données projet'!$B$10,Paramètres!$A$1:$I$89,3,0)*VLOOKUP('Données projet'!$B$10,Paramètres!$A$1:$I$89,5,0)</f>
        <v>-2.8079999999974462E-2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74.573470247551825</v>
      </c>
      <c r="AO166" s="59">
        <f t="shared" si="144"/>
        <v>122.43655207772224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9.4831397942577702</v>
      </c>
      <c r="AV166" s="21">
        <f>EXP(-LN(2)/25)*AV165+(1-EXP(-LN(2)/25))/(LN(2)/25)*Calculateur!AQ166*Calculateur!AS166*VLOOKUP('Données projet'!$B$10,Paramètres!$A$1:$I$89,3,0)*0.475*44/12</f>
        <v>1.9080443777139606</v>
      </c>
      <c r="AW166" s="21">
        <f>EXP(-LN(2)/2)*AW165+(1-EXP(-LN(2)/2))/(LN(2)/2)*AQ166*AT166*VLOOKUP('Données projet'!$B$10,Paramètres!$A$1:$I$89,3,0)*0.475*44/12</f>
        <v>1.362678071537817E-14</v>
      </c>
      <c r="AX166" s="21">
        <f t="shared" si="166"/>
        <v>11.391184171971744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209.99999999999977</v>
      </c>
      <c r="BE166" s="13">
        <f>BD166*VLOOKUP('Données projet'!$B$11,Paramètres!$A$1:$I$89,3,0)*VLOOKUP('Données projet'!$B$11,Paramètres!$A$1:$I$89,5,0)</f>
        <v>212.9399999999998</v>
      </c>
      <c r="BF166" s="13">
        <f t="shared" si="167"/>
        <v>52.577528895212772</v>
      </c>
      <c r="BG166" s="20">
        <f t="shared" si="168"/>
        <v>462.44302949249521</v>
      </c>
      <c r="BH166" s="59">
        <f t="shared" si="116"/>
        <v>755.77636282582853</v>
      </c>
      <c r="BI166" s="59">
        <f ca="1">AVERAGE(OFFSET($BH$3,0,0,'Données projet'!$E$11+1,1))-AVERAGE(OFFSET($H$3,0,0,'Données projet'!$E$11+1,1))</f>
        <v>183.74583738362492</v>
      </c>
      <c r="BJ166" s="59">
        <f t="shared" si="146"/>
        <v>46.344307013926596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21.932667016736332</v>
      </c>
      <c r="BQ166" s="21">
        <f>EXP(-LN(2)/25)*BQ165+(1-EXP(-LN(2)/25))/(LN(2)/25)*Calculateur!BL166*Calculateur!BN166*VLOOKUP('Données projet'!$B$11,Paramètres!$A$1:$I$89,3,0)*0.475*44/12</f>
        <v>0.71320052670704837</v>
      </c>
      <c r="BR166" s="21">
        <f>EXP(-LN(2)/2)*BR165+(1-EXP(-LN(2)/2))/(LN(2)/2)*BL166*BO166*VLOOKUP('Données projet'!$B$11,Paramètres!$A$1:$I$89,3,0)*0.475*44/12</f>
        <v>7.6844893786236061E-6</v>
      </c>
      <c r="BS166" s="22">
        <f t="shared" si="169"/>
        <v>22.645875227932759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789.00000000000045</v>
      </c>
      <c r="BZ166" s="13">
        <f>BY166*VLOOKUP('Données projet'!$B$12,Paramètres!$A$1:$I$89,3,0)*VLOOKUP('Données projet'!$B$12,Paramètres!$A$1:$I$89,5,0)</f>
        <v>348.73800000000023</v>
      </c>
      <c r="CA166" s="13">
        <f t="shared" si="170"/>
        <v>81.302597726165047</v>
      </c>
      <c r="CB166" s="20">
        <f t="shared" si="171"/>
        <v>748.98737437307125</v>
      </c>
      <c r="CC166" s="59">
        <f t="shared" si="119"/>
        <v>1042.3207077064046</v>
      </c>
      <c r="CD166" s="59">
        <f ca="1">AVERAGE(OFFSET($CC$3,0,0,'Données projet'!$E$12+1,1))-AVERAGE(OFFSET($H$3,0,0,'Données projet'!$E$12+1,1))</f>
        <v>333.00091572040611</v>
      </c>
      <c r="CE166" s="59">
        <f t="shared" si="148"/>
        <v>267.06874181561398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11.148886947937804</v>
      </c>
      <c r="CL166" s="21">
        <f>EXP(-LN(2)/25)*CL165+(1-EXP(-LN(2)/25))/(LN(2)/25)*Calculateur!CG166*Calculateur!CI166*VLOOKUP('Données projet'!$B$12,Paramètres!$A$1:$I$89,3,0)*0.475*44/12</f>
        <v>2.4119032753922607</v>
      </c>
      <c r="CM166" s="21">
        <f>EXP(-LN(2)/2)*CM165+(1-EXP(-LN(2)/2))/(LN(2)/2)*CG166*CJ166*VLOOKUP('Données projet'!$B$12,Paramètres!$A$1:$I$89,3,0)*0.475*44/12</f>
        <v>6.4114032965491065E-13</v>
      </c>
      <c r="CN166" s="22">
        <f t="shared" si="172"/>
        <v>13.560790223330706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1">
        <f t="shared" si="140"/>
        <v>31.732088100347205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67">
        <f t="shared" si="110"/>
        <v>558.02641344143728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229</v>
      </c>
      <c r="O167" s="13">
        <f>N167*VLOOKUP('Données projet'!$B$9,Paramètres!$A$1:$I$89,3,0)*VLOOKUP('Données projet'!$B$9,Paramètres!$A$1:$I$89,5,0)</f>
        <v>136.94200000000001</v>
      </c>
      <c r="P167" s="13">
        <f t="shared" si="141"/>
        <v>35.595562742420903</v>
      </c>
      <c r="Q167" s="20">
        <f t="shared" si="162"/>
        <v>300.50292177638306</v>
      </c>
      <c r="R167" s="59">
        <f t="shared" si="109"/>
        <v>593.83625510971638</v>
      </c>
      <c r="S167" s="59">
        <f ca="1">AVERAGE(OFFSET($R$3,0,0,'Données projet'!$E$9+1,1))-AVERAGE(OFFSET($H$3,0,0,'Données projet'!$E$9+1,1))</f>
        <v>125.14227069357082</v>
      </c>
      <c r="T167" s="59">
        <f t="shared" si="142"/>
        <v>193.39407925063165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2.7489927582967519</v>
      </c>
      <c r="AA167" s="21">
        <f>EXP(-LN(2)/25)*AA166+(1-EXP(-LN(2)/25))/(LN(2)/25)*Calculateur!V167*Calculateur!X167*VLOOKUP('Données projet'!$B$9,Paramètres!$A$1:$I$89,3,0)*0.475*44/12</f>
        <v>0.72849594177271304</v>
      </c>
      <c r="AB167" s="21">
        <f>EXP(-LN(2)/2)*AB166+(1-EXP(-LN(2)/2))/(LN(2)/2)*V167*Y167*VLOOKUP('Données projet'!$B$9,Paramètres!$A$1:$I$89,3,0)*0.475*44/12</f>
        <v>3.2952585602716652E-16</v>
      </c>
      <c r="AC167" s="22">
        <f t="shared" si="163"/>
        <v>3.4774887000694652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-5.999999999994543E-2</v>
      </c>
      <c r="AJ167" s="13">
        <f>AI167*VLOOKUP('Données projet'!$B$10,Paramètres!$A$1:$I$89,3,0)*VLOOKUP('Données projet'!$B$10,Paramètres!$A$1:$I$89,5,0)</f>
        <v>-2.8079999999974462E-2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74.573470247551825</v>
      </c>
      <c r="AO167" s="59">
        <f t="shared" si="144"/>
        <v>122.43655207772224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9.2971812070365125</v>
      </c>
      <c r="AV167" s="21">
        <f>EXP(-LN(2)/25)*AV166+(1-EXP(-LN(2)/25))/(LN(2)/25)*Calculateur!AQ167*Calculateur!AS167*VLOOKUP('Données projet'!$B$10,Paramètres!$A$1:$I$89,3,0)*0.475*44/12</f>
        <v>1.8558688038656794</v>
      </c>
      <c r="AW167" s="21">
        <f>EXP(-LN(2)/2)*AW166+(1-EXP(-LN(2)/2))/(LN(2)/2)*AQ167*AT167*VLOOKUP('Données projet'!$B$10,Paramètres!$A$1:$I$89,3,0)*0.475*44/12</f>
        <v>9.6355890495859768E-15</v>
      </c>
      <c r="AX167" s="21">
        <f t="shared" si="166"/>
        <v>11.1530500109022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209.99999999999977</v>
      </c>
      <c r="BE167" s="13">
        <f>BD167*VLOOKUP('Données projet'!$B$11,Paramètres!$A$1:$I$89,3,0)*VLOOKUP('Données projet'!$B$11,Paramètres!$A$1:$I$89,5,0)</f>
        <v>212.9399999999998</v>
      </c>
      <c r="BF167" s="13">
        <f t="shared" si="167"/>
        <v>52.577528895212772</v>
      </c>
      <c r="BG167" s="20">
        <f t="shared" si="168"/>
        <v>462.44302949249521</v>
      </c>
      <c r="BH167" s="59">
        <f t="shared" si="116"/>
        <v>755.77636282582853</v>
      </c>
      <c r="BI167" s="59">
        <f ca="1">AVERAGE(OFFSET($BH$3,0,0,'Données projet'!$E$11+1,1))-AVERAGE(OFFSET($H$3,0,0,'Données projet'!$E$11+1,1))</f>
        <v>183.74583738362492</v>
      </c>
      <c r="BJ167" s="59">
        <f t="shared" si="146"/>
        <v>46.344307013926596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21.502580794144084</v>
      </c>
      <c r="BQ167" s="21">
        <f>EXP(-LN(2)/25)*BQ166+(1-EXP(-LN(2)/25))/(LN(2)/25)*Calculateur!BL167*Calculateur!BN167*VLOOKUP('Données projet'!$B$11,Paramètres!$A$1:$I$89,3,0)*0.475*44/12</f>
        <v>0.6936980207986585</v>
      </c>
      <c r="BR167" s="21">
        <f>EXP(-LN(2)/2)*BR166+(1-EXP(-LN(2)/2))/(LN(2)/2)*BL167*BO167*VLOOKUP('Données projet'!$B$11,Paramètres!$A$1:$I$89,3,0)*0.475*44/12</f>
        <v>5.4337545495807509E-6</v>
      </c>
      <c r="BS167" s="22">
        <f t="shared" si="169"/>
        <v>22.196284248697292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789.00000000000045</v>
      </c>
      <c r="BZ167" s="13">
        <f>BY167*VLOOKUP('Données projet'!$B$12,Paramètres!$A$1:$I$89,3,0)*VLOOKUP('Données projet'!$B$12,Paramètres!$A$1:$I$89,5,0)</f>
        <v>348.73800000000023</v>
      </c>
      <c r="CA167" s="13">
        <f t="shared" si="170"/>
        <v>81.302597726165047</v>
      </c>
      <c r="CB167" s="20">
        <f t="shared" si="171"/>
        <v>748.98737437307125</v>
      </c>
      <c r="CC167" s="59">
        <f t="shared" si="119"/>
        <v>1042.3207077064046</v>
      </c>
      <c r="CD167" s="59">
        <f ca="1">AVERAGE(OFFSET($CC$3,0,0,'Données projet'!$E$12+1,1))-AVERAGE(OFFSET($H$3,0,0,'Données projet'!$E$12+1,1))</f>
        <v>333.00091572040611</v>
      </c>
      <c r="CE167" s="59">
        <f t="shared" si="148"/>
        <v>267.06874181561398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10.930264075038323</v>
      </c>
      <c r="CL167" s="21">
        <f>EXP(-LN(2)/25)*CL166+(1-EXP(-LN(2)/25))/(LN(2)/25)*Calculateur!CG167*Calculateur!CI167*VLOOKUP('Données projet'!$B$12,Paramètres!$A$1:$I$89,3,0)*0.475*44/12</f>
        <v>2.3459496534901785</v>
      </c>
      <c r="CM167" s="21">
        <f>EXP(-LN(2)/2)*CM166+(1-EXP(-LN(2)/2))/(LN(2)/2)*CG167*CJ167*VLOOKUP('Données projet'!$B$12,Paramètres!$A$1:$I$89,3,0)*0.475*44/12</f>
        <v>4.5335467479116588E-13</v>
      </c>
      <c r="CN167" s="22">
        <f t="shared" si="172"/>
        <v>13.276213728528955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1">
        <f t="shared" si="140"/>
        <v>31.902993864447446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67">
        <f t="shared" si="110"/>
        <v>559.60106431391182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229</v>
      </c>
      <c r="O168" s="13">
        <f>N168*VLOOKUP('Données projet'!$B$9,Paramètres!$A$1:$I$89,3,0)*VLOOKUP('Données projet'!$B$9,Paramètres!$A$1:$I$89,5,0)</f>
        <v>136.94200000000001</v>
      </c>
      <c r="P168" s="13">
        <f t="shared" si="141"/>
        <v>35.595562742420903</v>
      </c>
      <c r="Q168" s="20">
        <f t="shared" si="162"/>
        <v>300.50292177638306</v>
      </c>
      <c r="R168" s="59">
        <f t="shared" si="109"/>
        <v>593.83625510971638</v>
      </c>
      <c r="S168" s="59">
        <f ca="1">AVERAGE(OFFSET($R$3,0,0,'Données projet'!$E$9+1,1))-AVERAGE(OFFSET($H$3,0,0,'Données projet'!$E$9+1,1))</f>
        <v>125.14227069357082</v>
      </c>
      <c r="T168" s="59">
        <f t="shared" si="142"/>
        <v>193.39407925063165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2.6950866870265728</v>
      </c>
      <c r="AA168" s="21">
        <f>EXP(-LN(2)/25)*AA167+(1-EXP(-LN(2)/25))/(LN(2)/25)*Calculateur!V168*Calculateur!X168*VLOOKUP('Données projet'!$B$9,Paramètres!$A$1:$I$89,3,0)*0.475*44/12</f>
        <v>0.70857518193500157</v>
      </c>
      <c r="AB168" s="21">
        <f>EXP(-LN(2)/2)*AB167+(1-EXP(-LN(2)/2))/(LN(2)/2)*V168*Y168*VLOOKUP('Données projet'!$B$9,Paramètres!$A$1:$I$89,3,0)*0.475*44/12</f>
        <v>2.330099673731114E-16</v>
      </c>
      <c r="AC168" s="22">
        <f t="shared" si="163"/>
        <v>3.4036618689615747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-5.999999999994543E-2</v>
      </c>
      <c r="AJ168" s="13">
        <f>AI168*VLOOKUP('Données projet'!$B$10,Paramètres!$A$1:$I$89,3,0)*VLOOKUP('Données projet'!$B$10,Paramètres!$A$1:$I$89,5,0)</f>
        <v>-2.8079999999974462E-2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74.573470247551825</v>
      </c>
      <c r="AO168" s="59">
        <f t="shared" si="144"/>
        <v>122.43655207772224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9.1148691542871259</v>
      </c>
      <c r="AV168" s="21">
        <f>EXP(-LN(2)/25)*AV167+(1-EXP(-LN(2)/25))/(LN(2)/25)*Calculateur!AQ168*Calculateur!AS168*VLOOKUP('Données projet'!$B$10,Paramètres!$A$1:$I$89,3,0)*0.475*44/12</f>
        <v>1.8051199738280737</v>
      </c>
      <c r="AW168" s="21">
        <f>EXP(-LN(2)/2)*AW167+(1-EXP(-LN(2)/2))/(LN(2)/2)*AQ168*AT168*VLOOKUP('Données projet'!$B$10,Paramètres!$A$1:$I$89,3,0)*0.475*44/12</f>
        <v>6.8133903576890848E-15</v>
      </c>
      <c r="AX168" s="21">
        <f t="shared" si="166"/>
        <v>10.919989128115207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209.99999999999977</v>
      </c>
      <c r="BE168" s="13">
        <f>BD168*VLOOKUP('Données projet'!$B$11,Paramètres!$A$1:$I$89,3,0)*VLOOKUP('Données projet'!$B$11,Paramètres!$A$1:$I$89,5,0)</f>
        <v>212.9399999999998</v>
      </c>
      <c r="BF168" s="13">
        <f t="shared" si="167"/>
        <v>52.577528895212772</v>
      </c>
      <c r="BG168" s="20">
        <f t="shared" si="168"/>
        <v>462.44302949249521</v>
      </c>
      <c r="BH168" s="59">
        <f t="shared" si="116"/>
        <v>755.77636282582853</v>
      </c>
      <c r="BI168" s="59">
        <f ca="1">AVERAGE(OFFSET($BH$3,0,0,'Données projet'!$E$11+1,1))-AVERAGE(OFFSET($H$3,0,0,'Données projet'!$E$11+1,1))</f>
        <v>183.74583738362492</v>
      </c>
      <c r="BJ168" s="59">
        <f t="shared" si="146"/>
        <v>46.344307013926596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21.080928300050175</v>
      </c>
      <c r="BQ168" s="21">
        <f>EXP(-LN(2)/25)*BQ167+(1-EXP(-LN(2)/25))/(LN(2)/25)*Calculateur!BL168*Calculateur!BN168*VLOOKUP('Données projet'!$B$11,Paramètres!$A$1:$I$89,3,0)*0.475*44/12</f>
        <v>0.67472881193992573</v>
      </c>
      <c r="BR168" s="21">
        <f>EXP(-LN(2)/2)*BR167+(1-EXP(-LN(2)/2))/(LN(2)/2)*BL168*BO168*VLOOKUP('Données projet'!$B$11,Paramètres!$A$1:$I$89,3,0)*0.475*44/12</f>
        <v>3.842244689311803E-6</v>
      </c>
      <c r="BS168" s="22">
        <f t="shared" si="169"/>
        <v>21.755660954234788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789.00000000000045</v>
      </c>
      <c r="BZ168" s="13">
        <f>BY168*VLOOKUP('Données projet'!$B$12,Paramètres!$A$1:$I$89,3,0)*VLOOKUP('Données projet'!$B$12,Paramètres!$A$1:$I$89,5,0)</f>
        <v>348.73800000000023</v>
      </c>
      <c r="CA168" s="13">
        <f t="shared" si="170"/>
        <v>81.302597726165047</v>
      </c>
      <c r="CB168" s="20">
        <f t="shared" si="171"/>
        <v>748.98737437307125</v>
      </c>
      <c r="CC168" s="59">
        <f t="shared" si="119"/>
        <v>1042.3207077064046</v>
      </c>
      <c r="CD168" s="59">
        <f ca="1">AVERAGE(OFFSET($CC$3,0,0,'Données projet'!$E$12+1,1))-AVERAGE(OFFSET($H$3,0,0,'Données projet'!$E$12+1,1))</f>
        <v>333.00091572040611</v>
      </c>
      <c r="CE168" s="59">
        <f t="shared" si="148"/>
        <v>267.06874181561398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10.715928263329616</v>
      </c>
      <c r="CL168" s="21">
        <f>EXP(-LN(2)/25)*CL167+(1-EXP(-LN(2)/25))/(LN(2)/25)*Calculateur!CG168*Calculateur!CI168*VLOOKUP('Données projet'!$B$12,Paramètres!$A$1:$I$89,3,0)*0.475*44/12</f>
        <v>2.2817995368473589</v>
      </c>
      <c r="CM168" s="21">
        <f>EXP(-LN(2)/2)*CM167+(1-EXP(-LN(2)/2))/(LN(2)/2)*CG168*CJ168*VLOOKUP('Données projet'!$B$12,Paramètres!$A$1:$I$89,3,0)*0.475*44/12</f>
        <v>3.2057016482745538E-13</v>
      </c>
      <c r="CN168" s="22">
        <f t="shared" si="172"/>
        <v>12.997727800177294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1">
        <f t="shared" si="140"/>
        <v>32.073779104036042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67">
        <f t="shared" si="110"/>
        <v>561.17550527286198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229</v>
      </c>
      <c r="O169" s="13">
        <f>N169*VLOOKUP('Données projet'!$B$9,Paramètres!$A$1:$I$89,3,0)*VLOOKUP('Données projet'!$B$9,Paramètres!$A$1:$I$89,5,0)</f>
        <v>136.94200000000001</v>
      </c>
      <c r="P169" s="13">
        <f t="shared" si="141"/>
        <v>35.595562742420903</v>
      </c>
      <c r="Q169" s="20">
        <f t="shared" si="162"/>
        <v>300.50292177638306</v>
      </c>
      <c r="R169" s="59">
        <f t="shared" si="109"/>
        <v>593.83625510971638</v>
      </c>
      <c r="S169" s="59">
        <f ca="1">AVERAGE(OFFSET($R$3,0,0,'Données projet'!$E$9+1,1))-AVERAGE(OFFSET($H$3,0,0,'Données projet'!$E$9+1,1))</f>
        <v>125.14227069357082</v>
      </c>
      <c r="T169" s="59">
        <f t="shared" si="142"/>
        <v>193.39407925063165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2.6422376809345449</v>
      </c>
      <c r="AA169" s="21">
        <f>EXP(-LN(2)/25)*AA168+(1-EXP(-LN(2)/25))/(LN(2)/25)*Calculateur!V169*Calculateur!X169*VLOOKUP('Données projet'!$B$9,Paramètres!$A$1:$I$89,3,0)*0.475*44/12</f>
        <v>0.68919915632263962</v>
      </c>
      <c r="AB169" s="21">
        <f>EXP(-LN(2)/2)*AB168+(1-EXP(-LN(2)/2))/(LN(2)/2)*V169*Y169*VLOOKUP('Données projet'!$B$9,Paramètres!$A$1:$I$89,3,0)*0.475*44/12</f>
        <v>1.6476292801358326E-16</v>
      </c>
      <c r="AC169" s="22">
        <f t="shared" si="163"/>
        <v>3.3314368372571845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-5.999999999994543E-2</v>
      </c>
      <c r="AJ169" s="13">
        <f>AI169*VLOOKUP('Données projet'!$B$10,Paramètres!$A$1:$I$89,3,0)*VLOOKUP('Données projet'!$B$10,Paramètres!$A$1:$I$89,5,0)</f>
        <v>-2.8079999999974462E-2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74.573470247551825</v>
      </c>
      <c r="AO169" s="59">
        <f t="shared" si="144"/>
        <v>122.43655207772224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8.9361321296927816</v>
      </c>
      <c r="AV169" s="21">
        <f>EXP(-LN(2)/25)*AV168+(1-EXP(-LN(2)/25))/(LN(2)/25)*Calculateur!AQ169*Calculateur!AS169*VLOOKUP('Données projet'!$B$10,Paramètres!$A$1:$I$89,3,0)*0.475*44/12</f>
        <v>1.7557588732166112</v>
      </c>
      <c r="AW169" s="21">
        <f>EXP(-LN(2)/2)*AW168+(1-EXP(-LN(2)/2))/(LN(2)/2)*AQ169*AT169*VLOOKUP('Données projet'!$B$10,Paramètres!$A$1:$I$89,3,0)*0.475*44/12</f>
        <v>4.8177945247929884E-15</v>
      </c>
      <c r="AX169" s="21">
        <f t="shared" si="166"/>
        <v>10.691891002909399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209.99999999999977</v>
      </c>
      <c r="BE169" s="13">
        <f>BD169*VLOOKUP('Données projet'!$B$11,Paramètres!$A$1:$I$89,3,0)*VLOOKUP('Données projet'!$B$11,Paramètres!$A$1:$I$89,5,0)</f>
        <v>212.9399999999998</v>
      </c>
      <c r="BF169" s="13">
        <f t="shared" si="167"/>
        <v>52.577528895212772</v>
      </c>
      <c r="BG169" s="20">
        <f t="shared" si="168"/>
        <v>462.44302949249521</v>
      </c>
      <c r="BH169" s="59">
        <f t="shared" si="116"/>
        <v>755.77636282582853</v>
      </c>
      <c r="BI169" s="59">
        <f ca="1">AVERAGE(OFFSET($BH$3,0,0,'Données projet'!$E$11+1,1))-AVERAGE(OFFSET($H$3,0,0,'Données projet'!$E$11+1,1))</f>
        <v>183.74583738362492</v>
      </c>
      <c r="BJ169" s="59">
        <f t="shared" si="146"/>
        <v>46.344307013926596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20.667544154182824</v>
      </c>
      <c r="BQ169" s="21">
        <f>EXP(-LN(2)/25)*BQ168+(1-EXP(-LN(2)/25))/(LN(2)/25)*Calculateur!BL169*Calculateur!BN169*VLOOKUP('Données projet'!$B$11,Paramètres!$A$1:$I$89,3,0)*0.475*44/12</f>
        <v>0.65627831709498241</v>
      </c>
      <c r="BR169" s="21">
        <f>EXP(-LN(2)/2)*BR168+(1-EXP(-LN(2)/2))/(LN(2)/2)*BL169*BO169*VLOOKUP('Données projet'!$B$11,Paramètres!$A$1:$I$89,3,0)*0.475*44/12</f>
        <v>2.7168772747903755E-6</v>
      </c>
      <c r="BS169" s="22">
        <f t="shared" si="169"/>
        <v>21.323825188155084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789.00000000000045</v>
      </c>
      <c r="BZ169" s="13">
        <f>BY169*VLOOKUP('Données projet'!$B$12,Paramètres!$A$1:$I$89,3,0)*VLOOKUP('Données projet'!$B$12,Paramètres!$A$1:$I$89,5,0)</f>
        <v>348.73800000000023</v>
      </c>
      <c r="CA169" s="13">
        <f t="shared" si="170"/>
        <v>81.302597726165047</v>
      </c>
      <c r="CB169" s="20">
        <f t="shared" si="171"/>
        <v>748.98737437307125</v>
      </c>
      <c r="CC169" s="59">
        <f t="shared" si="119"/>
        <v>1042.3207077064046</v>
      </c>
      <c r="CD169" s="59">
        <f ca="1">AVERAGE(OFFSET($CC$3,0,0,'Données projet'!$E$12+1,1))-AVERAGE(OFFSET($H$3,0,0,'Données projet'!$E$12+1,1))</f>
        <v>333.00091572040611</v>
      </c>
      <c r="CE169" s="59">
        <f t="shared" si="148"/>
        <v>267.06874181561398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10.505795446156579</v>
      </c>
      <c r="CL169" s="21">
        <f>EXP(-LN(2)/25)*CL168+(1-EXP(-LN(2)/25))/(LN(2)/25)*Calculateur!CG169*Calculateur!CI169*VLOOKUP('Données projet'!$B$12,Paramètres!$A$1:$I$89,3,0)*0.475*44/12</f>
        <v>2.2194036085176454</v>
      </c>
      <c r="CM169" s="21">
        <f>EXP(-LN(2)/2)*CM168+(1-EXP(-LN(2)/2))/(LN(2)/2)*CG169*CJ169*VLOOKUP('Données projet'!$B$12,Paramètres!$A$1:$I$89,3,0)*0.475*44/12</f>
        <v>2.2667733739558297E-13</v>
      </c>
      <c r="CN169" s="22">
        <f t="shared" si="172"/>
        <v>12.725199054674452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1">
        <f t="shared" si="140"/>
        <v>32.244444629402366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67">
        <f t="shared" si="110"/>
        <v>562.74973772954172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229</v>
      </c>
      <c r="O170" s="13">
        <f>N170*VLOOKUP('Données projet'!$B$9,Paramètres!$A$1:$I$89,3,0)*VLOOKUP('Données projet'!$B$9,Paramètres!$A$1:$I$89,5,0)</f>
        <v>136.94200000000001</v>
      </c>
      <c r="P170" s="13">
        <f t="shared" si="141"/>
        <v>35.595562742420903</v>
      </c>
      <c r="Q170" s="20">
        <f t="shared" si="162"/>
        <v>300.50292177638306</v>
      </c>
      <c r="R170" s="59">
        <f t="shared" si="109"/>
        <v>593.83625510971638</v>
      </c>
      <c r="S170" s="59">
        <f ca="1">AVERAGE(OFFSET($R$3,0,0,'Données projet'!$E$9+1,1))-AVERAGE(OFFSET($H$3,0,0,'Données projet'!$E$9+1,1))</f>
        <v>125.14227069357082</v>
      </c>
      <c r="T170" s="59">
        <f t="shared" si="142"/>
        <v>193.39407925063165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2.5904250116172709</v>
      </c>
      <c r="AA170" s="21">
        <f>EXP(-LN(2)/25)*AA169+(1-EXP(-LN(2)/25))/(LN(2)/25)*Calculateur!V170*Calculateur!X170*VLOOKUP('Données projet'!$B$9,Paramètres!$A$1:$I$89,3,0)*0.475*44/12</f>
        <v>0.67035296914958864</v>
      </c>
      <c r="AB170" s="21">
        <f>EXP(-LN(2)/2)*AB169+(1-EXP(-LN(2)/2))/(LN(2)/2)*V170*Y170*VLOOKUP('Données projet'!$B$9,Paramètres!$A$1:$I$89,3,0)*0.475*44/12</f>
        <v>1.165049836865557E-16</v>
      </c>
      <c r="AC170" s="22">
        <f t="shared" si="163"/>
        <v>3.2607779807668598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-5.999999999994543E-2</v>
      </c>
      <c r="AJ170" s="13">
        <f>AI170*VLOOKUP('Données projet'!$B$10,Paramètres!$A$1:$I$89,3,0)*VLOOKUP('Données projet'!$B$10,Paramètres!$A$1:$I$89,5,0)</f>
        <v>-2.8079999999974462E-2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74.573470247551825</v>
      </c>
      <c r="AO170" s="59">
        <f t="shared" si="144"/>
        <v>122.43655207772224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8.7609000291319123</v>
      </c>
      <c r="AV170" s="21">
        <f>EXP(-LN(2)/25)*AV169+(1-EXP(-LN(2)/25))/(LN(2)/25)*Calculateur!AQ170*Calculateur!AS170*VLOOKUP('Données projet'!$B$10,Paramètres!$A$1:$I$89,3,0)*0.475*44/12</f>
        <v>1.7077475544971565</v>
      </c>
      <c r="AW170" s="21">
        <f>EXP(-LN(2)/2)*AW169+(1-EXP(-LN(2)/2))/(LN(2)/2)*AQ170*AT170*VLOOKUP('Données projet'!$B$10,Paramètres!$A$1:$I$89,3,0)*0.475*44/12</f>
        <v>3.4066951788445424E-15</v>
      </c>
      <c r="AX170" s="21">
        <f t="shared" si="166"/>
        <v>10.468647583629073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209.99999999999977</v>
      </c>
      <c r="BE170" s="13">
        <f>BD170*VLOOKUP('Données projet'!$B$11,Paramètres!$A$1:$I$89,3,0)*VLOOKUP('Données projet'!$B$11,Paramètres!$A$1:$I$89,5,0)</f>
        <v>212.9399999999998</v>
      </c>
      <c r="BF170" s="13">
        <f t="shared" si="167"/>
        <v>52.577528895212772</v>
      </c>
      <c r="BG170" s="20">
        <f t="shared" si="168"/>
        <v>462.44302949249521</v>
      </c>
      <c r="BH170" s="59">
        <f t="shared" si="116"/>
        <v>755.77636282582853</v>
      </c>
      <c r="BI170" s="59">
        <f ca="1">AVERAGE(OFFSET($BH$3,0,0,'Données projet'!$E$11+1,1))-AVERAGE(OFFSET($H$3,0,0,'Données projet'!$E$11+1,1))</f>
        <v>183.74583738362492</v>
      </c>
      <c r="BJ170" s="59">
        <f t="shared" si="146"/>
        <v>46.344307013926596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20.262266219276498</v>
      </c>
      <c r="BQ170" s="21">
        <f>EXP(-LN(2)/25)*BQ169+(1-EXP(-LN(2)/25))/(LN(2)/25)*Calculateur!BL170*Calculateur!BN170*VLOOKUP('Données projet'!$B$11,Paramètres!$A$1:$I$89,3,0)*0.475*44/12</f>
        <v>0.63833235200184335</v>
      </c>
      <c r="BR170" s="21">
        <f>EXP(-LN(2)/2)*BR169+(1-EXP(-LN(2)/2))/(LN(2)/2)*BL170*BO170*VLOOKUP('Données projet'!$B$11,Paramètres!$A$1:$I$89,3,0)*0.475*44/12</f>
        <v>1.9211223446559015E-6</v>
      </c>
      <c r="BS170" s="22">
        <f t="shared" si="169"/>
        <v>20.900600492400685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789.00000000000045</v>
      </c>
      <c r="BZ170" s="13">
        <f>BY170*VLOOKUP('Données projet'!$B$12,Paramètres!$A$1:$I$89,3,0)*VLOOKUP('Données projet'!$B$12,Paramètres!$A$1:$I$89,5,0)</f>
        <v>348.73800000000023</v>
      </c>
      <c r="CA170" s="13">
        <f t="shared" si="170"/>
        <v>81.302597726165047</v>
      </c>
      <c r="CB170" s="20">
        <f t="shared" si="171"/>
        <v>748.98737437307125</v>
      </c>
      <c r="CC170" s="59">
        <f t="shared" si="119"/>
        <v>1042.3207077064046</v>
      </c>
      <c r="CD170" s="59">
        <f ca="1">AVERAGE(OFFSET($CC$3,0,0,'Données projet'!$E$12+1,1))-AVERAGE(OFFSET($H$3,0,0,'Données projet'!$E$12+1,1))</f>
        <v>333.00091572040611</v>
      </c>
      <c r="CE170" s="59">
        <f t="shared" si="148"/>
        <v>267.06874181561398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10.299783205359944</v>
      </c>
      <c r="CL170" s="21">
        <f>EXP(-LN(2)/25)*CL169+(1-EXP(-LN(2)/25))/(LN(2)/25)*Calculateur!CG170*Calculateur!CI170*VLOOKUP('Données projet'!$B$12,Paramètres!$A$1:$I$89,3,0)*0.475*44/12</f>
        <v>2.1587139001293671</v>
      </c>
      <c r="CM170" s="21">
        <f>EXP(-LN(2)/2)*CM169+(1-EXP(-LN(2)/2))/(LN(2)/2)*CG170*CJ170*VLOOKUP('Données projet'!$B$12,Paramètres!$A$1:$I$89,3,0)*0.475*44/12</f>
        <v>1.6028508241372771E-13</v>
      </c>
      <c r="CN170" s="22">
        <f t="shared" si="172"/>
        <v>12.458497105489471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1">
        <f t="shared" si="140"/>
        <v>32.41499124057033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67">
        <f t="shared" si="110"/>
        <v>564.32376307732591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229</v>
      </c>
      <c r="O171" s="13">
        <f>N171*VLOOKUP('Données projet'!$B$9,Paramètres!$A$1:$I$89,3,0)*VLOOKUP('Données projet'!$B$9,Paramètres!$A$1:$I$89,5,0)</f>
        <v>136.94200000000001</v>
      </c>
      <c r="P171" s="13">
        <f t="shared" si="141"/>
        <v>35.595562742420903</v>
      </c>
      <c r="Q171" s="20">
        <f t="shared" si="162"/>
        <v>300.50292177638306</v>
      </c>
      <c r="R171" s="59">
        <f t="shared" si="109"/>
        <v>593.83625510971638</v>
      </c>
      <c r="S171" s="59">
        <f ca="1">AVERAGE(OFFSET($R$3,0,0,'Données projet'!$E$9+1,1))-AVERAGE(OFFSET($H$3,0,0,'Données projet'!$E$9+1,1))</f>
        <v>125.14227069357082</v>
      </c>
      <c r="T171" s="59">
        <f t="shared" si="142"/>
        <v>193.39407925063165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2.5396283571427007</v>
      </c>
      <c r="AA171" s="21">
        <f>EXP(-LN(2)/25)*AA170+(1-EXP(-LN(2)/25))/(LN(2)/25)*Calculateur!V171*Calculateur!X171*VLOOKUP('Données projet'!$B$9,Paramètres!$A$1:$I$89,3,0)*0.475*44/12</f>
        <v>0.65202213195586256</v>
      </c>
      <c r="AB171" s="21">
        <f>EXP(-LN(2)/2)*AB170+(1-EXP(-LN(2)/2))/(LN(2)/2)*V171*Y171*VLOOKUP('Données projet'!$B$9,Paramètres!$A$1:$I$89,3,0)*0.475*44/12</f>
        <v>8.2381464006791631E-17</v>
      </c>
      <c r="AC171" s="22">
        <f t="shared" si="163"/>
        <v>3.1916504890985635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-5.999999999994543E-2</v>
      </c>
      <c r="AJ171" s="13">
        <f>AI171*VLOOKUP('Données projet'!$B$10,Paramètres!$A$1:$I$89,3,0)*VLOOKUP('Données projet'!$B$10,Paramètres!$A$1:$I$89,5,0)</f>
        <v>-2.8079999999974462E-2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74.573470247551825</v>
      </c>
      <c r="AO171" s="59">
        <f t="shared" si="144"/>
        <v>122.43655207772224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8.5891041231820147</v>
      </c>
      <c r="AV171" s="21">
        <f>EXP(-LN(2)/25)*AV170+(1-EXP(-LN(2)/25))/(LN(2)/25)*Calculateur!AQ171*Calculateur!AS171*VLOOKUP('Données projet'!$B$10,Paramètres!$A$1:$I$89,3,0)*0.475*44/12</f>
        <v>1.6610491078128911</v>
      </c>
      <c r="AW171" s="21">
        <f>EXP(-LN(2)/2)*AW170+(1-EXP(-LN(2)/2))/(LN(2)/2)*AQ171*AT171*VLOOKUP('Données projet'!$B$10,Paramètres!$A$1:$I$89,3,0)*0.475*44/12</f>
        <v>2.4088972623964942E-15</v>
      </c>
      <c r="AX171" s="21">
        <f t="shared" si="166"/>
        <v>10.250153230994908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209.99999999999977</v>
      </c>
      <c r="BE171" s="13">
        <f>BD171*VLOOKUP('Données projet'!$B$11,Paramètres!$A$1:$I$89,3,0)*VLOOKUP('Données projet'!$B$11,Paramètres!$A$1:$I$89,5,0)</f>
        <v>212.9399999999998</v>
      </c>
      <c r="BF171" s="13">
        <f t="shared" si="167"/>
        <v>52.577528895212772</v>
      </c>
      <c r="BG171" s="20">
        <f t="shared" si="168"/>
        <v>462.44302949249521</v>
      </c>
      <c r="BH171" s="59">
        <f t="shared" si="116"/>
        <v>755.77636282582853</v>
      </c>
      <c r="BI171" s="59">
        <f ca="1">AVERAGE(OFFSET($BH$3,0,0,'Données projet'!$E$11+1,1))-AVERAGE(OFFSET($H$3,0,0,'Données projet'!$E$11+1,1))</f>
        <v>183.74583738362492</v>
      </c>
      <c r="BJ171" s="59">
        <f t="shared" si="146"/>
        <v>46.344307013926596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19.864935537478551</v>
      </c>
      <c r="BQ171" s="21">
        <f>EXP(-LN(2)/25)*BQ170+(1-EXP(-LN(2)/25))/(LN(2)/25)*Calculateur!BL171*Calculateur!BN171*VLOOKUP('Données projet'!$B$11,Paramètres!$A$1:$I$89,3,0)*0.475*44/12</f>
        <v>0.62087712026791353</v>
      </c>
      <c r="BR171" s="21">
        <f>EXP(-LN(2)/2)*BR170+(1-EXP(-LN(2)/2))/(LN(2)/2)*BL171*BO171*VLOOKUP('Données projet'!$B$11,Paramètres!$A$1:$I$89,3,0)*0.475*44/12</f>
        <v>1.3584386373951877E-6</v>
      </c>
      <c r="BS171" s="22">
        <f t="shared" si="169"/>
        <v>20.485814016185103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789.00000000000045</v>
      </c>
      <c r="BZ171" s="13">
        <f>BY171*VLOOKUP('Données projet'!$B$12,Paramètres!$A$1:$I$89,3,0)*VLOOKUP('Données projet'!$B$12,Paramètres!$A$1:$I$89,5,0)</f>
        <v>348.73800000000023</v>
      </c>
      <c r="CA171" s="13">
        <f t="shared" si="170"/>
        <v>81.302597726165047</v>
      </c>
      <c r="CB171" s="20">
        <f t="shared" si="171"/>
        <v>748.98737437307125</v>
      </c>
      <c r="CC171" s="59">
        <f t="shared" si="119"/>
        <v>1042.3207077064046</v>
      </c>
      <c r="CD171" s="59">
        <f ca="1">AVERAGE(OFFSET($CC$3,0,0,'Données projet'!$E$12+1,1))-AVERAGE(OFFSET($H$3,0,0,'Données projet'!$E$12+1,1))</f>
        <v>333.00091572040611</v>
      </c>
      <c r="CE171" s="59">
        <f t="shared" si="148"/>
        <v>267.06874181561398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10.097810738950271</v>
      </c>
      <c r="CL171" s="21">
        <f>EXP(-LN(2)/25)*CL170+(1-EXP(-LN(2)/25))/(LN(2)/25)*Calculateur!CG171*Calculateur!CI171*VLOOKUP('Données projet'!$B$12,Paramètres!$A$1:$I$89,3,0)*0.475*44/12</f>
        <v>2.0996837550084995</v>
      </c>
      <c r="CM171" s="21">
        <f>EXP(-LN(2)/2)*CM170+(1-EXP(-LN(2)/2))/(LN(2)/2)*CG171*CJ171*VLOOKUP('Données projet'!$B$12,Paramètres!$A$1:$I$89,3,0)*0.475*44/12</f>
        <v>1.1333866869779151E-13</v>
      </c>
      <c r="CN171" s="22">
        <f t="shared" si="172"/>
        <v>12.197494493958883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1">
        <f t="shared" si="140"/>
        <v>32.585419727488741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67">
        <f t="shared" si="110"/>
        <v>565.89758269204208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229</v>
      </c>
      <c r="O172" s="13">
        <f>N172*VLOOKUP('Données projet'!$B$9,Paramètres!$A$1:$I$89,3,0)*VLOOKUP('Données projet'!$B$9,Paramètres!$A$1:$I$89,5,0)</f>
        <v>136.94200000000001</v>
      </c>
      <c r="P172" s="13">
        <f t="shared" si="141"/>
        <v>35.595562742420903</v>
      </c>
      <c r="Q172" s="20">
        <f t="shared" si="162"/>
        <v>300.50292177638306</v>
      </c>
      <c r="R172" s="59">
        <f t="shared" si="109"/>
        <v>593.83625510971638</v>
      </c>
      <c r="S172" s="59">
        <f ca="1">AVERAGE(OFFSET($R$3,0,0,'Données projet'!$E$9+1,1))-AVERAGE(OFFSET($H$3,0,0,'Données projet'!$E$9+1,1))</f>
        <v>125.14227069357082</v>
      </c>
      <c r="T172" s="59">
        <f t="shared" si="142"/>
        <v>193.39407925063165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2.4898277940794773</v>
      </c>
      <c r="AA172" s="21">
        <f>EXP(-LN(2)/25)*AA171+(1-EXP(-LN(2)/25))/(LN(2)/25)*Calculateur!V172*Calculateur!X172*VLOOKUP('Données projet'!$B$9,Paramètres!$A$1:$I$89,3,0)*0.475*44/12</f>
        <v>0.63419255246917583</v>
      </c>
      <c r="AB172" s="21">
        <f>EXP(-LN(2)/2)*AB171+(1-EXP(-LN(2)/2))/(LN(2)/2)*V172*Y172*VLOOKUP('Données projet'!$B$9,Paramètres!$A$1:$I$89,3,0)*0.475*44/12</f>
        <v>5.8252491843277849E-17</v>
      </c>
      <c r="AC172" s="22">
        <f t="shared" si="163"/>
        <v>3.1240203465486531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-5.999999999994543E-2</v>
      </c>
      <c r="AJ172" s="13">
        <f>AI172*VLOOKUP('Données projet'!$B$10,Paramètres!$A$1:$I$89,3,0)*VLOOKUP('Données projet'!$B$10,Paramètres!$A$1:$I$89,5,0)</f>
        <v>-2.8079999999974462E-2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74.573470247551825</v>
      </c>
      <c r="AO172" s="59">
        <f t="shared" si="144"/>
        <v>122.43655207772224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8.4206770301626381</v>
      </c>
      <c r="AV172" s="21">
        <f>EXP(-LN(2)/25)*AV171+(1-EXP(-LN(2)/25))/(LN(2)/25)*Calculateur!AQ172*Calculateur!AS172*VLOOKUP('Données projet'!$B$10,Paramètres!$A$1:$I$89,3,0)*0.475*44/12</f>
        <v>1.6156276326089714</v>
      </c>
      <c r="AW172" s="21">
        <f>EXP(-LN(2)/2)*AW171+(1-EXP(-LN(2)/2))/(LN(2)/2)*AQ172*AT172*VLOOKUP('Données projet'!$B$10,Paramètres!$A$1:$I$89,3,0)*0.475*44/12</f>
        <v>1.7033475894222712E-15</v>
      </c>
      <c r="AX172" s="21">
        <f t="shared" si="166"/>
        <v>10.036304662771611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209.99999999999977</v>
      </c>
      <c r="BE172" s="13">
        <f>BD172*VLOOKUP('Données projet'!$B$11,Paramètres!$A$1:$I$89,3,0)*VLOOKUP('Données projet'!$B$11,Paramètres!$A$1:$I$89,5,0)</f>
        <v>212.9399999999998</v>
      </c>
      <c r="BF172" s="13">
        <f t="shared" si="167"/>
        <v>52.577528895212772</v>
      </c>
      <c r="BG172" s="20">
        <f t="shared" si="168"/>
        <v>462.44302949249521</v>
      </c>
      <c r="BH172" s="59">
        <f t="shared" si="116"/>
        <v>755.77636282582853</v>
      </c>
      <c r="BI172" s="59">
        <f ca="1">AVERAGE(OFFSET($BH$3,0,0,'Données projet'!$E$11+1,1))-AVERAGE(OFFSET($H$3,0,0,'Données projet'!$E$11+1,1))</f>
        <v>183.74583738362492</v>
      </c>
      <c r="BJ172" s="59">
        <f t="shared" si="146"/>
        <v>46.344307013926596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19.475396268002878</v>
      </c>
      <c r="BQ172" s="21">
        <f>EXP(-LN(2)/25)*BQ171+(1-EXP(-LN(2)/25))/(LN(2)/25)*Calculateur!BL172*Calculateur!BN172*VLOOKUP('Données projet'!$B$11,Paramètres!$A$1:$I$89,3,0)*0.475*44/12</f>
        <v>0.6038992027636787</v>
      </c>
      <c r="BR172" s="21">
        <f>EXP(-LN(2)/2)*BR171+(1-EXP(-LN(2)/2))/(LN(2)/2)*BL172*BO172*VLOOKUP('Données projet'!$B$11,Paramètres!$A$1:$I$89,3,0)*0.475*44/12</f>
        <v>9.6056117232795076E-7</v>
      </c>
      <c r="BS172" s="22">
        <f t="shared" si="169"/>
        <v>20.07929643132773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789.00000000000045</v>
      </c>
      <c r="BZ172" s="13">
        <f>BY172*VLOOKUP('Données projet'!$B$12,Paramètres!$A$1:$I$89,3,0)*VLOOKUP('Données projet'!$B$12,Paramètres!$A$1:$I$89,5,0)</f>
        <v>348.73800000000023</v>
      </c>
      <c r="CA172" s="13">
        <f t="shared" si="170"/>
        <v>81.302597726165047</v>
      </c>
      <c r="CB172" s="20">
        <f t="shared" si="171"/>
        <v>748.98737437307125</v>
      </c>
      <c r="CC172" s="59">
        <f t="shared" si="119"/>
        <v>1042.3207077064046</v>
      </c>
      <c r="CD172" s="59">
        <f ca="1">AVERAGE(OFFSET($CC$3,0,0,'Données projet'!$E$12+1,1))-AVERAGE(OFFSET($H$3,0,0,'Données projet'!$E$12+1,1))</f>
        <v>333.00091572040611</v>
      </c>
      <c r="CE172" s="59">
        <f t="shared" si="148"/>
        <v>267.06874181561398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9.8997988294158503</v>
      </c>
      <c r="CL172" s="21">
        <f>EXP(-LN(2)/25)*CL171+(1-EXP(-LN(2)/25))/(LN(2)/25)*Calculateur!CG172*Calculateur!CI172*VLOOKUP('Données projet'!$B$12,Paramètres!$A$1:$I$89,3,0)*0.475*44/12</f>
        <v>2.0422677923102222</v>
      </c>
      <c r="CM172" s="21">
        <f>EXP(-LN(2)/2)*CM171+(1-EXP(-LN(2)/2))/(LN(2)/2)*CG172*CJ172*VLOOKUP('Données projet'!$B$12,Paramètres!$A$1:$I$89,3,0)*0.475*44/12</f>
        <v>8.0142541206863869E-14</v>
      </c>
      <c r="CN172" s="22">
        <f t="shared" si="172"/>
        <v>11.942066621726152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1">
        <f t="shared" si="140"/>
        <v>32.755730870217128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67">
        <f t="shared" si="110"/>
        <v>567.4711979322941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229</v>
      </c>
      <c r="O173" s="13">
        <f>N173*VLOOKUP('Données projet'!$B$9,Paramètres!$A$1:$I$89,3,0)*VLOOKUP('Données projet'!$B$9,Paramètres!$A$1:$I$89,5,0)</f>
        <v>136.94200000000001</v>
      </c>
      <c r="P173" s="13">
        <f t="shared" si="141"/>
        <v>35.595562742420903</v>
      </c>
      <c r="Q173" s="20">
        <f t="shared" si="162"/>
        <v>300.50292177638306</v>
      </c>
      <c r="R173" s="59">
        <f t="shared" si="109"/>
        <v>593.83625510971638</v>
      </c>
      <c r="S173" s="59">
        <f ca="1">AVERAGE(OFFSET($R$3,0,0,'Données projet'!$E$9+1,1))-AVERAGE(OFFSET($H$3,0,0,'Données projet'!$E$9+1,1))</f>
        <v>125.14227069357082</v>
      </c>
      <c r="T173" s="59">
        <f t="shared" si="142"/>
        <v>193.39407925063165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2.4410037896825796</v>
      </c>
      <c r="AA173" s="21">
        <f>EXP(-LN(2)/25)*AA172+(1-EXP(-LN(2)/25))/(LN(2)/25)*Calculateur!V173*Calculateur!X173*VLOOKUP('Données projet'!$B$9,Paramètres!$A$1:$I$89,3,0)*0.475*44/12</f>
        <v>0.61685052377116933</v>
      </c>
      <c r="AB173" s="21">
        <f>EXP(-LN(2)/2)*AB172+(1-EXP(-LN(2)/2))/(LN(2)/2)*V173*Y173*VLOOKUP('Données projet'!$B$9,Paramètres!$A$1:$I$89,3,0)*0.475*44/12</f>
        <v>4.1190732003395816E-17</v>
      </c>
      <c r="AC173" s="22">
        <f t="shared" si="163"/>
        <v>3.057854313453749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-5.999999999994543E-2</v>
      </c>
      <c r="AJ173" s="13">
        <f>AI173*VLOOKUP('Données projet'!$B$10,Paramètres!$A$1:$I$89,3,0)*VLOOKUP('Données projet'!$B$10,Paramètres!$A$1:$I$89,5,0)</f>
        <v>-2.8079999999974462E-2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74.573470247551825</v>
      </c>
      <c r="AO173" s="59">
        <f t="shared" si="144"/>
        <v>122.43655207772224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8.2555526897069882</v>
      </c>
      <c r="AV173" s="21">
        <f>EXP(-LN(2)/25)*AV172+(1-EXP(-LN(2)/25))/(LN(2)/25)*Calculateur!AQ173*Calculateur!AS173*VLOOKUP('Données projet'!$B$10,Paramètres!$A$1:$I$89,3,0)*0.475*44/12</f>
        <v>1.5714482100331144</v>
      </c>
      <c r="AW173" s="21">
        <f>EXP(-LN(2)/2)*AW172+(1-EXP(-LN(2)/2))/(LN(2)/2)*AQ173*AT173*VLOOKUP('Données projet'!$B$10,Paramètres!$A$1:$I$89,3,0)*0.475*44/12</f>
        <v>1.2044486311982471E-15</v>
      </c>
      <c r="AX173" s="21">
        <f t="shared" si="166"/>
        <v>9.8270008997401046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209.99999999999977</v>
      </c>
      <c r="BE173" s="13">
        <f>BD173*VLOOKUP('Données projet'!$B$11,Paramètres!$A$1:$I$89,3,0)*VLOOKUP('Données projet'!$B$11,Paramètres!$A$1:$I$89,5,0)</f>
        <v>212.9399999999998</v>
      </c>
      <c r="BF173" s="13">
        <f t="shared" si="167"/>
        <v>52.577528895212772</v>
      </c>
      <c r="BG173" s="20">
        <f t="shared" si="168"/>
        <v>462.44302949249521</v>
      </c>
      <c r="BH173" s="59">
        <f t="shared" si="116"/>
        <v>755.77636282582853</v>
      </c>
      <c r="BI173" s="59">
        <f ca="1">AVERAGE(OFFSET($BH$3,0,0,'Données projet'!$E$11+1,1))-AVERAGE(OFFSET($H$3,0,0,'Données projet'!$E$11+1,1))</f>
        <v>183.74583738362492</v>
      </c>
      <c r="BJ173" s="59">
        <f t="shared" si="146"/>
        <v>46.344307013926596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19.093495626006131</v>
      </c>
      <c r="BQ173" s="21">
        <f>EXP(-LN(2)/25)*BQ172+(1-EXP(-LN(2)/25))/(LN(2)/25)*Calculateur!BL173*Calculateur!BN173*VLOOKUP('Données projet'!$B$11,Paramètres!$A$1:$I$89,3,0)*0.475*44/12</f>
        <v>0.58738554730642711</v>
      </c>
      <c r="BR173" s="21">
        <f>EXP(-LN(2)/2)*BR172+(1-EXP(-LN(2)/2))/(LN(2)/2)*BL173*BO173*VLOOKUP('Données projet'!$B$11,Paramètres!$A$1:$I$89,3,0)*0.475*44/12</f>
        <v>6.7921931869759387E-7</v>
      </c>
      <c r="BS173" s="22">
        <f t="shared" si="169"/>
        <v>19.680881852531876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789.00000000000045</v>
      </c>
      <c r="BZ173" s="13">
        <f>BY173*VLOOKUP('Données projet'!$B$12,Paramètres!$A$1:$I$89,3,0)*VLOOKUP('Données projet'!$B$12,Paramètres!$A$1:$I$89,5,0)</f>
        <v>348.73800000000023</v>
      </c>
      <c r="CA173" s="13">
        <f t="shared" si="170"/>
        <v>81.302597726165047</v>
      </c>
      <c r="CB173" s="20">
        <f t="shared" si="171"/>
        <v>748.98737437307125</v>
      </c>
      <c r="CC173" s="59">
        <f t="shared" si="119"/>
        <v>1042.3207077064046</v>
      </c>
      <c r="CD173" s="59">
        <f ca="1">AVERAGE(OFFSET($CC$3,0,0,'Données projet'!$E$12+1,1))-AVERAGE(OFFSET($H$3,0,0,'Données projet'!$E$12+1,1))</f>
        <v>333.00091572040611</v>
      </c>
      <c r="CE173" s="59">
        <f t="shared" si="148"/>
        <v>267.06874181561398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9.7056698126520615</v>
      </c>
      <c r="CL173" s="21">
        <f>EXP(-LN(2)/25)*CL172+(1-EXP(-LN(2)/25))/(LN(2)/25)*Calculateur!CG173*Calculateur!CI173*VLOOKUP('Données projet'!$B$12,Paramètres!$A$1:$I$89,3,0)*0.475*44/12</f>
        <v>1.9864218721313036</v>
      </c>
      <c r="CM173" s="21">
        <f>EXP(-LN(2)/2)*CM172+(1-EXP(-LN(2)/2))/(LN(2)/2)*CG173*CJ173*VLOOKUP('Données projet'!$B$12,Paramètres!$A$1:$I$89,3,0)*0.475*44/12</f>
        <v>5.666933434889576E-14</v>
      </c>
      <c r="CN173" s="22">
        <f t="shared" si="172"/>
        <v>11.692091684783422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1">
        <f t="shared" si="140"/>
        <v>32.925925439106763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67">
        <f t="shared" si="110"/>
        <v>569.04461013977686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229</v>
      </c>
      <c r="O174" s="13">
        <f>N174*VLOOKUP('Données projet'!$B$9,Paramètres!$A$1:$I$89,3,0)*VLOOKUP('Données projet'!$B$9,Paramètres!$A$1:$I$89,5,0)</f>
        <v>136.94200000000001</v>
      </c>
      <c r="P174" s="13">
        <f t="shared" si="141"/>
        <v>35.595562742420903</v>
      </c>
      <c r="Q174" s="20">
        <f t="shared" si="162"/>
        <v>300.50292177638306</v>
      </c>
      <c r="R174" s="59">
        <f t="shared" si="109"/>
        <v>593.83625510971638</v>
      </c>
      <c r="S174" s="59">
        <f ca="1">AVERAGE(OFFSET($R$3,0,0,'Données projet'!$E$9+1,1))-AVERAGE(OFFSET($H$3,0,0,'Données projet'!$E$9+1,1))</f>
        <v>125.14227069357082</v>
      </c>
      <c r="T174" s="59">
        <f t="shared" si="142"/>
        <v>193.39407925063165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2.3931371942322026</v>
      </c>
      <c r="AA174" s="21">
        <f>EXP(-LN(2)/25)*AA173+(1-EXP(-LN(2)/25))/(LN(2)/25)*Calculateur!V174*Calculateur!X174*VLOOKUP('Données projet'!$B$9,Paramètres!$A$1:$I$89,3,0)*0.475*44/12</f>
        <v>0.59998271375988754</v>
      </c>
      <c r="AB174" s="21">
        <f>EXP(-LN(2)/2)*AB173+(1-EXP(-LN(2)/2))/(LN(2)/2)*V174*Y174*VLOOKUP('Données projet'!$B$9,Paramètres!$A$1:$I$89,3,0)*0.475*44/12</f>
        <v>2.9126245921638925E-17</v>
      </c>
      <c r="AC174" s="22">
        <f t="shared" si="163"/>
        <v>2.99311990799209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-5.999999999994543E-2</v>
      </c>
      <c r="AJ174" s="13">
        <f>AI174*VLOOKUP('Données projet'!$B$10,Paramètres!$A$1:$I$89,3,0)*VLOOKUP('Données projet'!$B$10,Paramètres!$A$1:$I$89,5,0)</f>
        <v>-2.8079999999974462E-2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74.573470247551825</v>
      </c>
      <c r="AO174" s="59">
        <f t="shared" si="144"/>
        <v>122.43655207772224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8.0936663368517721</v>
      </c>
      <c r="AV174" s="21">
        <f>EXP(-LN(2)/25)*AV173+(1-EXP(-LN(2)/25))/(LN(2)/25)*Calculateur!AQ174*Calculateur!AS174*VLOOKUP('Données projet'!$B$10,Paramètres!$A$1:$I$89,3,0)*0.475*44/12</f>
        <v>1.5284768760908891</v>
      </c>
      <c r="AW174" s="21">
        <f>EXP(-LN(2)/2)*AW173+(1-EXP(-LN(2)/2))/(LN(2)/2)*AQ174*AT174*VLOOKUP('Données projet'!$B$10,Paramètres!$A$1:$I$89,3,0)*0.475*44/12</f>
        <v>8.516737947111356E-16</v>
      </c>
      <c r="AX174" s="21">
        <f t="shared" si="166"/>
        <v>9.6221432129426603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209.99999999999977</v>
      </c>
      <c r="BE174" s="13">
        <f>BD174*VLOOKUP('Données projet'!$B$11,Paramètres!$A$1:$I$89,3,0)*VLOOKUP('Données projet'!$B$11,Paramètres!$A$1:$I$89,5,0)</f>
        <v>212.9399999999998</v>
      </c>
      <c r="BF174" s="13">
        <f t="shared" si="167"/>
        <v>52.577528895212772</v>
      </c>
      <c r="BG174" s="20">
        <f t="shared" si="168"/>
        <v>462.44302949249521</v>
      </c>
      <c r="BH174" s="59">
        <f t="shared" si="116"/>
        <v>755.77636282582853</v>
      </c>
      <c r="BI174" s="59">
        <f ca="1">AVERAGE(OFFSET($BH$3,0,0,'Données projet'!$E$11+1,1))-AVERAGE(OFFSET($H$3,0,0,'Données projet'!$E$11+1,1))</f>
        <v>183.74583738362492</v>
      </c>
      <c r="BJ174" s="59">
        <f t="shared" si="146"/>
        <v>46.344307013926596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18.719083822662547</v>
      </c>
      <c r="BQ174" s="21">
        <f>EXP(-LN(2)/25)*BQ173+(1-EXP(-LN(2)/25))/(LN(2)/25)*Calculateur!BL174*Calculateur!BN174*VLOOKUP('Données projet'!$B$11,Paramètres!$A$1:$I$89,3,0)*0.475*44/12</f>
        <v>0.57132345862606937</v>
      </c>
      <c r="BR174" s="21">
        <f>EXP(-LN(2)/2)*BR173+(1-EXP(-LN(2)/2))/(LN(2)/2)*BL174*BO174*VLOOKUP('Données projet'!$B$11,Paramètres!$A$1:$I$89,3,0)*0.475*44/12</f>
        <v>4.8028058616397538E-7</v>
      </c>
      <c r="BS174" s="22">
        <f t="shared" si="169"/>
        <v>19.290407761569202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789.00000000000045</v>
      </c>
      <c r="BZ174" s="13">
        <f>BY174*VLOOKUP('Données projet'!$B$12,Paramètres!$A$1:$I$89,3,0)*VLOOKUP('Données projet'!$B$12,Paramètres!$A$1:$I$89,5,0)</f>
        <v>348.73800000000023</v>
      </c>
      <c r="CA174" s="13">
        <f t="shared" si="170"/>
        <v>81.302597726165047</v>
      </c>
      <c r="CB174" s="20">
        <f t="shared" si="171"/>
        <v>748.98737437307125</v>
      </c>
      <c r="CC174" s="59">
        <f t="shared" si="119"/>
        <v>1042.3207077064046</v>
      </c>
      <c r="CD174" s="59">
        <f ca="1">AVERAGE(OFFSET($CC$3,0,0,'Données projet'!$E$12+1,1))-AVERAGE(OFFSET($H$3,0,0,'Données projet'!$E$12+1,1))</f>
        <v>333.00091572040611</v>
      </c>
      <c r="CE174" s="59">
        <f t="shared" si="148"/>
        <v>267.06874181561398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9.5153475475000011</v>
      </c>
      <c r="CL174" s="21">
        <f>EXP(-LN(2)/25)*CL173+(1-EXP(-LN(2)/25))/(LN(2)/25)*Calculateur!CG174*Calculateur!CI174*VLOOKUP('Données projet'!$B$12,Paramètres!$A$1:$I$89,3,0)*0.475*44/12</f>
        <v>1.9321030615764869</v>
      </c>
      <c r="CM174" s="21">
        <f>EXP(-LN(2)/2)*CM173+(1-EXP(-LN(2)/2))/(LN(2)/2)*CG174*CJ174*VLOOKUP('Données projet'!$B$12,Paramètres!$A$1:$I$89,3,0)*0.475*44/12</f>
        <v>4.0071270603431941E-14</v>
      </c>
      <c r="CN174" s="22">
        <f t="shared" si="172"/>
        <v>11.44745060907653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1">
        <f t="shared" si="140"/>
        <v>33.096004194977731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67">
        <f t="shared" si="110"/>
        <v>570.61782063958549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229</v>
      </c>
      <c r="O175" s="13">
        <f>N175*VLOOKUP('Données projet'!$B$9,Paramètres!$A$1:$I$89,3,0)*VLOOKUP('Données projet'!$B$9,Paramètres!$A$1:$I$89,5,0)</f>
        <v>136.94200000000001</v>
      </c>
      <c r="P175" s="13">
        <f t="shared" si="141"/>
        <v>35.595562742420903</v>
      </c>
      <c r="Q175" s="20">
        <f t="shared" si="162"/>
        <v>300.50292177638306</v>
      </c>
      <c r="R175" s="59">
        <f t="shared" si="109"/>
        <v>593.83625510971638</v>
      </c>
      <c r="S175" s="59">
        <f ca="1">AVERAGE(OFFSET($R$3,0,0,'Données projet'!$E$9+1,1))-AVERAGE(OFFSET($H$3,0,0,'Données projet'!$E$9+1,1))</f>
        <v>125.14227069357082</v>
      </c>
      <c r="T175" s="59">
        <f t="shared" si="142"/>
        <v>193.39407925063165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2.3462092335228673</v>
      </c>
      <c r="AA175" s="21">
        <f>EXP(-LN(2)/25)*AA174+(1-EXP(-LN(2)/25))/(LN(2)/25)*Calculateur!V175*Calculateur!X175*VLOOKUP('Données projet'!$B$9,Paramètres!$A$1:$I$89,3,0)*0.475*44/12</f>
        <v>0.58357615490040382</v>
      </c>
      <c r="AB175" s="21">
        <f>EXP(-LN(2)/2)*AB174+(1-EXP(-LN(2)/2))/(LN(2)/2)*V175*Y175*VLOOKUP('Données projet'!$B$9,Paramètres!$A$1:$I$89,3,0)*0.475*44/12</f>
        <v>2.0595366001697908E-17</v>
      </c>
      <c r="AC175" s="22">
        <f t="shared" si="163"/>
        <v>2.9297853884232712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-5.999999999994543E-2</v>
      </c>
      <c r="AJ175" s="13">
        <f>AI175*VLOOKUP('Données projet'!$B$10,Paramètres!$A$1:$I$89,3,0)*VLOOKUP('Données projet'!$B$10,Paramètres!$A$1:$I$89,5,0)</f>
        <v>-2.8079999999974462E-2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74.573470247551825</v>
      </c>
      <c r="AO175" s="59">
        <f t="shared" si="144"/>
        <v>122.43655207772224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7.934954476635121</v>
      </c>
      <c r="AV175" s="21">
        <f>EXP(-LN(2)/25)*AV174+(1-EXP(-LN(2)/25))/(LN(2)/25)*Calculateur!AQ175*Calculateur!AS175*VLOOKUP('Données projet'!$B$10,Paramètres!$A$1:$I$89,3,0)*0.475*44/12</f>
        <v>1.4866805955350781</v>
      </c>
      <c r="AW175" s="21">
        <f>EXP(-LN(2)/2)*AW174+(1-EXP(-LN(2)/2))/(LN(2)/2)*AQ175*AT175*VLOOKUP('Données projet'!$B$10,Paramètres!$A$1:$I$89,3,0)*0.475*44/12</f>
        <v>6.0222431559912355E-16</v>
      </c>
      <c r="AX175" s="21">
        <f t="shared" si="166"/>
        <v>9.4216350721701989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209.99999999999977</v>
      </c>
      <c r="BE175" s="13">
        <f>BD175*VLOOKUP('Données projet'!$B$11,Paramètres!$A$1:$I$89,3,0)*VLOOKUP('Données projet'!$B$11,Paramètres!$A$1:$I$89,5,0)</f>
        <v>212.9399999999998</v>
      </c>
      <c r="BF175" s="13">
        <f t="shared" si="167"/>
        <v>52.577528895212772</v>
      </c>
      <c r="BG175" s="20">
        <f t="shared" si="168"/>
        <v>462.44302949249521</v>
      </c>
      <c r="BH175" s="59">
        <f t="shared" si="116"/>
        <v>755.77636282582853</v>
      </c>
      <c r="BI175" s="59">
        <f ca="1">AVERAGE(OFFSET($BH$3,0,0,'Données projet'!$E$11+1,1))-AVERAGE(OFFSET($H$3,0,0,'Données projet'!$E$11+1,1))</f>
        <v>183.74583738362492</v>
      </c>
      <c r="BJ175" s="59">
        <f t="shared" si="146"/>
        <v>46.344307013926596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18.352014006413881</v>
      </c>
      <c r="BQ175" s="21">
        <f>EXP(-LN(2)/25)*BQ174+(1-EXP(-LN(2)/25))/(LN(2)/25)*Calculateur!BL175*Calculateur!BN175*VLOOKUP('Données projet'!$B$11,Paramètres!$A$1:$I$89,3,0)*0.475*44/12</f>
        <v>0.55570058860534455</v>
      </c>
      <c r="BR175" s="21">
        <f>EXP(-LN(2)/2)*BR174+(1-EXP(-LN(2)/2))/(LN(2)/2)*BL175*BO175*VLOOKUP('Données projet'!$B$11,Paramètres!$A$1:$I$89,3,0)*0.475*44/12</f>
        <v>3.3960965934879693E-7</v>
      </c>
      <c r="BS175" s="22">
        <f t="shared" si="169"/>
        <v>18.907714934628885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789.00000000000045</v>
      </c>
      <c r="BZ175" s="13">
        <f>BY175*VLOOKUP('Données projet'!$B$12,Paramètres!$A$1:$I$89,3,0)*VLOOKUP('Données projet'!$B$12,Paramètres!$A$1:$I$89,5,0)</f>
        <v>348.73800000000023</v>
      </c>
      <c r="CA175" s="13">
        <f t="shared" si="170"/>
        <v>81.302597726165047</v>
      </c>
      <c r="CB175" s="20">
        <f t="shared" si="171"/>
        <v>748.98737437307125</v>
      </c>
      <c r="CC175" s="59">
        <f t="shared" si="119"/>
        <v>1042.3207077064046</v>
      </c>
      <c r="CD175" s="59">
        <f ca="1">AVERAGE(OFFSET($CC$3,0,0,'Données projet'!$E$12+1,1))-AVERAGE(OFFSET($H$3,0,0,'Données projet'!$E$12+1,1))</f>
        <v>333.00091572040611</v>
      </c>
      <c r="CE175" s="59">
        <f t="shared" si="148"/>
        <v>267.06874181561398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9.3287573858824526</v>
      </c>
      <c r="CL175" s="21">
        <f>EXP(-LN(2)/25)*CL174+(1-EXP(-LN(2)/25))/(LN(2)/25)*Calculateur!CG175*Calculateur!CI175*VLOOKUP('Données projet'!$B$12,Paramètres!$A$1:$I$89,3,0)*0.475*44/12</f>
        <v>1.8792696017527937</v>
      </c>
      <c r="CM175" s="21">
        <f>EXP(-LN(2)/2)*CM174+(1-EXP(-LN(2)/2))/(LN(2)/2)*CG175*CJ175*VLOOKUP('Données projet'!$B$12,Paramètres!$A$1:$I$89,3,0)*0.475*44/12</f>
        <v>2.8334667174447886E-14</v>
      </c>
      <c r="CN175" s="22">
        <f t="shared" si="172"/>
        <v>11.208026987635275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1">
        <f t="shared" si="140"/>
        <v>33.265967889291609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67">
        <f t="shared" si="110"/>
        <v>572.19083074051537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229</v>
      </c>
      <c r="O176" s="13">
        <f>N176*VLOOKUP('Données projet'!$B$9,Paramètres!$A$1:$I$89,3,0)*VLOOKUP('Données projet'!$B$9,Paramètres!$A$1:$I$89,5,0)</f>
        <v>136.94200000000001</v>
      </c>
      <c r="P176" s="13">
        <f t="shared" si="141"/>
        <v>35.595562742420903</v>
      </c>
      <c r="Q176" s="20">
        <f t="shared" si="162"/>
        <v>300.50292177638306</v>
      </c>
      <c r="R176" s="59">
        <f t="shared" si="109"/>
        <v>593.83625510971638</v>
      </c>
      <c r="S176" s="59">
        <f ca="1">AVERAGE(OFFSET($R$3,0,0,'Données projet'!$E$9+1,1))-AVERAGE(OFFSET($H$3,0,0,'Données projet'!$E$9+1,1))</f>
        <v>125.14227069357082</v>
      </c>
      <c r="T176" s="59">
        <f t="shared" si="142"/>
        <v>193.39407925063165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2.3002015014998123</v>
      </c>
      <c r="AA176" s="21">
        <f>EXP(-LN(2)/25)*AA175+(1-EXP(-LN(2)/25))/(LN(2)/25)*Calculateur!V176*Calculateur!X176*VLOOKUP('Données projet'!$B$9,Paramètres!$A$1:$I$89,3,0)*0.475*44/12</f>
        <v>0.56761823425571611</v>
      </c>
      <c r="AB176" s="21">
        <f>EXP(-LN(2)/2)*AB175+(1-EXP(-LN(2)/2))/(LN(2)/2)*V176*Y176*VLOOKUP('Données projet'!$B$9,Paramètres!$A$1:$I$89,3,0)*0.475*44/12</f>
        <v>1.4563122960819462E-17</v>
      </c>
      <c r="AC176" s="22">
        <f t="shared" si="163"/>
        <v>2.8678197357555284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-5.999999999994543E-2</v>
      </c>
      <c r="AJ176" s="13">
        <f>AI176*VLOOKUP('Données projet'!$B$10,Paramètres!$A$1:$I$89,3,0)*VLOOKUP('Données projet'!$B$10,Paramètres!$A$1:$I$89,5,0)</f>
        <v>-2.8079999999974462E-2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74.573470247551825</v>
      </c>
      <c r="AO176" s="59">
        <f t="shared" si="144"/>
        <v>122.43655207772224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7.779354859192642</v>
      </c>
      <c r="AV176" s="21">
        <f>EXP(-LN(2)/25)*AV175+(1-EXP(-LN(2)/25))/(LN(2)/25)*Calculateur!AQ176*Calculateur!AS176*VLOOKUP('Données projet'!$B$10,Paramètres!$A$1:$I$89,3,0)*0.475*44/12</f>
        <v>1.4460272364690367</v>
      </c>
      <c r="AW176" s="21">
        <f>EXP(-LN(2)/2)*AW175+(1-EXP(-LN(2)/2))/(LN(2)/2)*AQ176*AT176*VLOOKUP('Données projet'!$B$10,Paramètres!$A$1:$I$89,3,0)*0.475*44/12</f>
        <v>4.258368973555678E-16</v>
      </c>
      <c r="AX176" s="21">
        <f t="shared" si="166"/>
        <v>9.2253820956616792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209.99999999999977</v>
      </c>
      <c r="BE176" s="13">
        <f>BD176*VLOOKUP('Données projet'!$B$11,Paramètres!$A$1:$I$89,3,0)*VLOOKUP('Données projet'!$B$11,Paramètres!$A$1:$I$89,5,0)</f>
        <v>212.9399999999998</v>
      </c>
      <c r="BF176" s="13">
        <f t="shared" si="167"/>
        <v>52.577528895212772</v>
      </c>
      <c r="BG176" s="20">
        <f t="shared" si="168"/>
        <v>462.44302949249521</v>
      </c>
      <c r="BH176" s="59">
        <f t="shared" si="116"/>
        <v>755.77636282582853</v>
      </c>
      <c r="BI176" s="59">
        <f ca="1">AVERAGE(OFFSET($BH$3,0,0,'Données projet'!$E$11+1,1))-AVERAGE(OFFSET($H$3,0,0,'Données projet'!$E$11+1,1))</f>
        <v>183.74583738362492</v>
      </c>
      <c r="BJ176" s="59">
        <f t="shared" si="146"/>
        <v>46.344307013926596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17.992142205371369</v>
      </c>
      <c r="BQ176" s="21">
        <f>EXP(-LN(2)/25)*BQ175+(1-EXP(-LN(2)/25))/(LN(2)/25)*Calculateur!BL176*Calculateur!BN176*VLOOKUP('Données projet'!$B$11,Paramètres!$A$1:$I$89,3,0)*0.475*44/12</f>
        <v>0.54050492678690754</v>
      </c>
      <c r="BR176" s="21">
        <f>EXP(-LN(2)/2)*BR175+(1-EXP(-LN(2)/2))/(LN(2)/2)*BL176*BO176*VLOOKUP('Données projet'!$B$11,Paramètres!$A$1:$I$89,3,0)*0.475*44/12</f>
        <v>2.4014029308198769E-7</v>
      </c>
      <c r="BS176" s="22">
        <f t="shared" si="169"/>
        <v>18.53264737229857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789.00000000000045</v>
      </c>
      <c r="BZ176" s="13">
        <f>BY176*VLOOKUP('Données projet'!$B$12,Paramètres!$A$1:$I$89,3,0)*VLOOKUP('Données projet'!$B$12,Paramètres!$A$1:$I$89,5,0)</f>
        <v>348.73800000000023</v>
      </c>
      <c r="CA176" s="13">
        <f t="shared" si="170"/>
        <v>81.302597726165047</v>
      </c>
      <c r="CB176" s="20">
        <f t="shared" si="171"/>
        <v>748.98737437307125</v>
      </c>
      <c r="CC176" s="59">
        <f t="shared" si="119"/>
        <v>1042.3207077064046</v>
      </c>
      <c r="CD176" s="59">
        <f ca="1">AVERAGE(OFFSET($CC$3,0,0,'Données projet'!$E$12+1,1))-AVERAGE(OFFSET($H$3,0,0,'Données projet'!$E$12+1,1))</f>
        <v>333.00091572040611</v>
      </c>
      <c r="CE176" s="59">
        <f t="shared" si="148"/>
        <v>267.06874181561398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9.1458261435254649</v>
      </c>
      <c r="CL176" s="21">
        <f>EXP(-LN(2)/25)*CL175+(1-EXP(-LN(2)/25))/(LN(2)/25)*Calculateur!CG176*Calculateur!CI176*VLOOKUP('Données projet'!$B$12,Paramètres!$A$1:$I$89,3,0)*0.475*44/12</f>
        <v>1.8278808756663703</v>
      </c>
      <c r="CM176" s="21">
        <f>EXP(-LN(2)/2)*CM175+(1-EXP(-LN(2)/2))/(LN(2)/2)*CG176*CJ176*VLOOKUP('Données projet'!$B$12,Paramètres!$A$1:$I$89,3,0)*0.475*44/12</f>
        <v>2.0035635301715974E-14</v>
      </c>
      <c r="CN176" s="22">
        <f t="shared" si="172"/>
        <v>10.973707019191854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1">
        <f t="shared" si="140"/>
        <v>33.435817264319738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67">
        <f t="shared" si="110"/>
        <v>573.76364173535603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229</v>
      </c>
      <c r="O177" s="13">
        <f>N177*VLOOKUP('Données projet'!$B$9,Paramètres!$A$1:$I$89,3,0)*VLOOKUP('Données projet'!$B$9,Paramètres!$A$1:$I$89,5,0)</f>
        <v>136.94200000000001</v>
      </c>
      <c r="P177" s="13">
        <f t="shared" si="141"/>
        <v>35.595562742420903</v>
      </c>
      <c r="Q177" s="20">
        <f t="shared" si="162"/>
        <v>300.50292177638306</v>
      </c>
      <c r="R177" s="59">
        <f t="shared" si="109"/>
        <v>593.83625510971638</v>
      </c>
      <c r="S177" s="59">
        <f ca="1">AVERAGE(OFFSET($R$3,0,0,'Données projet'!$E$9+1,1))-AVERAGE(OFFSET($H$3,0,0,'Données projet'!$E$9+1,1))</f>
        <v>125.14227069357082</v>
      </c>
      <c r="T177" s="59">
        <f t="shared" si="142"/>
        <v>193.39407925063165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2.2550959530397838</v>
      </c>
      <c r="AA177" s="21">
        <f>EXP(-LN(2)/25)*AA176+(1-EXP(-LN(2)/25))/(LN(2)/25)*Calculateur!V177*Calculateur!X177*VLOOKUP('Données projet'!$B$9,Paramètres!$A$1:$I$89,3,0)*0.475*44/12</f>
        <v>0.5520966837902479</v>
      </c>
      <c r="AB177" s="21">
        <f>EXP(-LN(2)/2)*AB176+(1-EXP(-LN(2)/2))/(LN(2)/2)*V177*Y177*VLOOKUP('Données projet'!$B$9,Paramètres!$A$1:$I$89,3,0)*0.475*44/12</f>
        <v>1.0297683000848954E-17</v>
      </c>
      <c r="AC177" s="22">
        <f t="shared" si="163"/>
        <v>2.807192636830032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-5.999999999994543E-2</v>
      </c>
      <c r="AJ177" s="13">
        <f>AI177*VLOOKUP('Données projet'!$B$10,Paramètres!$A$1:$I$89,3,0)*VLOOKUP('Données projet'!$B$10,Paramètres!$A$1:$I$89,5,0)</f>
        <v>-2.8079999999974462E-2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74.573470247551825</v>
      </c>
      <c r="AO177" s="59">
        <f t="shared" si="144"/>
        <v>122.43655207772224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7.6268064553418151</v>
      </c>
      <c r="AV177" s="21">
        <f>EXP(-LN(2)/25)*AV176+(1-EXP(-LN(2)/25))/(LN(2)/25)*Calculateur!AQ177*Calculateur!AS177*VLOOKUP('Données projet'!$B$10,Paramètres!$A$1:$I$89,3,0)*0.475*44/12</f>
        <v>1.4064855456445235</v>
      </c>
      <c r="AW177" s="21">
        <f>EXP(-LN(2)/2)*AW176+(1-EXP(-LN(2)/2))/(LN(2)/2)*AQ177*AT177*VLOOKUP('Données projet'!$B$10,Paramètres!$A$1:$I$89,3,0)*0.475*44/12</f>
        <v>3.0111215779956178E-16</v>
      </c>
      <c r="AX177" s="21">
        <f t="shared" si="166"/>
        <v>9.0332920009863393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209.99999999999977</v>
      </c>
      <c r="BE177" s="13">
        <f>BD177*VLOOKUP('Données projet'!$B$11,Paramètres!$A$1:$I$89,3,0)*VLOOKUP('Données projet'!$B$11,Paramètres!$A$1:$I$89,5,0)</f>
        <v>212.9399999999998</v>
      </c>
      <c r="BF177" s="13">
        <f t="shared" si="167"/>
        <v>52.577528895212772</v>
      </c>
      <c r="BG177" s="20">
        <f t="shared" si="168"/>
        <v>462.44302949249521</v>
      </c>
      <c r="BH177" s="59">
        <f t="shared" si="116"/>
        <v>755.77636282582853</v>
      </c>
      <c r="BI177" s="59">
        <f ca="1">AVERAGE(OFFSET($BH$3,0,0,'Données projet'!$E$11+1,1))-AVERAGE(OFFSET($H$3,0,0,'Données projet'!$E$11+1,1))</f>
        <v>183.74583738362492</v>
      </c>
      <c r="BJ177" s="59">
        <f t="shared" si="146"/>
        <v>46.344307013926596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17.639327270847176</v>
      </c>
      <c r="BQ177" s="21">
        <f>EXP(-LN(2)/25)*BQ176+(1-EXP(-LN(2)/25))/(LN(2)/25)*Calculateur!BL177*Calculateur!BN177*VLOOKUP('Données projet'!$B$11,Paramètres!$A$1:$I$89,3,0)*0.475*44/12</f>
        <v>0.52572479114000081</v>
      </c>
      <c r="BR177" s="21">
        <f>EXP(-LN(2)/2)*BR176+(1-EXP(-LN(2)/2))/(LN(2)/2)*BL177*BO177*VLOOKUP('Données projet'!$B$11,Paramètres!$A$1:$I$89,3,0)*0.475*44/12</f>
        <v>1.6980482967439847E-7</v>
      </c>
      <c r="BS177" s="22">
        <f t="shared" si="169"/>
        <v>18.165052231792004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789.00000000000045</v>
      </c>
      <c r="BZ177" s="13">
        <f>BY177*VLOOKUP('Données projet'!$B$12,Paramètres!$A$1:$I$89,3,0)*VLOOKUP('Données projet'!$B$12,Paramètres!$A$1:$I$89,5,0)</f>
        <v>348.73800000000023</v>
      </c>
      <c r="CA177" s="13">
        <f t="shared" si="170"/>
        <v>81.302597726165047</v>
      </c>
      <c r="CB177" s="20">
        <f t="shared" si="171"/>
        <v>748.98737437307125</v>
      </c>
      <c r="CC177" s="59">
        <f t="shared" si="119"/>
        <v>1042.3207077064046</v>
      </c>
      <c r="CD177" s="59">
        <f ca="1">AVERAGE(OFFSET($CC$3,0,0,'Données projet'!$E$12+1,1))-AVERAGE(OFFSET($H$3,0,0,'Données projet'!$E$12+1,1))</f>
        <v>333.00091572040611</v>
      </c>
      <c r="CE177" s="59">
        <f t="shared" si="148"/>
        <v>267.06874181561398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8.9664820712540561</v>
      </c>
      <c r="CL177" s="21">
        <f>EXP(-LN(2)/25)*CL176+(1-EXP(-LN(2)/25))/(LN(2)/25)*Calculateur!CG177*Calculateur!CI177*VLOOKUP('Données projet'!$B$12,Paramètres!$A$1:$I$89,3,0)*0.475*44/12</f>
        <v>1.7778973769971957</v>
      </c>
      <c r="CM177" s="21">
        <f>EXP(-LN(2)/2)*CM176+(1-EXP(-LN(2)/2))/(LN(2)/2)*CG177*CJ177*VLOOKUP('Données projet'!$B$12,Paramètres!$A$1:$I$89,3,0)*0.475*44/12</f>
        <v>1.4167333587223945E-14</v>
      </c>
      <c r="CN177" s="22">
        <f t="shared" si="172"/>
        <v>10.744379448251266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1">
        <f t="shared" si="140"/>
        <v>33.605553053307958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67">
        <f t="shared" si="110"/>
        <v>575.3362549011772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229</v>
      </c>
      <c r="O178" s="13">
        <f>N178*VLOOKUP('Données projet'!$B$9,Paramètres!$A$1:$I$89,3,0)*VLOOKUP('Données projet'!$B$9,Paramètres!$A$1:$I$89,5,0)</f>
        <v>136.94200000000001</v>
      </c>
      <c r="P178" s="13">
        <f t="shared" si="141"/>
        <v>35.595562742420903</v>
      </c>
      <c r="Q178" s="20">
        <f t="shared" si="162"/>
        <v>300.50292177638306</v>
      </c>
      <c r="R178" s="59">
        <f t="shared" si="109"/>
        <v>593.83625510971638</v>
      </c>
      <c r="S178" s="59">
        <f ca="1">AVERAGE(OFFSET($R$3,0,0,'Données projet'!$E$9+1,1))-AVERAGE(OFFSET($H$3,0,0,'Données projet'!$E$9+1,1))</f>
        <v>125.14227069357082</v>
      </c>
      <c r="T178" s="59">
        <f t="shared" si="142"/>
        <v>193.39407925063165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2.2108748968733885</v>
      </c>
      <c r="AA178" s="21">
        <f>EXP(-LN(2)/25)*AA177+(1-EXP(-LN(2)/25))/(LN(2)/25)*Calculateur!V178*Calculateur!X178*VLOOKUP('Données projet'!$B$9,Paramètres!$A$1:$I$89,3,0)*0.475*44/12</f>
        <v>0.53699957093850081</v>
      </c>
      <c r="AB178" s="21">
        <f>EXP(-LN(2)/2)*AB177+(1-EXP(-LN(2)/2))/(LN(2)/2)*V178*Y178*VLOOKUP('Données projet'!$B$9,Paramètres!$A$1:$I$89,3,0)*0.475*44/12</f>
        <v>7.2815614804097312E-18</v>
      </c>
      <c r="AC178" s="22">
        <f t="shared" si="163"/>
        <v>2.7478744678118892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-5.999999999994543E-2</v>
      </c>
      <c r="AJ178" s="13">
        <f>AI178*VLOOKUP('Données projet'!$B$10,Paramètres!$A$1:$I$89,3,0)*VLOOKUP('Données projet'!$B$10,Paramètres!$A$1:$I$89,5,0)</f>
        <v>-2.8079999999974462E-2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74.573470247551825</v>
      </c>
      <c r="AO178" s="59">
        <f t="shared" si="144"/>
        <v>122.43655207772224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7.4772494326451637</v>
      </c>
      <c r="AV178" s="21">
        <f>EXP(-LN(2)/25)*AV177+(1-EXP(-LN(2)/25))/(LN(2)/25)*Calculateur!AQ178*Calculateur!AS178*VLOOKUP('Données projet'!$B$10,Paramètres!$A$1:$I$89,3,0)*0.475*44/12</f>
        <v>1.3680251244350137</v>
      </c>
      <c r="AW178" s="21">
        <f>EXP(-LN(2)/2)*AW177+(1-EXP(-LN(2)/2))/(LN(2)/2)*AQ178*AT178*VLOOKUP('Données projet'!$B$10,Paramètres!$A$1:$I$89,3,0)*0.475*44/12</f>
        <v>2.129184486777839E-16</v>
      </c>
      <c r="AX178" s="21">
        <f t="shared" si="166"/>
        <v>8.8452745570801774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209.99999999999977</v>
      </c>
      <c r="BE178" s="13">
        <f>BD178*VLOOKUP('Données projet'!$B$11,Paramètres!$A$1:$I$89,3,0)*VLOOKUP('Données projet'!$B$11,Paramètres!$A$1:$I$89,5,0)</f>
        <v>212.9399999999998</v>
      </c>
      <c r="BF178" s="13">
        <f t="shared" si="167"/>
        <v>52.577528895212772</v>
      </c>
      <c r="BG178" s="20">
        <f t="shared" si="168"/>
        <v>462.44302949249521</v>
      </c>
      <c r="BH178" s="59">
        <f t="shared" si="116"/>
        <v>755.77636282582853</v>
      </c>
      <c r="BI178" s="59">
        <f ca="1">AVERAGE(OFFSET($BH$3,0,0,'Données projet'!$E$11+1,1))-AVERAGE(OFFSET($H$3,0,0,'Données projet'!$E$11+1,1))</f>
        <v>183.74583738362492</v>
      </c>
      <c r="BJ178" s="59">
        <f t="shared" si="146"/>
        <v>46.344307013926596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17.293430821993141</v>
      </c>
      <c r="BQ178" s="21">
        <f>EXP(-LN(2)/25)*BQ177+(1-EXP(-LN(2)/25))/(LN(2)/25)*Calculateur!BL178*Calculateur!BN178*VLOOKUP('Données projet'!$B$11,Paramètres!$A$1:$I$89,3,0)*0.475*44/12</f>
        <v>0.51134881907961227</v>
      </c>
      <c r="BR178" s="21">
        <f>EXP(-LN(2)/2)*BR177+(1-EXP(-LN(2)/2))/(LN(2)/2)*BL178*BO178*VLOOKUP('Données projet'!$B$11,Paramètres!$A$1:$I$89,3,0)*0.475*44/12</f>
        <v>1.2007014654099384E-7</v>
      </c>
      <c r="BS178" s="22">
        <f t="shared" si="169"/>
        <v>17.8047797611429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789.00000000000045</v>
      </c>
      <c r="BZ178" s="13">
        <f>BY178*VLOOKUP('Données projet'!$B$12,Paramètres!$A$1:$I$89,3,0)*VLOOKUP('Données projet'!$B$12,Paramètres!$A$1:$I$89,5,0)</f>
        <v>348.73800000000023</v>
      </c>
      <c r="CA178" s="13">
        <f t="shared" si="170"/>
        <v>81.302597726165047</v>
      </c>
      <c r="CB178" s="20">
        <f t="shared" si="171"/>
        <v>748.98737437307125</v>
      </c>
      <c r="CC178" s="59">
        <f t="shared" si="119"/>
        <v>1042.3207077064046</v>
      </c>
      <c r="CD178" s="59">
        <f ca="1">AVERAGE(OFFSET($CC$3,0,0,'Données projet'!$E$12+1,1))-AVERAGE(OFFSET($H$3,0,0,'Données projet'!$E$12+1,1))</f>
        <v>333.00091572040611</v>
      </c>
      <c r="CE178" s="59">
        <f t="shared" si="148"/>
        <v>267.06874181561398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8.7906548268508065</v>
      </c>
      <c r="CL178" s="21">
        <f>EXP(-LN(2)/25)*CL177+(1-EXP(-LN(2)/25))/(LN(2)/25)*Calculateur!CG178*Calculateur!CI178*VLOOKUP('Données projet'!$B$12,Paramètres!$A$1:$I$89,3,0)*0.475*44/12</f>
        <v>1.7292806797276479</v>
      </c>
      <c r="CM178" s="21">
        <f>EXP(-LN(2)/2)*CM177+(1-EXP(-LN(2)/2))/(LN(2)/2)*CG178*CJ178*VLOOKUP('Données projet'!$B$12,Paramètres!$A$1:$I$89,3,0)*0.475*44/12</f>
        <v>1.0017817650857988E-14</v>
      </c>
      <c r="CN178" s="22">
        <f t="shared" si="172"/>
        <v>10.519935506578465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1">
        <f t="shared" si="140"/>
        <v>33.7751759806373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67">
        <f t="shared" si="110"/>
        <v>576.90867149960923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229</v>
      </c>
      <c r="O179" s="13">
        <f>N179*VLOOKUP('Données projet'!$B$9,Paramètres!$A$1:$I$89,3,0)*VLOOKUP('Données projet'!$B$9,Paramètres!$A$1:$I$89,5,0)</f>
        <v>136.94200000000001</v>
      </c>
      <c r="P179" s="13">
        <f t="shared" si="141"/>
        <v>35.595562742420903</v>
      </c>
      <c r="Q179" s="20">
        <f t="shared" si="162"/>
        <v>300.50292177638306</v>
      </c>
      <c r="R179" s="59">
        <f t="shared" si="109"/>
        <v>593.83625510971638</v>
      </c>
      <c r="S179" s="59">
        <f ca="1">AVERAGE(OFFSET($R$3,0,0,'Données projet'!$E$9+1,1))-AVERAGE(OFFSET($H$3,0,0,'Données projet'!$E$9+1,1))</f>
        <v>125.14227069357082</v>
      </c>
      <c r="T179" s="59">
        <f t="shared" si="142"/>
        <v>193.39407925063165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2.1675209886462352</v>
      </c>
      <c r="AA179" s="21">
        <f>EXP(-LN(2)/25)*AA178+(1-EXP(-LN(2)/25))/(LN(2)/25)*Calculateur!V179*Calculateur!X179*VLOOKUP('Données projet'!$B$9,Paramètres!$A$1:$I$89,3,0)*0.475*44/12</f>
        <v>0.52231528943160743</v>
      </c>
      <c r="AB179" s="21">
        <f>EXP(-LN(2)/2)*AB178+(1-EXP(-LN(2)/2))/(LN(2)/2)*V179*Y179*VLOOKUP('Données projet'!$B$9,Paramètres!$A$1:$I$89,3,0)*0.475*44/12</f>
        <v>5.1488415004244769E-18</v>
      </c>
      <c r="AC179" s="22">
        <f t="shared" si="163"/>
        <v>2.6898362780778426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-5.999999999994543E-2</v>
      </c>
      <c r="AJ179" s="13">
        <f>AI179*VLOOKUP('Données projet'!$B$10,Paramètres!$A$1:$I$89,3,0)*VLOOKUP('Données projet'!$B$10,Paramètres!$A$1:$I$89,5,0)</f>
        <v>-2.8079999999974462E-2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74.573470247551825</v>
      </c>
      <c r="AO179" s="59">
        <f t="shared" si="144"/>
        <v>122.43655207772224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7.3306251319428171</v>
      </c>
      <c r="AV179" s="21">
        <f>EXP(-LN(2)/25)*AV178+(1-EXP(-LN(2)/25))/(LN(2)/25)*Calculateur!AQ179*Calculateur!AS179*VLOOKUP('Données projet'!$B$10,Paramètres!$A$1:$I$89,3,0)*0.475*44/12</f>
        <v>1.3306164054660237</v>
      </c>
      <c r="AW179" s="21">
        <f>EXP(-LN(2)/2)*AW178+(1-EXP(-LN(2)/2))/(LN(2)/2)*AQ179*AT179*VLOOKUP('Données projet'!$B$10,Paramètres!$A$1:$I$89,3,0)*0.475*44/12</f>
        <v>1.5055607889978089E-16</v>
      </c>
      <c r="AX179" s="21">
        <f t="shared" si="166"/>
        <v>8.6612415374088414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209.99999999999977</v>
      </c>
      <c r="BE179" s="13">
        <f>BD179*VLOOKUP('Données projet'!$B$11,Paramètres!$A$1:$I$89,3,0)*VLOOKUP('Données projet'!$B$11,Paramètres!$A$1:$I$89,5,0)</f>
        <v>212.9399999999998</v>
      </c>
      <c r="BF179" s="13">
        <f t="shared" si="167"/>
        <v>52.577528895212772</v>
      </c>
      <c r="BG179" s="20">
        <f t="shared" si="168"/>
        <v>462.44302949249521</v>
      </c>
      <c r="BH179" s="59">
        <f t="shared" si="116"/>
        <v>755.77636282582853</v>
      </c>
      <c r="BI179" s="59">
        <f ca="1">AVERAGE(OFFSET($BH$3,0,0,'Données projet'!$E$11+1,1))-AVERAGE(OFFSET($H$3,0,0,'Données projet'!$E$11+1,1))</f>
        <v>183.74583738362492</v>
      </c>
      <c r="BJ179" s="59">
        <f t="shared" si="146"/>
        <v>46.344307013926596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16.954317191525135</v>
      </c>
      <c r="BQ179" s="21">
        <f>EXP(-LN(2)/25)*BQ178+(1-EXP(-LN(2)/25))/(LN(2)/25)*Calculateur!BL179*Calculateur!BN179*VLOOKUP('Données projet'!$B$11,Paramètres!$A$1:$I$89,3,0)*0.475*44/12</f>
        <v>0.49736595873121459</v>
      </c>
      <c r="BR179" s="21">
        <f>EXP(-LN(2)/2)*BR178+(1-EXP(-LN(2)/2))/(LN(2)/2)*BL179*BO179*VLOOKUP('Données projet'!$B$11,Paramètres!$A$1:$I$89,3,0)*0.475*44/12</f>
        <v>8.4902414837199233E-8</v>
      </c>
      <c r="BS179" s="22">
        <f t="shared" si="169"/>
        <v>17.451683235158765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789.00000000000045</v>
      </c>
      <c r="BZ179" s="13">
        <f>BY179*VLOOKUP('Données projet'!$B$12,Paramètres!$A$1:$I$89,3,0)*VLOOKUP('Données projet'!$B$12,Paramètres!$A$1:$I$89,5,0)</f>
        <v>348.73800000000023</v>
      </c>
      <c r="CA179" s="13">
        <f t="shared" si="170"/>
        <v>81.302597726165047</v>
      </c>
      <c r="CB179" s="20">
        <f t="shared" si="171"/>
        <v>748.98737437307125</v>
      </c>
      <c r="CC179" s="59">
        <f t="shared" si="119"/>
        <v>1042.3207077064046</v>
      </c>
      <c r="CD179" s="59">
        <f ca="1">AVERAGE(OFFSET($CC$3,0,0,'Données projet'!$E$12+1,1))-AVERAGE(OFFSET($H$3,0,0,'Données projet'!$E$12+1,1))</f>
        <v>333.00091572040611</v>
      </c>
      <c r="CE179" s="59">
        <f t="shared" si="148"/>
        <v>267.06874181561398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8.6182754474662762</v>
      </c>
      <c r="CL179" s="21">
        <f>EXP(-LN(2)/25)*CL178+(1-EXP(-LN(2)/25))/(LN(2)/25)*Calculateur!CG179*Calculateur!CI179*VLOOKUP('Données projet'!$B$12,Paramètres!$A$1:$I$89,3,0)*0.475*44/12</f>
        <v>1.6819934086015766</v>
      </c>
      <c r="CM179" s="21">
        <f>EXP(-LN(2)/2)*CM178+(1-EXP(-LN(2)/2))/(LN(2)/2)*CG179*CJ179*VLOOKUP('Données projet'!$B$12,Paramètres!$A$1:$I$89,3,0)*0.475*44/12</f>
        <v>7.083666793611974E-15</v>
      </c>
      <c r="CN179" s="22">
        <f t="shared" si="172"/>
        <v>10.300268856067859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1">
        <f t="shared" si="140"/>
        <v>33.944686761980805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67">
        <f t="shared" si="110"/>
        <v>578.48089277711574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229</v>
      </c>
      <c r="O180" s="13">
        <f>N180*VLOOKUP('Données projet'!$B$9,Paramètres!$A$1:$I$89,3,0)*VLOOKUP('Données projet'!$B$9,Paramètres!$A$1:$I$89,5,0)</f>
        <v>136.94200000000001</v>
      </c>
      <c r="P180" s="13">
        <f t="shared" si="141"/>
        <v>35.595562742420903</v>
      </c>
      <c r="Q180" s="20">
        <f t="shared" si="162"/>
        <v>300.50292177638306</v>
      </c>
      <c r="R180" s="59">
        <f t="shared" si="109"/>
        <v>593.83625510971638</v>
      </c>
      <c r="S180" s="59">
        <f ca="1">AVERAGE(OFFSET($R$3,0,0,'Données projet'!$E$9+1,1))-AVERAGE(OFFSET($H$3,0,0,'Données projet'!$E$9+1,1))</f>
        <v>125.14227069357082</v>
      </c>
      <c r="T180" s="59">
        <f t="shared" si="142"/>
        <v>193.39407925063165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2.1250172241161431</v>
      </c>
      <c r="AA180" s="21">
        <f>EXP(-LN(2)/25)*AA179+(1-EXP(-LN(2)/25))/(LN(2)/25)*Calculateur!V180*Calculateur!X180*VLOOKUP('Données projet'!$B$9,Paramètres!$A$1:$I$89,3,0)*0.475*44/12</f>
        <v>0.50803255037473283</v>
      </c>
      <c r="AB180" s="21">
        <f>EXP(-LN(2)/2)*AB179+(1-EXP(-LN(2)/2))/(LN(2)/2)*V180*Y180*VLOOKUP('Données projet'!$B$9,Paramètres!$A$1:$I$89,3,0)*0.475*44/12</f>
        <v>3.6407807402048656E-18</v>
      </c>
      <c r="AC180" s="22">
        <f t="shared" si="163"/>
        <v>2.6330497744908761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-5.999999999994543E-2</v>
      </c>
      <c r="AJ180" s="13">
        <f>AI180*VLOOKUP('Données projet'!$B$10,Paramètres!$A$1:$I$89,3,0)*VLOOKUP('Données projet'!$B$10,Paramètres!$A$1:$I$89,5,0)</f>
        <v>-2.8079999999974462E-2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74.573470247551825</v>
      </c>
      <c r="AO180" s="59">
        <f t="shared" si="144"/>
        <v>122.43655207772224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7.1868760443452508</v>
      </c>
      <c r="AV180" s="21">
        <f>EXP(-LN(2)/25)*AV179+(1-EXP(-LN(2)/25))/(LN(2)/25)*Calculateur!AQ180*Calculateur!AS180*VLOOKUP('Données projet'!$B$10,Paramètres!$A$1:$I$89,3,0)*0.475*44/12</f>
        <v>1.2942306298844797</v>
      </c>
      <c r="AW180" s="21">
        <f>EXP(-LN(2)/2)*AW179+(1-EXP(-LN(2)/2))/(LN(2)/2)*AQ180*AT180*VLOOKUP('Données projet'!$B$10,Paramètres!$A$1:$I$89,3,0)*0.475*44/12</f>
        <v>1.0645922433889195E-16</v>
      </c>
      <c r="AX180" s="21">
        <f t="shared" si="166"/>
        <v>8.4811066742297303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209.99999999999977</v>
      </c>
      <c r="BE180" s="13">
        <f>BD180*VLOOKUP('Données projet'!$B$11,Paramètres!$A$1:$I$89,3,0)*VLOOKUP('Données projet'!$B$11,Paramètres!$A$1:$I$89,5,0)</f>
        <v>212.9399999999998</v>
      </c>
      <c r="BF180" s="13">
        <f t="shared" si="167"/>
        <v>52.577528895212772</v>
      </c>
      <c r="BG180" s="20">
        <f t="shared" si="168"/>
        <v>462.44302949249521</v>
      </c>
      <c r="BH180" s="59">
        <f t="shared" si="116"/>
        <v>755.77636282582853</v>
      </c>
      <c r="BI180" s="59">
        <f ca="1">AVERAGE(OFFSET($BH$3,0,0,'Données projet'!$E$11+1,1))-AVERAGE(OFFSET($H$3,0,0,'Données projet'!$E$11+1,1))</f>
        <v>183.74583738362492</v>
      </c>
      <c r="BJ180" s="59">
        <f t="shared" si="146"/>
        <v>46.344307013926596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16.621853372511715</v>
      </c>
      <c r="BQ180" s="21">
        <f>EXP(-LN(2)/25)*BQ179+(1-EXP(-LN(2)/25))/(LN(2)/25)*Calculateur!BL180*Calculateur!BN180*VLOOKUP('Données projet'!$B$11,Paramètres!$A$1:$I$89,3,0)*0.475*44/12</f>
        <v>0.48376546043437052</v>
      </c>
      <c r="BR180" s="21">
        <f>EXP(-LN(2)/2)*BR179+(1-EXP(-LN(2)/2))/(LN(2)/2)*BL180*BO180*VLOOKUP('Données projet'!$B$11,Paramètres!$A$1:$I$89,3,0)*0.475*44/12</f>
        <v>6.0035073270496922E-8</v>
      </c>
      <c r="BS180" s="22">
        <f t="shared" si="169"/>
        <v>17.105618892981159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789.00000000000045</v>
      </c>
      <c r="BZ180" s="13">
        <f>BY180*VLOOKUP('Données projet'!$B$12,Paramètres!$A$1:$I$89,3,0)*VLOOKUP('Données projet'!$B$12,Paramètres!$A$1:$I$89,5,0)</f>
        <v>348.73800000000023</v>
      </c>
      <c r="CA180" s="13">
        <f t="shared" si="170"/>
        <v>81.302597726165047</v>
      </c>
      <c r="CB180" s="20">
        <f t="shared" si="171"/>
        <v>748.98737437307125</v>
      </c>
      <c r="CC180" s="59">
        <f t="shared" si="119"/>
        <v>1042.3207077064046</v>
      </c>
      <c r="CD180" s="59">
        <f ca="1">AVERAGE(OFFSET($CC$3,0,0,'Données projet'!$E$12+1,1))-AVERAGE(OFFSET($H$3,0,0,'Données projet'!$E$12+1,1))</f>
        <v>333.00091572040611</v>
      </c>
      <c r="CE180" s="59">
        <f t="shared" si="148"/>
        <v>267.06874181561398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8.4492763225704373</v>
      </c>
      <c r="CL180" s="21">
        <f>EXP(-LN(2)/25)*CL179+(1-EXP(-LN(2)/25))/(LN(2)/25)*Calculateur!CG180*Calculateur!CI180*VLOOKUP('Données projet'!$B$12,Paramètres!$A$1:$I$89,3,0)*0.475*44/12</f>
        <v>1.6359992103911773</v>
      </c>
      <c r="CM180" s="21">
        <f>EXP(-LN(2)/2)*CM179+(1-EXP(-LN(2)/2))/(LN(2)/2)*CG180*CJ180*VLOOKUP('Données projet'!$B$12,Paramètres!$A$1:$I$89,3,0)*0.475*44/12</f>
        <v>5.008908825428995E-15</v>
      </c>
      <c r="CN180" s="22">
        <f t="shared" si="172"/>
        <v>10.085275532961619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1">
        <f t="shared" si="140"/>
        <v>34.114086104456895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67">
        <f t="shared" si="110"/>
        <v>580.05291996526171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229</v>
      </c>
      <c r="O181" s="13">
        <f>N181*VLOOKUP('Données projet'!$B$9,Paramètres!$A$1:$I$89,3,0)*VLOOKUP('Données projet'!$B$9,Paramètres!$A$1:$I$89,5,0)</f>
        <v>136.94200000000001</v>
      </c>
      <c r="P181" s="13">
        <f t="shared" si="141"/>
        <v>35.595562742420903</v>
      </c>
      <c r="Q181" s="20">
        <f t="shared" si="162"/>
        <v>300.50292177638306</v>
      </c>
      <c r="R181" s="59">
        <f t="shared" si="109"/>
        <v>593.83625510971638</v>
      </c>
      <c r="S181" s="59">
        <f ca="1">AVERAGE(OFFSET($R$3,0,0,'Données projet'!$E$9+1,1))-AVERAGE(OFFSET($H$3,0,0,'Données projet'!$E$9+1,1))</f>
        <v>125.14227069357082</v>
      </c>
      <c r="T181" s="59">
        <f t="shared" si="142"/>
        <v>193.39407925063165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2.0833469324837499</v>
      </c>
      <c r="AA181" s="21">
        <f>EXP(-LN(2)/25)*AA180+(1-EXP(-LN(2)/25))/(LN(2)/25)*Calculateur!V181*Calculateur!X181*VLOOKUP('Données projet'!$B$9,Paramètres!$A$1:$I$89,3,0)*0.475*44/12</f>
        <v>0.49414037356846507</v>
      </c>
      <c r="AB181" s="21">
        <f>EXP(-LN(2)/2)*AB180+(1-EXP(-LN(2)/2))/(LN(2)/2)*V181*Y181*VLOOKUP('Données projet'!$B$9,Paramètres!$A$1:$I$89,3,0)*0.475*44/12</f>
        <v>2.5744207502122385E-18</v>
      </c>
      <c r="AC181" s="22">
        <f t="shared" si="163"/>
        <v>2.5774873060522152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-5.999999999994543E-2</v>
      </c>
      <c r="AJ181" s="13">
        <f>AI181*VLOOKUP('Données projet'!$B$10,Paramètres!$A$1:$I$89,3,0)*VLOOKUP('Données projet'!$B$10,Paramètres!$A$1:$I$89,5,0)</f>
        <v>-2.8079999999974462E-2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74.573470247551825</v>
      </c>
      <c r="AO181" s="59">
        <f t="shared" si="144"/>
        <v>122.43655207772224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7.0459457886771863</v>
      </c>
      <c r="AV181" s="21">
        <f>EXP(-LN(2)/25)*AV180+(1-EXP(-LN(2)/25))/(LN(2)/25)*Calculateur!AQ181*Calculateur!AS181*VLOOKUP('Données projet'!$B$10,Paramètres!$A$1:$I$89,3,0)*0.475*44/12</f>
        <v>1.2588398252496578</v>
      </c>
      <c r="AW181" s="21">
        <f>EXP(-LN(2)/2)*AW180+(1-EXP(-LN(2)/2))/(LN(2)/2)*AQ181*AT181*VLOOKUP('Données projet'!$B$10,Paramètres!$A$1:$I$89,3,0)*0.475*44/12</f>
        <v>7.5278039449890444E-17</v>
      </c>
      <c r="AX181" s="21">
        <f t="shared" si="166"/>
        <v>8.3047856139268443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209.99999999999977</v>
      </c>
      <c r="BE181" s="13">
        <f>BD181*VLOOKUP('Données projet'!$B$11,Paramètres!$A$1:$I$89,3,0)*VLOOKUP('Données projet'!$B$11,Paramètres!$A$1:$I$89,5,0)</f>
        <v>212.9399999999998</v>
      </c>
      <c r="BF181" s="13">
        <f t="shared" si="167"/>
        <v>52.577528895212772</v>
      </c>
      <c r="BG181" s="20">
        <f t="shared" si="168"/>
        <v>462.44302949249521</v>
      </c>
      <c r="BH181" s="59">
        <f t="shared" si="116"/>
        <v>755.77636282582853</v>
      </c>
      <c r="BI181" s="59">
        <f ca="1">AVERAGE(OFFSET($BH$3,0,0,'Données projet'!$E$11+1,1))-AVERAGE(OFFSET($H$3,0,0,'Données projet'!$E$11+1,1))</f>
        <v>183.74583738362492</v>
      </c>
      <c r="BJ181" s="59">
        <f t="shared" si="146"/>
        <v>46.344307013926596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16.295908966206241</v>
      </c>
      <c r="BQ181" s="21">
        <f>EXP(-LN(2)/25)*BQ180+(1-EXP(-LN(2)/25))/(LN(2)/25)*Calculateur!BL181*Calculateur!BN181*VLOOKUP('Données projet'!$B$11,Paramètres!$A$1:$I$89,3,0)*0.475*44/12</f>
        <v>0.47053686847867277</v>
      </c>
      <c r="BR181" s="21">
        <f>EXP(-LN(2)/2)*BR180+(1-EXP(-LN(2)/2))/(LN(2)/2)*BL181*BO181*VLOOKUP('Données projet'!$B$11,Paramètres!$A$1:$I$89,3,0)*0.475*44/12</f>
        <v>4.2451207418599617E-8</v>
      </c>
      <c r="BS181" s="22">
        <f t="shared" si="169"/>
        <v>16.766445877136121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789.00000000000045</v>
      </c>
      <c r="BZ181" s="13">
        <f>BY181*VLOOKUP('Données projet'!$B$12,Paramètres!$A$1:$I$89,3,0)*VLOOKUP('Données projet'!$B$12,Paramètres!$A$1:$I$89,5,0)</f>
        <v>348.73800000000023</v>
      </c>
      <c r="CA181" s="13">
        <f t="shared" si="170"/>
        <v>81.302597726165047</v>
      </c>
      <c r="CB181" s="20">
        <f t="shared" si="171"/>
        <v>748.98737437307125</v>
      </c>
      <c r="CC181" s="59">
        <f t="shared" si="119"/>
        <v>1042.3207077064046</v>
      </c>
      <c r="CD181" s="59">
        <f ca="1">AVERAGE(OFFSET($CC$3,0,0,'Données projet'!$E$12+1,1))-AVERAGE(OFFSET($H$3,0,0,'Données projet'!$E$12+1,1))</f>
        <v>333.00091572040611</v>
      </c>
      <c r="CE181" s="59">
        <f t="shared" si="148"/>
        <v>267.06874181561398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8.2835911674345173</v>
      </c>
      <c r="CL181" s="21">
        <f>EXP(-LN(2)/25)*CL180+(1-EXP(-LN(2)/25))/(LN(2)/25)*Calculateur!CG181*Calculateur!CI181*VLOOKUP('Données projet'!$B$12,Paramètres!$A$1:$I$89,3,0)*0.475*44/12</f>
        <v>1.5912627259495713</v>
      </c>
      <c r="CM181" s="21">
        <f>EXP(-LN(2)/2)*CM180+(1-EXP(-LN(2)/2))/(LN(2)/2)*CG181*CJ181*VLOOKUP('Données projet'!$B$12,Paramètres!$A$1:$I$89,3,0)*0.475*44/12</f>
        <v>3.5418333968059874E-15</v>
      </c>
      <c r="CN181" s="22">
        <f t="shared" si="172"/>
        <v>9.8748538933840919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1">
        <f t="shared" si="140"/>
        <v>34.283374706778957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67">
        <f t="shared" si="110"/>
        <v>581.62475428097252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229</v>
      </c>
      <c r="O182" s="13">
        <f>N182*VLOOKUP('Données projet'!$B$9,Paramètres!$A$1:$I$89,3,0)*VLOOKUP('Données projet'!$B$9,Paramètres!$A$1:$I$89,5,0)</f>
        <v>136.94200000000001</v>
      </c>
      <c r="P182" s="13">
        <f t="shared" si="141"/>
        <v>35.595562742420903</v>
      </c>
      <c r="Q182" s="20">
        <f t="shared" si="162"/>
        <v>300.50292177638306</v>
      </c>
      <c r="R182" s="59">
        <f t="shared" si="109"/>
        <v>593.83625510971638</v>
      </c>
      <c r="S182" s="59">
        <f ca="1">AVERAGE(OFFSET($R$3,0,0,'Données projet'!$E$9+1,1))-AVERAGE(OFFSET($H$3,0,0,'Données projet'!$E$9+1,1))</f>
        <v>125.14227069357082</v>
      </c>
      <c r="T182" s="59">
        <f t="shared" si="142"/>
        <v>193.39407925063165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2.0424937698538996</v>
      </c>
      <c r="AA182" s="21">
        <f>EXP(-LN(2)/25)*AA181+(1-EXP(-LN(2)/25))/(LN(2)/25)*Calculateur!V182*Calculateur!X182*VLOOKUP('Données projet'!$B$9,Paramètres!$A$1:$I$89,3,0)*0.475*44/12</f>
        <v>0.48062807906752253</v>
      </c>
      <c r="AB182" s="21">
        <f>EXP(-LN(2)/2)*AB181+(1-EXP(-LN(2)/2))/(LN(2)/2)*V182*Y182*VLOOKUP('Données projet'!$B$9,Paramètres!$A$1:$I$89,3,0)*0.475*44/12</f>
        <v>1.8203903701024328E-18</v>
      </c>
      <c r="AC182" s="22">
        <f t="shared" si="163"/>
        <v>2.5231218489214222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-5.999999999994543E-2</v>
      </c>
      <c r="AJ182" s="13">
        <f>AI182*VLOOKUP('Données projet'!$B$10,Paramètres!$A$1:$I$89,3,0)*VLOOKUP('Données projet'!$B$10,Paramètres!$A$1:$I$89,5,0)</f>
        <v>-2.8079999999974462E-2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74.573470247551825</v>
      </c>
      <c r="AO182" s="59">
        <f t="shared" si="144"/>
        <v>122.43655207772224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6.9077790893638049</v>
      </c>
      <c r="AV182" s="21">
        <f>EXP(-LN(2)/25)*AV181+(1-EXP(-LN(2)/25))/(LN(2)/25)*Calculateur!AQ182*Calculateur!AS182*VLOOKUP('Données projet'!$B$10,Paramètres!$A$1:$I$89,3,0)*0.475*44/12</f>
        <v>1.2244167840286966</v>
      </c>
      <c r="AW182" s="21">
        <f>EXP(-LN(2)/2)*AW181+(1-EXP(-LN(2)/2))/(LN(2)/2)*AQ182*AT182*VLOOKUP('Données projet'!$B$10,Paramètres!$A$1:$I$89,3,0)*0.475*44/12</f>
        <v>5.3229612169445975E-17</v>
      </c>
      <c r="AX182" s="21">
        <f t="shared" si="166"/>
        <v>8.1321958733925008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209.99999999999977</v>
      </c>
      <c r="BE182" s="13">
        <f>BD182*VLOOKUP('Données projet'!$B$11,Paramètres!$A$1:$I$89,3,0)*VLOOKUP('Données projet'!$B$11,Paramètres!$A$1:$I$89,5,0)</f>
        <v>212.9399999999998</v>
      </c>
      <c r="BF182" s="13">
        <f t="shared" si="167"/>
        <v>52.577528895212772</v>
      </c>
      <c r="BG182" s="20">
        <f t="shared" si="168"/>
        <v>462.44302949249521</v>
      </c>
      <c r="BH182" s="59">
        <f t="shared" si="116"/>
        <v>755.77636282582853</v>
      </c>
      <c r="BI182" s="59">
        <f ca="1">AVERAGE(OFFSET($BH$3,0,0,'Données projet'!$E$11+1,1))-AVERAGE(OFFSET($H$3,0,0,'Données projet'!$E$11+1,1))</f>
        <v>183.74583738362492</v>
      </c>
      <c r="BJ182" s="59">
        <f t="shared" si="146"/>
        <v>46.344307013926596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15.97635613090196</v>
      </c>
      <c r="BQ182" s="21">
        <f>EXP(-LN(2)/25)*BQ181+(1-EXP(-LN(2)/25))/(LN(2)/25)*Calculateur!BL182*Calculateur!BN182*VLOOKUP('Données projet'!$B$11,Paramètres!$A$1:$I$89,3,0)*0.475*44/12</f>
        <v>0.45767001306566496</v>
      </c>
      <c r="BR182" s="21">
        <f>EXP(-LN(2)/2)*BR181+(1-EXP(-LN(2)/2))/(LN(2)/2)*BL182*BO182*VLOOKUP('Données projet'!$B$11,Paramètres!$A$1:$I$89,3,0)*0.475*44/12</f>
        <v>3.0017536635248461E-8</v>
      </c>
      <c r="BS182" s="22">
        <f t="shared" si="169"/>
        <v>16.43402617398516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789.00000000000045</v>
      </c>
      <c r="BZ182" s="13">
        <f>BY182*VLOOKUP('Données projet'!$B$12,Paramètres!$A$1:$I$89,3,0)*VLOOKUP('Données projet'!$B$12,Paramètres!$A$1:$I$89,5,0)</f>
        <v>348.73800000000023</v>
      </c>
      <c r="CA182" s="13">
        <f t="shared" si="170"/>
        <v>81.302597726165047</v>
      </c>
      <c r="CB182" s="20">
        <f t="shared" si="171"/>
        <v>748.98737437307125</v>
      </c>
      <c r="CC182" s="59">
        <f t="shared" si="119"/>
        <v>1042.3207077064046</v>
      </c>
      <c r="CD182" s="59">
        <f ca="1">AVERAGE(OFFSET($CC$3,0,0,'Données projet'!$E$12+1,1))-AVERAGE(OFFSET($H$3,0,0,'Données projet'!$E$12+1,1))</f>
        <v>333.00091572040611</v>
      </c>
      <c r="CE182" s="59">
        <f t="shared" si="148"/>
        <v>267.06874181561398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8.1211549971328463</v>
      </c>
      <c r="CL182" s="21">
        <f>EXP(-LN(2)/25)*CL181+(1-EXP(-LN(2)/25))/(LN(2)/25)*Calculateur!CG182*Calculateur!CI182*VLOOKUP('Données projet'!$B$12,Paramètres!$A$1:$I$89,3,0)*0.475*44/12</f>
        <v>1.5477495630276104</v>
      </c>
      <c r="CM182" s="21">
        <f>EXP(-LN(2)/2)*CM181+(1-EXP(-LN(2)/2))/(LN(2)/2)*CG182*CJ182*VLOOKUP('Données projet'!$B$12,Paramètres!$A$1:$I$89,3,0)*0.475*44/12</f>
        <v>2.5044544127144979E-15</v>
      </c>
      <c r="CN182" s="22">
        <f t="shared" si="172"/>
        <v>9.668904560160458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1">
        <f t="shared" si="140"/>
        <v>34.452553259401881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67">
        <f t="shared" si="110"/>
        <v>583.19639692679084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229</v>
      </c>
      <c r="O183" s="13">
        <f>N183*VLOOKUP('Données projet'!$B$9,Paramètres!$A$1:$I$89,3,0)*VLOOKUP('Données projet'!$B$9,Paramètres!$A$1:$I$89,5,0)</f>
        <v>136.94200000000001</v>
      </c>
      <c r="P183" s="13">
        <f t="shared" si="141"/>
        <v>35.595562742420903</v>
      </c>
      <c r="Q183" s="20">
        <f t="shared" si="162"/>
        <v>300.50292177638306</v>
      </c>
      <c r="R183" s="59">
        <f t="shared" si="109"/>
        <v>593.83625510971638</v>
      </c>
      <c r="S183" s="59">
        <f ca="1">AVERAGE(OFFSET($R$3,0,0,'Données projet'!$E$9+1,1))-AVERAGE(OFFSET($H$3,0,0,'Données projet'!$E$9+1,1))</f>
        <v>125.14227069357082</v>
      </c>
      <c r="T183" s="59">
        <f t="shared" si="142"/>
        <v>193.39407925063165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2.0024417128252519</v>
      </c>
      <c r="AA183" s="21">
        <f>EXP(-LN(2)/25)*AA182+(1-EXP(-LN(2)/25))/(LN(2)/25)*Calculateur!V183*Calculateur!X183*VLOOKUP('Données projet'!$B$9,Paramètres!$A$1:$I$89,3,0)*0.475*44/12</f>
        <v>0.46748527897028896</v>
      </c>
      <c r="AB183" s="21">
        <f>EXP(-LN(2)/2)*AB182+(1-EXP(-LN(2)/2))/(LN(2)/2)*V183*Y183*VLOOKUP('Données projet'!$B$9,Paramètres!$A$1:$I$89,3,0)*0.475*44/12</f>
        <v>1.2872103751061192E-18</v>
      </c>
      <c r="AC183" s="22">
        <f t="shared" si="163"/>
        <v>2.4699269917955409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-5.999999999994543E-2</v>
      </c>
      <c r="AJ183" s="13">
        <f>AI183*VLOOKUP('Données projet'!$B$10,Paramètres!$A$1:$I$89,3,0)*VLOOKUP('Données projet'!$B$10,Paramètres!$A$1:$I$89,5,0)</f>
        <v>-2.8079999999974462E-2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74.573470247551825</v>
      </c>
      <c r="AO183" s="59">
        <f t="shared" si="144"/>
        <v>122.43655207772224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6.7723217547505934</v>
      </c>
      <c r="AV183" s="21">
        <f>EXP(-LN(2)/25)*AV182+(1-EXP(-LN(2)/25))/(LN(2)/25)*Calculateur!AQ183*Calculateur!AS183*VLOOKUP('Données projet'!$B$10,Paramètres!$A$1:$I$89,3,0)*0.475*44/12</f>
        <v>1.1909350426801517</v>
      </c>
      <c r="AW183" s="21">
        <f>EXP(-LN(2)/2)*AW182+(1-EXP(-LN(2)/2))/(LN(2)/2)*AQ183*AT183*VLOOKUP('Données projet'!$B$10,Paramètres!$A$1:$I$89,3,0)*0.475*44/12</f>
        <v>3.7639019724945222E-17</v>
      </c>
      <c r="AX183" s="21">
        <f t="shared" si="166"/>
        <v>7.9632567974307449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209.99999999999977</v>
      </c>
      <c r="BE183" s="13">
        <f>BD183*VLOOKUP('Données projet'!$B$11,Paramètres!$A$1:$I$89,3,0)*VLOOKUP('Données projet'!$B$11,Paramètres!$A$1:$I$89,5,0)</f>
        <v>212.9399999999998</v>
      </c>
      <c r="BF183" s="13">
        <f t="shared" si="167"/>
        <v>52.577528895212772</v>
      </c>
      <c r="BG183" s="20">
        <f t="shared" si="168"/>
        <v>462.44302949249521</v>
      </c>
      <c r="BH183" s="59">
        <f t="shared" si="116"/>
        <v>755.77636282582853</v>
      </c>
      <c r="BI183" s="59">
        <f ca="1">AVERAGE(OFFSET($BH$3,0,0,'Données projet'!$E$11+1,1))-AVERAGE(OFFSET($H$3,0,0,'Données projet'!$E$11+1,1))</f>
        <v>183.74583738362492</v>
      </c>
      <c r="BJ183" s="59">
        <f t="shared" si="146"/>
        <v>46.344307013926596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15.663069531790011</v>
      </c>
      <c r="BQ183" s="21">
        <f>EXP(-LN(2)/25)*BQ182+(1-EXP(-LN(2)/25))/(LN(2)/25)*Calculateur!BL183*Calculateur!BN183*VLOOKUP('Données projet'!$B$11,Paramètres!$A$1:$I$89,3,0)*0.475*44/12</f>
        <v>0.44515500249056439</v>
      </c>
      <c r="BR183" s="21">
        <f>EXP(-LN(2)/2)*BR182+(1-EXP(-LN(2)/2))/(LN(2)/2)*BL183*BO183*VLOOKUP('Données projet'!$B$11,Paramètres!$A$1:$I$89,3,0)*0.475*44/12</f>
        <v>2.1225603709299808E-8</v>
      </c>
      <c r="BS183" s="22">
        <f t="shared" si="169"/>
        <v>16.10822455550618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789.00000000000045</v>
      </c>
      <c r="BZ183" s="13">
        <f>BY183*VLOOKUP('Données projet'!$B$12,Paramètres!$A$1:$I$89,3,0)*VLOOKUP('Données projet'!$B$12,Paramètres!$A$1:$I$89,5,0)</f>
        <v>348.73800000000023</v>
      </c>
      <c r="CA183" s="13">
        <f t="shared" si="170"/>
        <v>81.302597726165047</v>
      </c>
      <c r="CB183" s="20">
        <f t="shared" si="171"/>
        <v>748.98737437307125</v>
      </c>
      <c r="CC183" s="59">
        <f t="shared" si="119"/>
        <v>1042.3207077064046</v>
      </c>
      <c r="CD183" s="59">
        <f ca="1">AVERAGE(OFFSET($CC$3,0,0,'Données projet'!$E$12+1,1))-AVERAGE(OFFSET($H$3,0,0,'Données projet'!$E$12+1,1))</f>
        <v>333.00091572040611</v>
      </c>
      <c r="CE183" s="59">
        <f t="shared" si="148"/>
        <v>267.06874181561398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7.9619041010545102</v>
      </c>
      <c r="CL183" s="21">
        <f>EXP(-LN(2)/25)*CL182+(1-EXP(-LN(2)/25))/(LN(2)/25)*Calculateur!CG183*Calculateur!CI183*VLOOKUP('Données projet'!$B$12,Paramètres!$A$1:$I$89,3,0)*0.475*44/12</f>
        <v>1.5054262698340082</v>
      </c>
      <c r="CM183" s="21">
        <f>EXP(-LN(2)/2)*CM182+(1-EXP(-LN(2)/2))/(LN(2)/2)*CG183*CJ183*VLOOKUP('Données projet'!$B$12,Paramètres!$A$1:$I$89,3,0)*0.475*44/12</f>
        <v>1.7709166984029939E-15</v>
      </c>
      <c r="CN183" s="22">
        <f t="shared" si="172"/>
        <v>9.4673303708885204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1">
        <f t="shared" si="140"/>
        <v>34.621622444664645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67">
        <f t="shared" si="110"/>
        <v>584.76784909112348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229</v>
      </c>
      <c r="O184" s="13">
        <f>N184*VLOOKUP('Données projet'!$B$9,Paramètres!$A$1:$I$89,3,0)*VLOOKUP('Données projet'!$B$9,Paramètres!$A$1:$I$89,5,0)</f>
        <v>136.94200000000001</v>
      </c>
      <c r="P184" s="13">
        <f t="shared" si="141"/>
        <v>35.595562742420903</v>
      </c>
      <c r="Q184" s="20">
        <f t="shared" si="162"/>
        <v>300.50292177638306</v>
      </c>
      <c r="R184" s="59">
        <f t="shared" si="109"/>
        <v>593.83625510971638</v>
      </c>
      <c r="S184" s="59">
        <f ca="1">AVERAGE(OFFSET($R$3,0,0,'Données projet'!$E$9+1,1))-AVERAGE(OFFSET($H$3,0,0,'Données projet'!$E$9+1,1))</f>
        <v>125.14227069357082</v>
      </c>
      <c r="T184" s="59">
        <f t="shared" si="142"/>
        <v>193.39407925063165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1.9631750522055933</v>
      </c>
      <c r="AA184" s="21">
        <f>EXP(-LN(2)/25)*AA183+(1-EXP(-LN(2)/25))/(LN(2)/25)*Calculateur!V184*Calculateur!X184*VLOOKUP('Données projet'!$B$9,Paramètres!$A$1:$I$89,3,0)*0.475*44/12</f>
        <v>0.45470186943286406</v>
      </c>
      <c r="AB184" s="21">
        <f>EXP(-LN(2)/2)*AB183+(1-EXP(-LN(2)/2))/(LN(2)/2)*V184*Y184*VLOOKUP('Données projet'!$B$9,Paramètres!$A$1:$I$89,3,0)*0.475*44/12</f>
        <v>9.101951850512164E-19</v>
      </c>
      <c r="AC184" s="22">
        <f t="shared" si="163"/>
        <v>2.4178769216384572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-5.999999999994543E-2</v>
      </c>
      <c r="AJ184" s="13">
        <f>AI184*VLOOKUP('Données projet'!$B$10,Paramètres!$A$1:$I$89,3,0)*VLOOKUP('Données projet'!$B$10,Paramètres!$A$1:$I$89,5,0)</f>
        <v>-2.8079999999974462E-2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74.573470247551825</v>
      </c>
      <c r="AO184" s="59">
        <f t="shared" si="144"/>
        <v>122.43655207772224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6.6395206558483313</v>
      </c>
      <c r="AV184" s="21">
        <f>EXP(-LN(2)/25)*AV183+(1-EXP(-LN(2)/25))/(LN(2)/25)*Calculateur!AQ184*Calculateur!AS184*VLOOKUP('Données projet'!$B$10,Paramètres!$A$1:$I$89,3,0)*0.475*44/12</f>
        <v>1.1583688613095109</v>
      </c>
      <c r="AW184" s="21">
        <f>EXP(-LN(2)/2)*AW183+(1-EXP(-LN(2)/2))/(LN(2)/2)*AQ184*AT184*VLOOKUP('Données projet'!$B$10,Paramètres!$A$1:$I$89,3,0)*0.475*44/12</f>
        <v>2.6614806084722988E-17</v>
      </c>
      <c r="AX184" s="21">
        <f t="shared" si="166"/>
        <v>7.7978895171578424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209.99999999999977</v>
      </c>
      <c r="BE184" s="13">
        <f>BD184*VLOOKUP('Données projet'!$B$11,Paramètres!$A$1:$I$89,3,0)*VLOOKUP('Données projet'!$B$11,Paramètres!$A$1:$I$89,5,0)</f>
        <v>212.9399999999998</v>
      </c>
      <c r="BF184" s="13">
        <f t="shared" si="167"/>
        <v>52.577528895212772</v>
      </c>
      <c r="BG184" s="20">
        <f t="shared" si="168"/>
        <v>462.44302949249521</v>
      </c>
      <c r="BH184" s="59">
        <f t="shared" si="116"/>
        <v>755.77636282582853</v>
      </c>
      <c r="BI184" s="59">
        <f ca="1">AVERAGE(OFFSET($BH$3,0,0,'Données projet'!$E$11+1,1))-AVERAGE(OFFSET($H$3,0,0,'Données projet'!$E$11+1,1))</f>
        <v>183.74583738362492</v>
      </c>
      <c r="BJ184" s="59">
        <f t="shared" si="146"/>
        <v>46.344307013926596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15.35592629180069</v>
      </c>
      <c r="BQ184" s="21">
        <f>EXP(-LN(2)/25)*BQ183+(1-EXP(-LN(2)/25))/(LN(2)/25)*Calculateur!BL184*Calculateur!BN184*VLOOKUP('Données projet'!$B$11,Paramètres!$A$1:$I$89,3,0)*0.475*44/12</f>
        <v>0.43298221553777572</v>
      </c>
      <c r="BR184" s="21">
        <f>EXP(-LN(2)/2)*BR183+(1-EXP(-LN(2)/2))/(LN(2)/2)*BL184*BO184*VLOOKUP('Données projet'!$B$11,Paramètres!$A$1:$I$89,3,0)*0.475*44/12</f>
        <v>1.5008768317624231E-8</v>
      </c>
      <c r="BS184" s="22">
        <f t="shared" si="169"/>
        <v>15.788908522347233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789.00000000000045</v>
      </c>
      <c r="BZ184" s="13">
        <f>BY184*VLOOKUP('Données projet'!$B$12,Paramètres!$A$1:$I$89,3,0)*VLOOKUP('Données projet'!$B$12,Paramètres!$A$1:$I$89,5,0)</f>
        <v>348.73800000000023</v>
      </c>
      <c r="CA184" s="13">
        <f t="shared" si="170"/>
        <v>81.302597726165047</v>
      </c>
      <c r="CB184" s="20">
        <f t="shared" si="171"/>
        <v>748.98737437307125</v>
      </c>
      <c r="CC184" s="59">
        <f t="shared" si="119"/>
        <v>1042.3207077064046</v>
      </c>
      <c r="CD184" s="59">
        <f ca="1">AVERAGE(OFFSET($CC$3,0,0,'Données projet'!$E$12+1,1))-AVERAGE(OFFSET($H$3,0,0,'Données projet'!$E$12+1,1))</f>
        <v>333.00091572040611</v>
      </c>
      <c r="CE184" s="59">
        <f t="shared" si="148"/>
        <v>267.06874181561398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7.8057760179148152</v>
      </c>
      <c r="CL184" s="21">
        <f>EXP(-LN(2)/25)*CL183+(1-EXP(-LN(2)/25))/(LN(2)/25)*Calculateur!CG184*Calculateur!CI184*VLOOKUP('Données projet'!$B$12,Paramètres!$A$1:$I$89,3,0)*0.475*44/12</f>
        <v>1.4642603093184703</v>
      </c>
      <c r="CM184" s="21">
        <f>EXP(-LN(2)/2)*CM183+(1-EXP(-LN(2)/2))/(LN(2)/2)*CG184*CJ184*VLOOKUP('Données projet'!$B$12,Paramètres!$A$1:$I$89,3,0)*0.475*44/12</f>
        <v>1.2522272063572491E-15</v>
      </c>
      <c r="CN184" s="22">
        <f t="shared" si="172"/>
        <v>9.2700363272332869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1">
        <f t="shared" si="140"/>
        <v>34.790582936930399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67">
        <f t="shared" si="110"/>
        <v>586.33911194848645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229</v>
      </c>
      <c r="O185" s="13">
        <f>N185*VLOOKUP('Données projet'!$B$9,Paramètres!$A$1:$I$89,3,0)*VLOOKUP('Données projet'!$B$9,Paramètres!$A$1:$I$89,5,0)</f>
        <v>136.94200000000001</v>
      </c>
      <c r="P185" s="13">
        <f t="shared" si="141"/>
        <v>35.595562742420903</v>
      </c>
      <c r="Q185" s="20">
        <f t="shared" si="162"/>
        <v>300.50292177638306</v>
      </c>
      <c r="R185" s="59">
        <f t="shared" si="109"/>
        <v>593.83625510971638</v>
      </c>
      <c r="S185" s="59">
        <f ca="1">AVERAGE(OFFSET($R$3,0,0,'Données projet'!$E$9+1,1))-AVERAGE(OFFSET($H$3,0,0,'Données projet'!$E$9+1,1))</f>
        <v>125.14227069357082</v>
      </c>
      <c r="T185" s="59">
        <f t="shared" si="142"/>
        <v>193.39407925063165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1.9246783868503883</v>
      </c>
      <c r="AA185" s="21">
        <f>EXP(-LN(2)/25)*AA184+(1-EXP(-LN(2)/25))/(LN(2)/25)*Calculateur!V185*Calculateur!X185*VLOOKUP('Données projet'!$B$9,Paramètres!$A$1:$I$89,3,0)*0.475*44/12</f>
        <v>0.44226802290149031</v>
      </c>
      <c r="AB185" s="21">
        <f>EXP(-LN(2)/2)*AB184+(1-EXP(-LN(2)/2))/(LN(2)/2)*V185*Y185*VLOOKUP('Données projet'!$B$9,Paramètres!$A$1:$I$89,3,0)*0.475*44/12</f>
        <v>6.4360518755305962E-19</v>
      </c>
      <c r="AC185" s="22">
        <f t="shared" si="163"/>
        <v>2.3669464097518786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-5.999999999994543E-2</v>
      </c>
      <c r="AJ185" s="13">
        <f>AI185*VLOOKUP('Données projet'!$B$10,Paramètres!$A$1:$I$89,3,0)*VLOOKUP('Données projet'!$B$10,Paramètres!$A$1:$I$89,5,0)</f>
        <v>-2.8079999999974462E-2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74.573470247551825</v>
      </c>
      <c r="AO185" s="59">
        <f t="shared" si="144"/>
        <v>122.43655207772224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6.5093237054948698</v>
      </c>
      <c r="AV185" s="21">
        <f>EXP(-LN(2)/25)*AV184+(1-EXP(-LN(2)/25))/(LN(2)/25)*Calculateur!AQ185*Calculateur!AS185*VLOOKUP('Données projet'!$B$10,Paramètres!$A$1:$I$89,3,0)*0.475*44/12</f>
        <v>1.1266932038810313</v>
      </c>
      <c r="AW185" s="21">
        <f>EXP(-LN(2)/2)*AW184+(1-EXP(-LN(2)/2))/(LN(2)/2)*AQ185*AT185*VLOOKUP('Données projet'!$B$10,Paramètres!$A$1:$I$89,3,0)*0.475*44/12</f>
        <v>1.8819509862472611E-17</v>
      </c>
      <c r="AX185" s="21">
        <f t="shared" si="166"/>
        <v>7.6360169093759014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209.99999999999977</v>
      </c>
      <c r="BE185" s="13">
        <f>BD185*VLOOKUP('Données projet'!$B$11,Paramètres!$A$1:$I$89,3,0)*VLOOKUP('Données projet'!$B$11,Paramètres!$A$1:$I$89,5,0)</f>
        <v>212.9399999999998</v>
      </c>
      <c r="BF185" s="13">
        <f t="shared" si="167"/>
        <v>52.577528895212772</v>
      </c>
      <c r="BG185" s="20">
        <f t="shared" si="168"/>
        <v>462.44302949249521</v>
      </c>
      <c r="BH185" s="59">
        <f t="shared" si="116"/>
        <v>755.77636282582853</v>
      </c>
      <c r="BI185" s="59">
        <f ca="1">AVERAGE(OFFSET($BH$3,0,0,'Données projet'!$E$11+1,1))-AVERAGE(OFFSET($H$3,0,0,'Données projet'!$E$11+1,1))</f>
        <v>183.74583738362492</v>
      </c>
      <c r="BJ185" s="59">
        <f t="shared" si="146"/>
        <v>46.344307013926596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15.054805943408683</v>
      </c>
      <c r="BQ185" s="21">
        <f>EXP(-LN(2)/25)*BQ184+(1-EXP(-LN(2)/25))/(LN(2)/25)*Calculateur!BL185*Calculateur!BN185*VLOOKUP('Données projet'!$B$11,Paramètres!$A$1:$I$89,3,0)*0.475*44/12</f>
        <v>0.42114229408435011</v>
      </c>
      <c r="BR185" s="21">
        <f>EXP(-LN(2)/2)*BR184+(1-EXP(-LN(2)/2))/(LN(2)/2)*BL185*BO185*VLOOKUP('Données projet'!$B$11,Paramètres!$A$1:$I$89,3,0)*0.475*44/12</f>
        <v>1.0612801854649904E-8</v>
      </c>
      <c r="BS185" s="22">
        <f t="shared" si="169"/>
        <v>15.475948248105833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789.00000000000045</v>
      </c>
      <c r="BZ185" s="13">
        <f>BY185*VLOOKUP('Données projet'!$B$12,Paramètres!$A$1:$I$89,3,0)*VLOOKUP('Données projet'!$B$12,Paramètres!$A$1:$I$89,5,0)</f>
        <v>348.73800000000023</v>
      </c>
      <c r="CA185" s="13">
        <f t="shared" si="170"/>
        <v>81.302597726165047</v>
      </c>
      <c r="CB185" s="20">
        <f t="shared" si="171"/>
        <v>748.98737437307125</v>
      </c>
      <c r="CC185" s="59">
        <f t="shared" si="119"/>
        <v>1042.3207077064046</v>
      </c>
      <c r="CD185" s="59">
        <f ca="1">AVERAGE(OFFSET($CC$3,0,0,'Données projet'!$E$12+1,1))-AVERAGE(OFFSET($H$3,0,0,'Données projet'!$E$12+1,1))</f>
        <v>333.00091572040611</v>
      </c>
      <c r="CE185" s="59">
        <f t="shared" si="148"/>
        <v>267.06874181561398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7.652709511256762</v>
      </c>
      <c r="CL185" s="21">
        <f>EXP(-LN(2)/25)*CL184+(1-EXP(-LN(2)/25))/(LN(2)/25)*Calculateur!CG185*Calculateur!CI185*VLOOKUP('Données projet'!$B$12,Paramètres!$A$1:$I$89,3,0)*0.475*44/12</f>
        <v>1.4242200341580538</v>
      </c>
      <c r="CM185" s="21">
        <f>EXP(-LN(2)/2)*CM184+(1-EXP(-LN(2)/2))/(LN(2)/2)*CG185*CJ185*VLOOKUP('Données projet'!$B$12,Paramètres!$A$1:$I$89,3,0)*0.475*44/12</f>
        <v>8.8545834920149714E-16</v>
      </c>
      <c r="CN185" s="22">
        <f t="shared" si="172"/>
        <v>9.0769295454148153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1">
        <f t="shared" si="140"/>
        <v>34.959435402722669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67">
        <f t="shared" si="110"/>
        <v>587.91018665974138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229</v>
      </c>
      <c r="O186" s="13">
        <f>N186*VLOOKUP('Données projet'!$B$9,Paramètres!$A$1:$I$89,3,0)*VLOOKUP('Données projet'!$B$9,Paramètres!$A$1:$I$89,5,0)</f>
        <v>136.94200000000001</v>
      </c>
      <c r="P186" s="13">
        <f t="shared" si="141"/>
        <v>35.595562742420903</v>
      </c>
      <c r="Q186" s="20">
        <f t="shared" si="162"/>
        <v>300.50292177638306</v>
      </c>
      <c r="R186" s="59">
        <f t="shared" si="109"/>
        <v>593.83625510971638</v>
      </c>
      <c r="S186" s="59">
        <f ca="1">AVERAGE(OFFSET($R$3,0,0,'Données projet'!$E$9+1,1))-AVERAGE(OFFSET($H$3,0,0,'Données projet'!$E$9+1,1))</f>
        <v>125.14227069357082</v>
      </c>
      <c r="T186" s="59">
        <f t="shared" si="142"/>
        <v>193.39407925063165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1.8869366176221514</v>
      </c>
      <c r="AA186" s="21">
        <f>EXP(-LN(2)/25)*AA185+(1-EXP(-LN(2)/25))/(LN(2)/25)*Calculateur!V186*Calculateur!X186*VLOOKUP('Données projet'!$B$9,Paramètres!$A$1:$I$89,3,0)*0.475*44/12</f>
        <v>0.43017418055738454</v>
      </c>
      <c r="AB186" s="21">
        <f>EXP(-LN(2)/2)*AB185+(1-EXP(-LN(2)/2))/(LN(2)/2)*V186*Y186*VLOOKUP('Données projet'!$B$9,Paramètres!$A$1:$I$89,3,0)*0.475*44/12</f>
        <v>4.550975925256082E-19</v>
      </c>
      <c r="AC186" s="22">
        <f t="shared" si="163"/>
        <v>2.3171107981795358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-5.999999999994543E-2</v>
      </c>
      <c r="AJ186" s="13">
        <f>AI186*VLOOKUP('Données projet'!$B$10,Paramètres!$A$1:$I$89,3,0)*VLOOKUP('Données projet'!$B$10,Paramètres!$A$1:$I$89,5,0)</f>
        <v>-2.8079999999974462E-2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74.573470247551825</v>
      </c>
      <c r="AO186" s="59">
        <f t="shared" si="144"/>
        <v>122.43655207772224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6.3816798379255415</v>
      </c>
      <c r="AV186" s="21">
        <f>EXP(-LN(2)/25)*AV185+(1-EXP(-LN(2)/25))/(LN(2)/25)*Calculateur!AQ186*Calculateur!AS186*VLOOKUP('Données projet'!$B$10,Paramètres!$A$1:$I$89,3,0)*0.475*44/12</f>
        <v>1.095883718970684</v>
      </c>
      <c r="AW186" s="21">
        <f>EXP(-LN(2)/2)*AW185+(1-EXP(-LN(2)/2))/(LN(2)/2)*AQ186*AT186*VLOOKUP('Données projet'!$B$10,Paramètres!$A$1:$I$89,3,0)*0.475*44/12</f>
        <v>1.3307403042361494E-17</v>
      </c>
      <c r="AX186" s="21">
        <f t="shared" si="166"/>
        <v>7.4775635568962251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209.99999999999977</v>
      </c>
      <c r="BE186" s="13">
        <f>BD186*VLOOKUP('Données projet'!$B$11,Paramètres!$A$1:$I$89,3,0)*VLOOKUP('Données projet'!$B$11,Paramètres!$A$1:$I$89,5,0)</f>
        <v>212.9399999999998</v>
      </c>
      <c r="BF186" s="13">
        <f t="shared" si="167"/>
        <v>52.577528895212772</v>
      </c>
      <c r="BG186" s="20">
        <f t="shared" si="168"/>
        <v>462.44302949249521</v>
      </c>
      <c r="BH186" s="59">
        <f t="shared" si="116"/>
        <v>755.77636282582853</v>
      </c>
      <c r="BI186" s="59">
        <f ca="1">AVERAGE(OFFSET($BH$3,0,0,'Données projet'!$E$11+1,1))-AVERAGE(OFFSET($H$3,0,0,'Données projet'!$E$11+1,1))</f>
        <v>183.74583738362492</v>
      </c>
      <c r="BJ186" s="59">
        <f t="shared" si="146"/>
        <v>46.344307013926596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14.759590381383365</v>
      </c>
      <c r="BQ186" s="21">
        <f>EXP(-LN(2)/25)*BQ185+(1-EXP(-LN(2)/25))/(LN(2)/25)*Calculateur!BL186*Calculateur!BN186*VLOOKUP('Données projet'!$B$11,Paramètres!$A$1:$I$89,3,0)*0.475*44/12</f>
        <v>0.40962613590570285</v>
      </c>
      <c r="BR186" s="21">
        <f>EXP(-LN(2)/2)*BR185+(1-EXP(-LN(2)/2))/(LN(2)/2)*BL186*BO186*VLOOKUP('Données projet'!$B$11,Paramètres!$A$1:$I$89,3,0)*0.475*44/12</f>
        <v>7.5043841588121153E-9</v>
      </c>
      <c r="BS186" s="22">
        <f t="shared" si="169"/>
        <v>15.169216524793452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789.00000000000045</v>
      </c>
      <c r="BZ186" s="13">
        <f>BY186*VLOOKUP('Données projet'!$B$12,Paramètres!$A$1:$I$89,3,0)*VLOOKUP('Données projet'!$B$12,Paramètres!$A$1:$I$89,5,0)</f>
        <v>348.73800000000023</v>
      </c>
      <c r="CA186" s="13">
        <f t="shared" si="170"/>
        <v>81.302597726165047</v>
      </c>
      <c r="CB186" s="20">
        <f t="shared" si="171"/>
        <v>748.98737437307125</v>
      </c>
      <c r="CC186" s="59">
        <f t="shared" si="119"/>
        <v>1042.3207077064046</v>
      </c>
      <c r="CD186" s="59">
        <f ca="1">AVERAGE(OFFSET($CC$3,0,0,'Données projet'!$E$12+1,1))-AVERAGE(OFFSET($H$3,0,0,'Données projet'!$E$12+1,1))</f>
        <v>333.00091572040611</v>
      </c>
      <c r="CE186" s="59">
        <f t="shared" si="148"/>
        <v>267.06874181561398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7.5026445454329229</v>
      </c>
      <c r="CL186" s="21">
        <f>EXP(-LN(2)/25)*CL185+(1-EXP(-LN(2)/25))/(LN(2)/25)*Calculateur!CG186*Calculateur!CI186*VLOOKUP('Données projet'!$B$12,Paramètres!$A$1:$I$89,3,0)*0.475*44/12</f>
        <v>1.3852746624275252</v>
      </c>
      <c r="CM186" s="21">
        <f>EXP(-LN(2)/2)*CM185+(1-EXP(-LN(2)/2))/(LN(2)/2)*CG186*CJ186*VLOOKUP('Données projet'!$B$12,Paramètres!$A$1:$I$89,3,0)*0.475*44/12</f>
        <v>6.2611360317862467E-16</v>
      </c>
      <c r="CN186" s="22">
        <f t="shared" si="172"/>
        <v>8.887919207860449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1">
        <f t="shared" si="140"/>
        <v>35.12818050085901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67">
        <f t="shared" si="110"/>
        <v>589.48107437232875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229</v>
      </c>
      <c r="O187" s="13">
        <f>N187*VLOOKUP('Données projet'!$B$9,Paramètres!$A$1:$I$89,3,0)*VLOOKUP('Données projet'!$B$9,Paramètres!$A$1:$I$89,5,0)</f>
        <v>136.94200000000001</v>
      </c>
      <c r="P187" s="13">
        <f t="shared" si="141"/>
        <v>35.595562742420903</v>
      </c>
      <c r="Q187" s="20">
        <f t="shared" si="162"/>
        <v>300.50292177638306</v>
      </c>
      <c r="R187" s="59">
        <f t="shared" si="109"/>
        <v>593.83625510971638</v>
      </c>
      <c r="S187" s="59">
        <f ca="1">AVERAGE(OFFSET($R$3,0,0,'Données projet'!$E$9+1,1))-AVERAGE(OFFSET($H$3,0,0,'Données projet'!$E$9+1,1))</f>
        <v>125.14227069357082</v>
      </c>
      <c r="T187" s="59">
        <f t="shared" si="142"/>
        <v>193.39407925063165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1.849934941468274</v>
      </c>
      <c r="AA187" s="21">
        <f>EXP(-LN(2)/25)*AA186+(1-EXP(-LN(2)/25))/(LN(2)/25)*Calculateur!V187*Calculateur!X187*VLOOKUP('Données projet'!$B$9,Paramètres!$A$1:$I$89,3,0)*0.475*44/12</f>
        <v>0.41841104496816589</v>
      </c>
      <c r="AB187" s="21">
        <f>EXP(-LN(2)/2)*AB186+(1-EXP(-LN(2)/2))/(LN(2)/2)*V187*Y187*VLOOKUP('Données projet'!$B$9,Paramètres!$A$1:$I$89,3,0)*0.475*44/12</f>
        <v>3.2180259377652981E-19</v>
      </c>
      <c r="AC187" s="22">
        <f t="shared" si="163"/>
        <v>2.2683459864364397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-5.999999999994543E-2</v>
      </c>
      <c r="AJ187" s="13">
        <f>AI187*VLOOKUP('Données projet'!$B$10,Paramètres!$A$1:$I$89,3,0)*VLOOKUP('Données projet'!$B$10,Paramètres!$A$1:$I$89,5,0)</f>
        <v>-2.8079999999974462E-2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74.573470247551825</v>
      </c>
      <c r="AO187" s="59">
        <f t="shared" si="144"/>
        <v>122.43655207772224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6.2565389887441762</v>
      </c>
      <c r="AV187" s="21">
        <f>EXP(-LN(2)/25)*AV186+(1-EXP(-LN(2)/25))/(LN(2)/25)*Calculateur!AQ187*Calculateur!AS187*VLOOKUP('Données projet'!$B$10,Paramètres!$A$1:$I$89,3,0)*0.475*44/12</f>
        <v>1.0659167210454106</v>
      </c>
      <c r="AW187" s="21">
        <f>EXP(-LN(2)/2)*AW186+(1-EXP(-LN(2)/2))/(LN(2)/2)*AQ187*AT187*VLOOKUP('Données projet'!$B$10,Paramètres!$A$1:$I$89,3,0)*0.475*44/12</f>
        <v>9.4097549312363055E-18</v>
      </c>
      <c r="AX187" s="21">
        <f t="shared" si="166"/>
        <v>7.3224557097895868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209.99999999999977</v>
      </c>
      <c r="BE187" s="13">
        <f>BD187*VLOOKUP('Données projet'!$B$11,Paramètres!$A$1:$I$89,3,0)*VLOOKUP('Données projet'!$B$11,Paramètres!$A$1:$I$89,5,0)</f>
        <v>212.9399999999998</v>
      </c>
      <c r="BF187" s="13">
        <f t="shared" si="167"/>
        <v>52.577528895212772</v>
      </c>
      <c r="BG187" s="20">
        <f t="shared" si="168"/>
        <v>462.44302949249521</v>
      </c>
      <c r="BH187" s="59">
        <f t="shared" si="116"/>
        <v>755.77636282582853</v>
      </c>
      <c r="BI187" s="59">
        <f ca="1">AVERAGE(OFFSET($BH$3,0,0,'Données projet'!$E$11+1,1))-AVERAGE(OFFSET($H$3,0,0,'Données projet'!$E$11+1,1))</f>
        <v>183.74583738362492</v>
      </c>
      <c r="BJ187" s="59">
        <f t="shared" si="146"/>
        <v>46.344307013926596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14.47016381646565</v>
      </c>
      <c r="BQ187" s="21">
        <f>EXP(-LN(2)/25)*BQ186+(1-EXP(-LN(2)/25))/(LN(2)/25)*Calculateur!BL187*Calculateur!BN187*VLOOKUP('Données projet'!$B$11,Paramètres!$A$1:$I$89,3,0)*0.475*44/12</f>
        <v>0.39842488767805911</v>
      </c>
      <c r="BR187" s="21">
        <f>EXP(-LN(2)/2)*BR186+(1-EXP(-LN(2)/2))/(LN(2)/2)*BL187*BO187*VLOOKUP('Données projet'!$B$11,Paramètres!$A$1:$I$89,3,0)*0.475*44/12</f>
        <v>5.3064009273249521E-9</v>
      </c>
      <c r="BS187" s="22">
        <f t="shared" si="169"/>
        <v>14.86858870945011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789.00000000000045</v>
      </c>
      <c r="BZ187" s="13">
        <f>BY187*VLOOKUP('Données projet'!$B$12,Paramètres!$A$1:$I$89,3,0)*VLOOKUP('Données projet'!$B$12,Paramètres!$A$1:$I$89,5,0)</f>
        <v>348.73800000000023</v>
      </c>
      <c r="CA187" s="13">
        <f t="shared" si="170"/>
        <v>81.302597726165047</v>
      </c>
      <c r="CB187" s="20">
        <f t="shared" si="171"/>
        <v>748.98737437307125</v>
      </c>
      <c r="CC187" s="59">
        <f t="shared" si="119"/>
        <v>1042.3207077064046</v>
      </c>
      <c r="CD187" s="59">
        <f ca="1">AVERAGE(OFFSET($CC$3,0,0,'Données projet'!$E$12+1,1))-AVERAGE(OFFSET($H$3,0,0,'Données projet'!$E$12+1,1))</f>
        <v>333.00091572040611</v>
      </c>
      <c r="CE187" s="59">
        <f t="shared" si="148"/>
        <v>267.06874181561398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7.3555222620582974</v>
      </c>
      <c r="CL187" s="21">
        <f>EXP(-LN(2)/25)*CL186+(1-EXP(-LN(2)/25))/(LN(2)/25)*Calculateur!CG187*Calculateur!CI187*VLOOKUP('Données projet'!$B$12,Paramètres!$A$1:$I$89,3,0)*0.475*44/12</f>
        <v>1.3473942539350161</v>
      </c>
      <c r="CM187" s="21">
        <f>EXP(-LN(2)/2)*CM186+(1-EXP(-LN(2)/2))/(LN(2)/2)*CG187*CJ187*VLOOKUP('Données projet'!$B$12,Paramètres!$A$1:$I$89,3,0)*0.475*44/12</f>
        <v>4.4272917460074862E-16</v>
      </c>
      <c r="CN187" s="22">
        <f t="shared" si="172"/>
        <v>8.702916515993314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1">
        <f t="shared" si="140"/>
        <v>35.296818882581405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67">
        <f t="shared" si="110"/>
        <v>591.0517762204953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229</v>
      </c>
      <c r="O188" s="13">
        <f>N188*VLOOKUP('Données projet'!$B$9,Paramètres!$A$1:$I$89,3,0)*VLOOKUP('Données projet'!$B$9,Paramètres!$A$1:$I$89,5,0)</f>
        <v>136.94200000000001</v>
      </c>
      <c r="P188" s="13">
        <f t="shared" si="141"/>
        <v>35.595562742420903</v>
      </c>
      <c r="Q188" s="20">
        <f t="shared" si="162"/>
        <v>300.50292177638306</v>
      </c>
      <c r="R188" s="59">
        <f t="shared" si="109"/>
        <v>593.83625510971638</v>
      </c>
      <c r="S188" s="59">
        <f ca="1">AVERAGE(OFFSET($R$3,0,0,'Données projet'!$E$9+1,1))-AVERAGE(OFFSET($H$3,0,0,'Données projet'!$E$9+1,1))</f>
        <v>125.14227069357082</v>
      </c>
      <c r="T188" s="59">
        <f t="shared" si="142"/>
        <v>193.39407925063165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1.8136588456149803</v>
      </c>
      <c r="AA188" s="21">
        <f>EXP(-LN(2)/25)*AA187+(1-EXP(-LN(2)/25))/(LN(2)/25)*Calculateur!V188*Calculateur!X188*VLOOKUP('Données projet'!$B$9,Paramètres!$A$1:$I$89,3,0)*0.475*44/12</f>
        <v>0.40696957294023084</v>
      </c>
      <c r="AB188" s="21">
        <f>EXP(-LN(2)/2)*AB187+(1-EXP(-LN(2)/2))/(LN(2)/2)*V188*Y188*VLOOKUP('Données projet'!$B$9,Paramètres!$A$1:$I$89,3,0)*0.475*44/12</f>
        <v>2.275487962628041E-19</v>
      </c>
      <c r="AC188" s="22">
        <f t="shared" si="163"/>
        <v>2.220628418555211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-5.999999999994543E-2</v>
      </c>
      <c r="AJ188" s="13">
        <f>AI188*VLOOKUP('Données projet'!$B$10,Paramètres!$A$1:$I$89,3,0)*VLOOKUP('Données projet'!$B$10,Paramètres!$A$1:$I$89,5,0)</f>
        <v>-2.8079999999974462E-2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74.573470247551825</v>
      </c>
      <c r="AO188" s="59">
        <f t="shared" si="144"/>
        <v>122.43655207772224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6.1338520752868764</v>
      </c>
      <c r="AV188" s="21">
        <f>EXP(-LN(2)/25)*AV187+(1-EXP(-LN(2)/25))/(LN(2)/25)*Calculateur!AQ188*Calculateur!AS188*VLOOKUP('Données projet'!$B$10,Paramètres!$A$1:$I$89,3,0)*0.475*44/12</f>
        <v>1.0367691722542995</v>
      </c>
      <c r="AW188" s="21">
        <f>EXP(-LN(2)/2)*AW187+(1-EXP(-LN(2)/2))/(LN(2)/2)*AQ188*AT188*VLOOKUP('Données projet'!$B$10,Paramètres!$A$1:$I$89,3,0)*0.475*44/12</f>
        <v>6.6537015211807469E-18</v>
      </c>
      <c r="AX188" s="21">
        <f t="shared" si="166"/>
        <v>7.1706212475411757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209.99999999999977</v>
      </c>
      <c r="BE188" s="13">
        <f>BD188*VLOOKUP('Données projet'!$B$11,Paramètres!$A$1:$I$89,3,0)*VLOOKUP('Données projet'!$B$11,Paramètres!$A$1:$I$89,5,0)</f>
        <v>212.9399999999998</v>
      </c>
      <c r="BF188" s="13">
        <f t="shared" si="167"/>
        <v>52.577528895212772</v>
      </c>
      <c r="BG188" s="20">
        <f t="shared" si="168"/>
        <v>462.44302949249521</v>
      </c>
      <c r="BH188" s="59">
        <f t="shared" si="116"/>
        <v>755.77636282582853</v>
      </c>
      <c r="BI188" s="59">
        <f ca="1">AVERAGE(OFFSET($BH$3,0,0,'Données projet'!$E$11+1,1))-AVERAGE(OFFSET($H$3,0,0,'Données projet'!$E$11+1,1))</f>
        <v>183.74583738362492</v>
      </c>
      <c r="BJ188" s="59">
        <f t="shared" si="146"/>
        <v>46.344307013926596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14.186412729953199</v>
      </c>
      <c r="BQ188" s="21">
        <f>EXP(-LN(2)/25)*BQ187+(1-EXP(-LN(2)/25))/(LN(2)/25)*Calculateur!BL188*Calculateur!BN188*VLOOKUP('Données projet'!$B$11,Paramètres!$A$1:$I$89,3,0)*0.475*44/12</f>
        <v>0.38752993817224834</v>
      </c>
      <c r="BR188" s="21">
        <f>EXP(-LN(2)/2)*BR187+(1-EXP(-LN(2)/2))/(LN(2)/2)*BL188*BO188*VLOOKUP('Données projet'!$B$11,Paramètres!$A$1:$I$89,3,0)*0.475*44/12</f>
        <v>3.7521920794060577E-9</v>
      </c>
      <c r="BS188" s="22">
        <f t="shared" si="169"/>
        <v>14.573942671877639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789.00000000000045</v>
      </c>
      <c r="BZ188" s="13">
        <f>BY188*VLOOKUP('Données projet'!$B$12,Paramètres!$A$1:$I$89,3,0)*VLOOKUP('Données projet'!$B$12,Paramètres!$A$1:$I$89,5,0)</f>
        <v>348.73800000000023</v>
      </c>
      <c r="CA188" s="13">
        <f t="shared" si="170"/>
        <v>81.302597726165047</v>
      </c>
      <c r="CB188" s="20">
        <f t="shared" si="171"/>
        <v>748.98737437307125</v>
      </c>
      <c r="CC188" s="59">
        <f t="shared" si="119"/>
        <v>1042.3207077064046</v>
      </c>
      <c r="CD188" s="59">
        <f ca="1">AVERAGE(OFFSET($CC$3,0,0,'Données projet'!$E$12+1,1))-AVERAGE(OFFSET($H$3,0,0,'Données projet'!$E$12+1,1))</f>
        <v>333.00091572040611</v>
      </c>
      <c r="CE188" s="59">
        <f t="shared" si="148"/>
        <v>267.06874181561398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7.2112849569249162</v>
      </c>
      <c r="CL188" s="21">
        <f>EXP(-LN(2)/25)*CL187+(1-EXP(-LN(2)/25))/(LN(2)/25)*Calculateur!CG188*Calculateur!CI188*VLOOKUP('Données projet'!$B$12,Paramètres!$A$1:$I$89,3,0)*0.475*44/12</f>
        <v>1.3105496872047788</v>
      </c>
      <c r="CM188" s="21">
        <f>EXP(-LN(2)/2)*CM187+(1-EXP(-LN(2)/2))/(LN(2)/2)*CG188*CJ188*VLOOKUP('Données projet'!$B$12,Paramètres!$A$1:$I$89,3,0)*0.475*44/12</f>
        <v>3.1305680158931238E-16</v>
      </c>
      <c r="CN188" s="22">
        <f t="shared" si="172"/>
        <v>8.5218346441296955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1">
        <f t="shared" si="140"/>
        <v>35.465351191683915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67">
        <f t="shared" si="110"/>
        <v>592.62229332551556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229</v>
      </c>
      <c r="O189" s="13">
        <f>N189*VLOOKUP('Données projet'!$B$9,Paramètres!$A$1:$I$89,3,0)*VLOOKUP('Données projet'!$B$9,Paramètres!$A$1:$I$89,5,0)</f>
        <v>136.94200000000001</v>
      </c>
      <c r="P189" s="13">
        <f t="shared" si="141"/>
        <v>35.595562742420903</v>
      </c>
      <c r="Q189" s="20">
        <f t="shared" si="162"/>
        <v>300.50292177638306</v>
      </c>
      <c r="R189" s="59">
        <f t="shared" si="109"/>
        <v>593.83625510971638</v>
      </c>
      <c r="S189" s="59">
        <f ca="1">AVERAGE(OFFSET($R$3,0,0,'Données projet'!$E$9+1,1))-AVERAGE(OFFSET($H$3,0,0,'Données projet'!$E$9+1,1))</f>
        <v>125.14227069357082</v>
      </c>
      <c r="T189" s="59">
        <f t="shared" si="142"/>
        <v>193.39407925063165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1.7780941018751359</v>
      </c>
      <c r="AA189" s="21">
        <f>EXP(-LN(2)/25)*AA188+(1-EXP(-LN(2)/25))/(LN(2)/25)*Calculateur!V189*Calculateur!X189*VLOOKUP('Données projet'!$B$9,Paramètres!$A$1:$I$89,3,0)*0.475*44/12</f>
        <v>0.39584096856658052</v>
      </c>
      <c r="AB189" s="21">
        <f>EXP(-LN(2)/2)*AB188+(1-EXP(-LN(2)/2))/(LN(2)/2)*V189*Y189*VLOOKUP('Données projet'!$B$9,Paramètres!$A$1:$I$89,3,0)*0.475*44/12</f>
        <v>1.609012968882649E-19</v>
      </c>
      <c r="AC189" s="22">
        <f t="shared" si="163"/>
        <v>2.1739350704417166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-5.999999999994543E-2</v>
      </c>
      <c r="AJ189" s="13">
        <f>AI189*VLOOKUP('Données projet'!$B$10,Paramètres!$A$1:$I$89,3,0)*VLOOKUP('Données projet'!$B$10,Paramètres!$A$1:$I$89,5,0)</f>
        <v>-2.8079999999974462E-2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74.573470247551825</v>
      </c>
      <c r="AO189" s="59">
        <f t="shared" si="144"/>
        <v>122.43655207772224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6.0135709773708461</v>
      </c>
      <c r="AV189" s="21">
        <f>EXP(-LN(2)/25)*AV188+(1-EXP(-LN(2)/25))/(LN(2)/25)*Calculateur!AQ189*Calculateur!AS189*VLOOKUP('Données projet'!$B$10,Paramètres!$A$1:$I$89,3,0)*0.475*44/12</f>
        <v>1.0084186647176845</v>
      </c>
      <c r="AW189" s="21">
        <f>EXP(-LN(2)/2)*AW188+(1-EXP(-LN(2)/2))/(LN(2)/2)*AQ189*AT189*VLOOKUP('Données projet'!$B$10,Paramètres!$A$1:$I$89,3,0)*0.475*44/12</f>
        <v>4.7048774656181527E-18</v>
      </c>
      <c r="AX189" s="21">
        <f t="shared" si="166"/>
        <v>7.0219896420885304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209.99999999999977</v>
      </c>
      <c r="BE189" s="13">
        <f>BD189*VLOOKUP('Données projet'!$B$11,Paramètres!$A$1:$I$89,3,0)*VLOOKUP('Données projet'!$B$11,Paramètres!$A$1:$I$89,5,0)</f>
        <v>212.9399999999998</v>
      </c>
      <c r="BF189" s="13">
        <f t="shared" si="167"/>
        <v>52.577528895212772</v>
      </c>
      <c r="BG189" s="20">
        <f t="shared" si="168"/>
        <v>462.44302949249521</v>
      </c>
      <c r="BH189" s="59">
        <f t="shared" si="116"/>
        <v>755.77636282582853</v>
      </c>
      <c r="BI189" s="59">
        <f ca="1">AVERAGE(OFFSET($BH$3,0,0,'Données projet'!$E$11+1,1))-AVERAGE(OFFSET($H$3,0,0,'Données projet'!$E$11+1,1))</f>
        <v>183.74583738362492</v>
      </c>
      <c r="BJ189" s="59">
        <f t="shared" si="146"/>
        <v>46.344307013926596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13.908225829176184</v>
      </c>
      <c r="BQ189" s="21">
        <f>EXP(-LN(2)/25)*BQ188+(1-EXP(-LN(2)/25))/(LN(2)/25)*Calculateur!BL189*Calculateur!BN189*VLOOKUP('Données projet'!$B$11,Paramètres!$A$1:$I$89,3,0)*0.475*44/12</f>
        <v>0.37693291163361448</v>
      </c>
      <c r="BR189" s="21">
        <f>EXP(-LN(2)/2)*BR188+(1-EXP(-LN(2)/2))/(LN(2)/2)*BL189*BO189*VLOOKUP('Données projet'!$B$11,Paramètres!$A$1:$I$89,3,0)*0.475*44/12</f>
        <v>2.653200463662476E-9</v>
      </c>
      <c r="BS189" s="22">
        <f t="shared" si="169"/>
        <v>14.285158743462999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789.00000000000045</v>
      </c>
      <c r="BZ189" s="13">
        <f>BY189*VLOOKUP('Données projet'!$B$12,Paramètres!$A$1:$I$89,3,0)*VLOOKUP('Données projet'!$B$12,Paramètres!$A$1:$I$89,5,0)</f>
        <v>348.73800000000023</v>
      </c>
      <c r="CA189" s="13">
        <f t="shared" si="170"/>
        <v>81.302597726165047</v>
      </c>
      <c r="CB189" s="20">
        <f t="shared" si="171"/>
        <v>748.98737437307125</v>
      </c>
      <c r="CC189" s="59">
        <f t="shared" si="119"/>
        <v>1042.3207077064046</v>
      </c>
      <c r="CD189" s="59">
        <f ca="1">AVERAGE(OFFSET($CC$3,0,0,'Données projet'!$E$12+1,1))-AVERAGE(OFFSET($H$3,0,0,'Données projet'!$E$12+1,1))</f>
        <v>333.00091572040611</v>
      </c>
      <c r="CE189" s="59">
        <f t="shared" si="148"/>
        <v>267.06874181561398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7.0698760573691315</v>
      </c>
      <c r="CL189" s="21">
        <f>EXP(-LN(2)/25)*CL188+(1-EXP(-LN(2)/25))/(LN(2)/25)*Calculateur!CG189*Calculateur!CI189*VLOOKUP('Données projet'!$B$12,Paramètres!$A$1:$I$89,3,0)*0.475*44/12</f>
        <v>1.2747126370893513</v>
      </c>
      <c r="CM189" s="21">
        <f>EXP(-LN(2)/2)*CM188+(1-EXP(-LN(2)/2))/(LN(2)/2)*CG189*CJ189*VLOOKUP('Données projet'!$B$12,Paramètres!$A$1:$I$89,3,0)*0.475*44/12</f>
        <v>2.2136458730037436E-16</v>
      </c>
      <c r="CN189" s="22">
        <f t="shared" si="172"/>
        <v>8.3445886944584835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1">
        <f t="shared" si="140"/>
        <v>35.633778064637305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67">
        <f t="shared" si="110"/>
        <v>594.1926267959094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229</v>
      </c>
      <c r="O190" s="13">
        <f>N190*VLOOKUP('Données projet'!$B$9,Paramètres!$A$1:$I$89,3,0)*VLOOKUP('Données projet'!$B$9,Paramètres!$A$1:$I$89,5,0)</f>
        <v>136.94200000000001</v>
      </c>
      <c r="P190" s="13">
        <f t="shared" si="141"/>
        <v>35.595562742420903</v>
      </c>
      <c r="Q190" s="20">
        <f t="shared" si="162"/>
        <v>300.50292177638306</v>
      </c>
      <c r="R190" s="59">
        <f t="shared" si="109"/>
        <v>593.83625510971638</v>
      </c>
      <c r="S190" s="59">
        <f ca="1">AVERAGE(OFFSET($R$3,0,0,'Données projet'!$E$9+1,1))-AVERAGE(OFFSET($H$3,0,0,'Données projet'!$E$9+1,1))</f>
        <v>125.14227069357082</v>
      </c>
      <c r="T190" s="59">
        <f t="shared" si="142"/>
        <v>193.39407925063165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1.7432267610676782</v>
      </c>
      <c r="AA190" s="21">
        <f>EXP(-LN(2)/25)*AA189+(1-EXP(-LN(2)/25))/(LN(2)/25)*Calculateur!V190*Calculateur!X190*VLOOKUP('Données projet'!$B$9,Paramètres!$A$1:$I$89,3,0)*0.475*44/12</f>
        <v>0.38501667646475557</v>
      </c>
      <c r="AB190" s="21">
        <f>EXP(-LN(2)/2)*AB189+(1-EXP(-LN(2)/2))/(LN(2)/2)*V190*Y190*VLOOKUP('Données projet'!$B$9,Paramètres!$A$1:$I$89,3,0)*0.475*44/12</f>
        <v>1.1377439813140205E-19</v>
      </c>
      <c r="AC190" s="22">
        <f t="shared" si="163"/>
        <v>2.1282434375324337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-5.999999999994543E-2</v>
      </c>
      <c r="AJ190" s="13">
        <f>AI190*VLOOKUP('Données projet'!$B$10,Paramètres!$A$1:$I$89,3,0)*VLOOKUP('Données projet'!$B$10,Paramètres!$A$1:$I$89,5,0)</f>
        <v>-2.8079999999974462E-2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74.573470247551825</v>
      </c>
      <c r="AO190" s="59">
        <f t="shared" si="144"/>
        <v>122.43655207772224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5.8956485184207237</v>
      </c>
      <c r="AV190" s="21">
        <f>EXP(-LN(2)/25)*AV189+(1-EXP(-LN(2)/25))/(LN(2)/25)*Calculateur!AQ190*Calculateur!AS190*VLOOKUP('Données projet'!$B$10,Paramètres!$A$1:$I$89,3,0)*0.475*44/12</f>
        <v>0.98084340330054665</v>
      </c>
      <c r="AW190" s="21">
        <f>EXP(-LN(2)/2)*AW189+(1-EXP(-LN(2)/2))/(LN(2)/2)*AQ190*AT190*VLOOKUP('Données projet'!$B$10,Paramètres!$A$1:$I$89,3,0)*0.475*44/12</f>
        <v>3.3268507605903735E-18</v>
      </c>
      <c r="AX190" s="21">
        <f t="shared" si="166"/>
        <v>6.8764919217212706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209.99999999999977</v>
      </c>
      <c r="BE190" s="13">
        <f>BD190*VLOOKUP('Données projet'!$B$11,Paramètres!$A$1:$I$89,3,0)*VLOOKUP('Données projet'!$B$11,Paramètres!$A$1:$I$89,5,0)</f>
        <v>212.9399999999998</v>
      </c>
      <c r="BF190" s="13">
        <f t="shared" si="167"/>
        <v>52.577528895212772</v>
      </c>
      <c r="BG190" s="20">
        <f t="shared" si="168"/>
        <v>462.44302949249521</v>
      </c>
      <c r="BH190" s="59">
        <f t="shared" si="116"/>
        <v>755.77636282582853</v>
      </c>
      <c r="BI190" s="59">
        <f ca="1">AVERAGE(OFFSET($BH$3,0,0,'Données projet'!$E$11+1,1))-AVERAGE(OFFSET($H$3,0,0,'Données projet'!$E$11+1,1))</f>
        <v>183.74583738362492</v>
      </c>
      <c r="BJ190" s="59">
        <f t="shared" si="146"/>
        <v>46.344307013926596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13.63549400384615</v>
      </c>
      <c r="BQ190" s="21">
        <f>EXP(-LN(2)/25)*BQ189+(1-EXP(-LN(2)/25))/(LN(2)/25)*Calculateur!BL190*Calculateur!BN190*VLOOKUP('Données projet'!$B$11,Paramètres!$A$1:$I$89,3,0)*0.475*44/12</f>
        <v>0.36662566134295294</v>
      </c>
      <c r="BR190" s="21">
        <f>EXP(-LN(2)/2)*BR189+(1-EXP(-LN(2)/2))/(LN(2)/2)*BL190*BO190*VLOOKUP('Données projet'!$B$11,Paramètres!$A$1:$I$89,3,0)*0.475*44/12</f>
        <v>1.8760960397030288E-9</v>
      </c>
      <c r="BS190" s="22">
        <f t="shared" si="169"/>
        <v>14.002119667065198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789.00000000000045</v>
      </c>
      <c r="BZ190" s="13">
        <f>BY190*VLOOKUP('Données projet'!$B$12,Paramètres!$A$1:$I$89,3,0)*VLOOKUP('Données projet'!$B$12,Paramètres!$A$1:$I$89,5,0)</f>
        <v>348.73800000000023</v>
      </c>
      <c r="CA190" s="13">
        <f t="shared" si="170"/>
        <v>81.302597726165047</v>
      </c>
      <c r="CB190" s="20">
        <f t="shared" si="171"/>
        <v>748.98737437307125</v>
      </c>
      <c r="CC190" s="59">
        <f t="shared" si="119"/>
        <v>1042.3207077064046</v>
      </c>
      <c r="CD190" s="59">
        <f ca="1">AVERAGE(OFFSET($CC$3,0,0,'Données projet'!$E$12+1,1))-AVERAGE(OFFSET($H$3,0,0,'Données projet'!$E$12+1,1))</f>
        <v>333.00091572040611</v>
      </c>
      <c r="CE190" s="59">
        <f t="shared" si="148"/>
        <v>267.06874181561398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6.9312401000827233</v>
      </c>
      <c r="CL190" s="21">
        <f>EXP(-LN(2)/25)*CL189+(1-EXP(-LN(2)/25))/(LN(2)/25)*Calculateur!CG190*Calculateur!CI190*VLOOKUP('Données projet'!$B$12,Paramètres!$A$1:$I$89,3,0)*0.475*44/12</f>
        <v>1.2398555529939188</v>
      </c>
      <c r="CM190" s="21">
        <f>EXP(-LN(2)/2)*CM189+(1-EXP(-LN(2)/2))/(LN(2)/2)*CG190*CJ190*VLOOKUP('Données projet'!$B$12,Paramètres!$A$1:$I$89,3,0)*0.475*44/12</f>
        <v>1.5652840079465622E-16</v>
      </c>
      <c r="CN190" s="22">
        <f t="shared" si="172"/>
        <v>8.1710956530766428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1">
        <f t="shared" si="140"/>
        <v>35.802100130711267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67">
        <f t="shared" si="110"/>
        <v>595.76277772765491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229</v>
      </c>
      <c r="O191" s="13">
        <f>N191*VLOOKUP('Données projet'!$B$9,Paramètres!$A$1:$I$89,3,0)*VLOOKUP('Données projet'!$B$9,Paramètres!$A$1:$I$89,5,0)</f>
        <v>136.94200000000001</v>
      </c>
      <c r="P191" s="13">
        <f t="shared" si="141"/>
        <v>35.595562742420903</v>
      </c>
      <c r="Q191" s="20">
        <f t="shared" si="162"/>
        <v>300.50292177638306</v>
      </c>
      <c r="R191" s="59">
        <f t="shared" si="109"/>
        <v>593.83625510971638</v>
      </c>
      <c r="S191" s="59">
        <f ca="1">AVERAGE(OFFSET($R$3,0,0,'Données projet'!$E$9+1,1))-AVERAGE(OFFSET($H$3,0,0,'Données projet'!$E$9+1,1))</f>
        <v>125.14227069357082</v>
      </c>
      <c r="T191" s="59">
        <f t="shared" si="142"/>
        <v>193.39407925063165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1.7090431475464767</v>
      </c>
      <c r="AA191" s="21">
        <f>EXP(-LN(2)/25)*AA190+(1-EXP(-LN(2)/25))/(LN(2)/25)*Calculateur!V191*Calculateur!X191*VLOOKUP('Données projet'!$B$9,Paramètres!$A$1:$I$89,3,0)*0.475*44/12</f>
        <v>0.37448837519967976</v>
      </c>
      <c r="AB191" s="21">
        <f>EXP(-LN(2)/2)*AB190+(1-EXP(-LN(2)/2))/(LN(2)/2)*V191*Y191*VLOOKUP('Données projet'!$B$9,Paramètres!$A$1:$I$89,3,0)*0.475*44/12</f>
        <v>8.0450648444132452E-20</v>
      </c>
      <c r="AC191" s="22">
        <f t="shared" si="163"/>
        <v>2.0835315227461564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-5.999999999994543E-2</v>
      </c>
      <c r="AJ191" s="13">
        <f>AI191*VLOOKUP('Données projet'!$B$10,Paramètres!$A$1:$I$89,3,0)*VLOOKUP('Données projet'!$B$10,Paramètres!$A$1:$I$89,5,0)</f>
        <v>-2.8079999999974462E-2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74.573470247551825</v>
      </c>
      <c r="AO191" s="59">
        <f t="shared" si="144"/>
        <v>122.43655207772224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5.7800384469650146</v>
      </c>
      <c r="AV191" s="21">
        <f>EXP(-LN(2)/25)*AV190+(1-EXP(-LN(2)/25))/(LN(2)/25)*Calculateur!AQ191*Calculateur!AS191*VLOOKUP('Données projet'!$B$10,Paramètres!$A$1:$I$89,3,0)*0.475*44/12</f>
        <v>0.95402218885698031</v>
      </c>
      <c r="AW191" s="21">
        <f>EXP(-LN(2)/2)*AW190+(1-EXP(-LN(2)/2))/(LN(2)/2)*AQ191*AT191*VLOOKUP('Données projet'!$B$10,Paramètres!$A$1:$I$89,3,0)*0.475*44/12</f>
        <v>2.3524387328090764E-18</v>
      </c>
      <c r="AX191" s="21">
        <f t="shared" si="166"/>
        <v>6.7340606358219945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209.99999999999977</v>
      </c>
      <c r="BE191" s="13">
        <f>BD191*VLOOKUP('Données projet'!$B$11,Paramètres!$A$1:$I$89,3,0)*VLOOKUP('Données projet'!$B$11,Paramètres!$A$1:$I$89,5,0)</f>
        <v>212.9399999999998</v>
      </c>
      <c r="BF191" s="13">
        <f t="shared" si="167"/>
        <v>52.577528895212772</v>
      </c>
      <c r="BG191" s="20">
        <f t="shared" si="168"/>
        <v>462.44302949249521</v>
      </c>
      <c r="BH191" s="59">
        <f t="shared" si="116"/>
        <v>755.77636282582853</v>
      </c>
      <c r="BI191" s="59">
        <f ca="1">AVERAGE(OFFSET($BH$3,0,0,'Données projet'!$E$11+1,1))-AVERAGE(OFFSET($H$3,0,0,'Données projet'!$E$11+1,1))</f>
        <v>183.74583738362492</v>
      </c>
      <c r="BJ191" s="59">
        <f t="shared" si="146"/>
        <v>46.344307013926596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13.368110283260851</v>
      </c>
      <c r="BQ191" s="21">
        <f>EXP(-LN(2)/25)*BQ190+(1-EXP(-LN(2)/25))/(LN(2)/25)*Calculateur!BL191*Calculateur!BN191*VLOOKUP('Données projet'!$B$11,Paramètres!$A$1:$I$89,3,0)*0.475*44/12</f>
        <v>0.35660026335352429</v>
      </c>
      <c r="BR191" s="21">
        <f>EXP(-LN(2)/2)*BR190+(1-EXP(-LN(2)/2))/(LN(2)/2)*BL191*BO191*VLOOKUP('Données projet'!$B$11,Paramètres!$A$1:$I$89,3,0)*0.475*44/12</f>
        <v>1.326600231831238E-9</v>
      </c>
      <c r="BS191" s="22">
        <f t="shared" si="169"/>
        <v>13.724710547940976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789.00000000000045</v>
      </c>
      <c r="BZ191" s="13">
        <f>BY191*VLOOKUP('Données projet'!$B$12,Paramètres!$A$1:$I$89,3,0)*VLOOKUP('Données projet'!$B$12,Paramètres!$A$1:$I$89,5,0)</f>
        <v>348.73800000000023</v>
      </c>
      <c r="CA191" s="13">
        <f t="shared" si="170"/>
        <v>81.302597726165047</v>
      </c>
      <c r="CB191" s="20">
        <f t="shared" si="171"/>
        <v>748.98737437307125</v>
      </c>
      <c r="CC191" s="59">
        <f t="shared" si="119"/>
        <v>1042.3207077064046</v>
      </c>
      <c r="CD191" s="59">
        <f ca="1">AVERAGE(OFFSET($CC$3,0,0,'Données projet'!$E$12+1,1))-AVERAGE(OFFSET($H$3,0,0,'Données projet'!$E$12+1,1))</f>
        <v>333.00091572040611</v>
      </c>
      <c r="CE191" s="59">
        <f t="shared" si="148"/>
        <v>267.06874181561398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6.7953227093591178</v>
      </c>
      <c r="CL191" s="21">
        <f>EXP(-LN(2)/25)*CL190+(1-EXP(-LN(2)/25))/(LN(2)/25)*Calculateur!CG191*Calculateur!CI191*VLOOKUP('Données projet'!$B$12,Paramètres!$A$1:$I$89,3,0)*0.475*44/12</f>
        <v>1.2059516376961303</v>
      </c>
      <c r="CM191" s="21">
        <f>EXP(-LN(2)/2)*CM190+(1-EXP(-LN(2)/2))/(LN(2)/2)*CG191*CJ191*VLOOKUP('Données projet'!$B$12,Paramètres!$A$1:$I$89,3,0)*0.475*44/12</f>
        <v>1.1068229365018719E-16</v>
      </c>
      <c r="CN191" s="22">
        <f t="shared" si="172"/>
        <v>8.0012743470552472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1">
        <f t="shared" si="140"/>
        <v>35.970318012093358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67">
        <f t="shared" si="110"/>
        <v>597.33274720439533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229</v>
      </c>
      <c r="O192" s="13">
        <f>N192*VLOOKUP('Données projet'!$B$9,Paramètres!$A$1:$I$89,3,0)*VLOOKUP('Données projet'!$B$9,Paramètres!$A$1:$I$89,5,0)</f>
        <v>136.94200000000001</v>
      </c>
      <c r="P192" s="13">
        <f t="shared" si="141"/>
        <v>35.595562742420903</v>
      </c>
      <c r="Q192" s="20">
        <f t="shared" si="162"/>
        <v>300.50292177638306</v>
      </c>
      <c r="R192" s="59">
        <f t="shared" si="109"/>
        <v>593.83625510971638</v>
      </c>
      <c r="S192" s="59">
        <f ca="1">AVERAGE(OFFSET($R$3,0,0,'Données projet'!$E$9+1,1))-AVERAGE(OFFSET($H$3,0,0,'Données projet'!$E$9+1,1))</f>
        <v>125.14227069357082</v>
      </c>
      <c r="T192" s="59">
        <f t="shared" si="142"/>
        <v>193.39407925063165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1.6755298538364805</v>
      </c>
      <c r="AA192" s="21">
        <f>EXP(-LN(2)/25)*AA191+(1-EXP(-LN(2)/25))/(LN(2)/25)*Calculateur!V192*Calculateur!X192*VLOOKUP('Données projet'!$B$9,Paramètres!$A$1:$I$89,3,0)*0.475*44/12</f>
        <v>0.36424797088635674</v>
      </c>
      <c r="AB192" s="21">
        <f>EXP(-LN(2)/2)*AB191+(1-EXP(-LN(2)/2))/(LN(2)/2)*V192*Y192*VLOOKUP('Données projet'!$B$9,Paramètres!$A$1:$I$89,3,0)*0.475*44/12</f>
        <v>5.6887199065701025E-20</v>
      </c>
      <c r="AC192" s="22">
        <f t="shared" si="163"/>
        <v>2.0397778247228371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-5.999999999994543E-2</v>
      </c>
      <c r="AJ192" s="13">
        <f>AI192*VLOOKUP('Données projet'!$B$10,Paramètres!$A$1:$I$89,3,0)*VLOOKUP('Données projet'!$B$10,Paramètres!$A$1:$I$89,5,0)</f>
        <v>-2.8079999999974462E-2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74.573470247551825</v>
      </c>
      <c r="AO192" s="59">
        <f t="shared" si="144"/>
        <v>122.43655207772224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5.6666954184953715</v>
      </c>
      <c r="AV192" s="21">
        <f>EXP(-LN(2)/25)*AV191+(1-EXP(-LN(2)/25))/(LN(2)/25)*Calculateur!AQ192*Calculateur!AS192*VLOOKUP('Données projet'!$B$10,Paramètres!$A$1:$I$89,3,0)*0.475*44/12</f>
        <v>0.92793440193283971</v>
      </c>
      <c r="AW192" s="21">
        <f>EXP(-LN(2)/2)*AW191+(1-EXP(-LN(2)/2))/(LN(2)/2)*AQ192*AT192*VLOOKUP('Données projet'!$B$10,Paramètres!$A$1:$I$89,3,0)*0.475*44/12</f>
        <v>1.6634253802951867E-18</v>
      </c>
      <c r="AX192" s="21">
        <f t="shared" si="166"/>
        <v>6.594629820428211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209.99999999999977</v>
      </c>
      <c r="BE192" s="13">
        <f>BD192*VLOOKUP('Données projet'!$B$11,Paramètres!$A$1:$I$89,3,0)*VLOOKUP('Données projet'!$B$11,Paramètres!$A$1:$I$89,5,0)</f>
        <v>212.9399999999998</v>
      </c>
      <c r="BF192" s="13">
        <f t="shared" si="167"/>
        <v>52.577528895212772</v>
      </c>
      <c r="BG192" s="20">
        <f t="shared" si="168"/>
        <v>462.44302949249521</v>
      </c>
      <c r="BH192" s="59">
        <f t="shared" si="116"/>
        <v>755.77636282582853</v>
      </c>
      <c r="BI192" s="59">
        <f ca="1">AVERAGE(OFFSET($BH$3,0,0,'Données projet'!$E$11+1,1))-AVERAGE(OFFSET($H$3,0,0,'Données projet'!$E$11+1,1))</f>
        <v>183.74583738362492</v>
      </c>
      <c r="BJ192" s="59">
        <f t="shared" si="146"/>
        <v>46.344307013926596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13.105969794348264</v>
      </c>
      <c r="BQ192" s="21">
        <f>EXP(-LN(2)/25)*BQ191+(1-EXP(-LN(2)/25))/(LN(2)/25)*Calculateur!BL192*Calculateur!BN192*VLOOKUP('Données projet'!$B$11,Paramètres!$A$1:$I$89,3,0)*0.475*44/12</f>
        <v>0.34684901039932936</v>
      </c>
      <c r="BR192" s="21">
        <f>EXP(-LN(2)/2)*BR191+(1-EXP(-LN(2)/2))/(LN(2)/2)*BL192*BO192*VLOOKUP('Données projet'!$B$11,Paramètres!$A$1:$I$89,3,0)*0.475*44/12</f>
        <v>9.3804801985151441E-10</v>
      </c>
      <c r="BS192" s="22">
        <f t="shared" si="169"/>
        <v>13.452818805685641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789.00000000000045</v>
      </c>
      <c r="BZ192" s="13">
        <f>BY192*VLOOKUP('Données projet'!$B$12,Paramètres!$A$1:$I$89,3,0)*VLOOKUP('Données projet'!$B$12,Paramètres!$A$1:$I$89,5,0)</f>
        <v>348.73800000000023</v>
      </c>
      <c r="CA192" s="13">
        <f t="shared" si="170"/>
        <v>81.302597726165047</v>
      </c>
      <c r="CB192" s="20">
        <f t="shared" si="171"/>
        <v>748.98737437307125</v>
      </c>
      <c r="CC192" s="59">
        <f t="shared" si="119"/>
        <v>1042.3207077064046</v>
      </c>
      <c r="CD192" s="59">
        <f ca="1">AVERAGE(OFFSET($CC$3,0,0,'Données projet'!$E$12+1,1))-AVERAGE(OFFSET($H$3,0,0,'Données projet'!$E$12+1,1))</f>
        <v>333.00091572040611</v>
      </c>
      <c r="CE192" s="59">
        <f t="shared" si="148"/>
        <v>267.06874181561398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6.6620705757661796</v>
      </c>
      <c r="CL192" s="21">
        <f>EXP(-LN(2)/25)*CL191+(1-EXP(-LN(2)/25))/(LN(2)/25)*Calculateur!CG192*Calculateur!CI192*VLOOKUP('Données projet'!$B$12,Paramètres!$A$1:$I$89,3,0)*0.475*44/12</f>
        <v>1.1729748267450892</v>
      </c>
      <c r="CM192" s="21">
        <f>EXP(-LN(2)/2)*CM191+(1-EXP(-LN(2)/2))/(LN(2)/2)*CG192*CJ192*VLOOKUP('Données projet'!$B$12,Paramètres!$A$1:$I$89,3,0)*0.475*44/12</f>
        <v>7.826420039732812E-17</v>
      </c>
      <c r="CN192" s="22">
        <f t="shared" si="172"/>
        <v>7.8350454025112688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1">
        <f t="shared" si="140"/>
        <v>36.138432324006331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67">
        <f t="shared" si="110"/>
        <v>598.90253629764379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229</v>
      </c>
      <c r="O193" s="13">
        <f>N193*VLOOKUP('Données projet'!$B$9,Paramètres!$A$1:$I$89,3,0)*VLOOKUP('Données projet'!$B$9,Paramètres!$A$1:$I$89,5,0)</f>
        <v>136.94200000000001</v>
      </c>
      <c r="P193" s="13">
        <f t="shared" si="141"/>
        <v>35.595562742420903</v>
      </c>
      <c r="Q193" s="20">
        <f t="shared" si="162"/>
        <v>300.50292177638306</v>
      </c>
      <c r="R193" s="59">
        <f t="shared" si="109"/>
        <v>593.83625510971638</v>
      </c>
      <c r="S193" s="59">
        <f ca="1">AVERAGE(OFFSET($R$3,0,0,'Données projet'!$E$9+1,1))-AVERAGE(OFFSET($H$3,0,0,'Données projet'!$E$9+1,1))</f>
        <v>125.14227069357082</v>
      </c>
      <c r="T193" s="59">
        <f t="shared" si="142"/>
        <v>193.39407925063165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1.6426737353750465</v>
      </c>
      <c r="AA193" s="21">
        <f>EXP(-LN(2)/25)*AA192+(1-EXP(-LN(2)/25))/(LN(2)/25)*Calculateur!V193*Calculateur!X193*VLOOKUP('Données projet'!$B$9,Paramètres!$A$1:$I$89,3,0)*0.475*44/12</f>
        <v>0.35428759096750101</v>
      </c>
      <c r="AB193" s="21">
        <f>EXP(-LN(2)/2)*AB192+(1-EXP(-LN(2)/2))/(LN(2)/2)*V193*Y193*VLOOKUP('Données projet'!$B$9,Paramètres!$A$1:$I$89,3,0)*0.475*44/12</f>
        <v>4.0225324222066226E-20</v>
      </c>
      <c r="AC193" s="22">
        <f t="shared" si="163"/>
        <v>1.9969613263425474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-5.999999999994543E-2</v>
      </c>
      <c r="AJ193" s="13">
        <f>AI193*VLOOKUP('Données projet'!$B$10,Paramètres!$A$1:$I$89,3,0)*VLOOKUP('Données projet'!$B$10,Paramètres!$A$1:$I$89,5,0)</f>
        <v>-2.8079999999974462E-2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74.573470247551825</v>
      </c>
      <c r="AO193" s="59">
        <f t="shared" si="144"/>
        <v>122.43655207772224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5.555574977681597</v>
      </c>
      <c r="AV193" s="21">
        <f>EXP(-LN(2)/25)*AV192+(1-EXP(-LN(2)/25))/(LN(2)/25)*Calculateur!AQ193*Calculateur!AS193*VLOOKUP('Données projet'!$B$10,Paramètres!$A$1:$I$89,3,0)*0.475*44/12</f>
        <v>0.90255998691403683</v>
      </c>
      <c r="AW193" s="21">
        <f>EXP(-LN(2)/2)*AW192+(1-EXP(-LN(2)/2))/(LN(2)/2)*AQ193*AT193*VLOOKUP('Données projet'!$B$10,Paramètres!$A$1:$I$89,3,0)*0.475*44/12</f>
        <v>1.1762193664045382E-18</v>
      </c>
      <c r="AX193" s="21">
        <f t="shared" si="166"/>
        <v>6.4581349645956339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209.99999999999977</v>
      </c>
      <c r="BE193" s="13">
        <f>BD193*VLOOKUP('Données projet'!$B$11,Paramètres!$A$1:$I$89,3,0)*VLOOKUP('Données projet'!$B$11,Paramètres!$A$1:$I$89,5,0)</f>
        <v>212.9399999999998</v>
      </c>
      <c r="BF193" s="13">
        <f t="shared" si="167"/>
        <v>52.577528895212772</v>
      </c>
      <c r="BG193" s="20">
        <f t="shared" si="168"/>
        <v>462.44302949249521</v>
      </c>
      <c r="BH193" s="59">
        <f t="shared" si="116"/>
        <v>755.77636282582853</v>
      </c>
      <c r="BI193" s="59">
        <f ca="1">AVERAGE(OFFSET($BH$3,0,0,'Données projet'!$E$11+1,1))-AVERAGE(OFFSET($H$3,0,0,'Données projet'!$E$11+1,1))</f>
        <v>183.74583738362492</v>
      </c>
      <c r="BJ193" s="59">
        <f t="shared" si="146"/>
        <v>46.344307013926596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12.848969720533342</v>
      </c>
      <c r="BQ193" s="21">
        <f>EXP(-LN(2)/25)*BQ192+(1-EXP(-LN(2)/25))/(LN(2)/25)*Calculateur!BL193*Calculateur!BN193*VLOOKUP('Données projet'!$B$11,Paramètres!$A$1:$I$89,3,0)*0.475*44/12</f>
        <v>0.33736440596996298</v>
      </c>
      <c r="BR193" s="21">
        <f>EXP(-LN(2)/2)*BR192+(1-EXP(-LN(2)/2))/(LN(2)/2)*BL193*BO193*VLOOKUP('Données projet'!$B$11,Paramètres!$A$1:$I$89,3,0)*0.475*44/12</f>
        <v>6.6330011591561901E-10</v>
      </c>
      <c r="BS193" s="22">
        <f t="shared" si="169"/>
        <v>13.186334127166605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789.00000000000045</v>
      </c>
      <c r="BZ193" s="13">
        <f>BY193*VLOOKUP('Données projet'!$B$12,Paramètres!$A$1:$I$89,3,0)*VLOOKUP('Données projet'!$B$12,Paramètres!$A$1:$I$89,5,0)</f>
        <v>348.73800000000023</v>
      </c>
      <c r="CA193" s="13">
        <f t="shared" si="170"/>
        <v>81.302597726165047</v>
      </c>
      <c r="CB193" s="20">
        <f t="shared" si="171"/>
        <v>748.98737437307125</v>
      </c>
      <c r="CC193" s="59">
        <f t="shared" si="119"/>
        <v>1042.3207077064046</v>
      </c>
      <c r="CD193" s="59">
        <f ca="1">AVERAGE(OFFSET($CC$3,0,0,'Données projet'!$E$12+1,1))-AVERAGE(OFFSET($H$3,0,0,'Données projet'!$E$12+1,1))</f>
        <v>333.00091572040611</v>
      </c>
      <c r="CE193" s="59">
        <f t="shared" si="148"/>
        <v>267.06874181561398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6.5314314352372227</v>
      </c>
      <c r="CL193" s="21">
        <f>EXP(-LN(2)/25)*CL192+(1-EXP(-LN(2)/25))/(LN(2)/25)*Calculateur!CG193*Calculateur!CI193*VLOOKUP('Données projet'!$B$12,Paramètres!$A$1:$I$89,3,0)*0.475*44/12</f>
        <v>1.1408997684236795</v>
      </c>
      <c r="CM193" s="21">
        <f>EXP(-LN(2)/2)*CM192+(1-EXP(-LN(2)/2))/(LN(2)/2)*CG193*CJ193*VLOOKUP('Données projet'!$B$12,Paramètres!$A$1:$I$89,3,0)*0.475*44/12</f>
        <v>5.5341146825093602E-17</v>
      </c>
      <c r="CN193" s="22">
        <f t="shared" si="172"/>
        <v>7.6723312036609022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1">
        <f t="shared" si="140"/>
        <v>36.306443674821708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67">
        <f t="shared" si="110"/>
        <v>600.4721460669806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229</v>
      </c>
      <c r="O194" s="13">
        <f>N194*VLOOKUP('Données projet'!$B$9,Paramètres!$A$1:$I$89,3,0)*VLOOKUP('Données projet'!$B$9,Paramètres!$A$1:$I$89,5,0)</f>
        <v>136.94200000000001</v>
      </c>
      <c r="P194" s="13">
        <f t="shared" si="141"/>
        <v>35.595562742420903</v>
      </c>
      <c r="Q194" s="20">
        <f t="shared" si="162"/>
        <v>300.50292177638306</v>
      </c>
      <c r="R194" s="59">
        <f t="shared" si="109"/>
        <v>593.83625510971638</v>
      </c>
      <c r="S194" s="59">
        <f ca="1">AVERAGE(OFFSET($R$3,0,0,'Données projet'!$E$9+1,1))-AVERAGE(OFFSET($H$3,0,0,'Données projet'!$E$9+1,1))</f>
        <v>125.14227069357082</v>
      </c>
      <c r="T194" s="59">
        <f t="shared" si="142"/>
        <v>193.39407925063165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1.6104619053563878</v>
      </c>
      <c r="AA194" s="21">
        <f>EXP(-LN(2)/25)*AA193+(1-EXP(-LN(2)/25))/(LN(2)/25)*Calculateur!V194*Calculateur!X194*VLOOKUP('Données projet'!$B$9,Paramètres!$A$1:$I$89,3,0)*0.475*44/12</f>
        <v>0.34459957816132003</v>
      </c>
      <c r="AB194" s="21">
        <f>EXP(-LN(2)/2)*AB193+(1-EXP(-LN(2)/2))/(LN(2)/2)*V194*Y194*VLOOKUP('Données projet'!$B$9,Paramètres!$A$1:$I$89,3,0)*0.475*44/12</f>
        <v>2.8443599532850512E-20</v>
      </c>
      <c r="AC194" s="22">
        <f t="shared" si="163"/>
        <v>1.9550614835177078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-5.999999999994543E-2</v>
      </c>
      <c r="AJ194" s="13">
        <f>AI194*VLOOKUP('Données projet'!$B$10,Paramètres!$A$1:$I$89,3,0)*VLOOKUP('Données projet'!$B$10,Paramètres!$A$1:$I$89,5,0)</f>
        <v>-2.8079999999974462E-2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74.573470247551825</v>
      </c>
      <c r="AO194" s="59">
        <f t="shared" si="144"/>
        <v>122.43655207772224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5.4466335409354043</v>
      </c>
      <c r="AV194" s="21">
        <f>EXP(-LN(2)/25)*AV193+(1-EXP(-LN(2)/25))/(LN(2)/25)*Calculateur!AQ194*Calculateur!AS194*VLOOKUP('Données projet'!$B$10,Paramètres!$A$1:$I$89,3,0)*0.475*44/12</f>
        <v>0.87787943660830559</v>
      </c>
      <c r="AW194" s="21">
        <f>EXP(-LN(2)/2)*AW193+(1-EXP(-LN(2)/2))/(LN(2)/2)*AQ194*AT194*VLOOKUP('Données projet'!$B$10,Paramètres!$A$1:$I$89,3,0)*0.475*44/12</f>
        <v>8.3171269014759336E-19</v>
      </c>
      <c r="AX194" s="21">
        <f t="shared" si="166"/>
        <v>6.3245129775437103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209.99999999999977</v>
      </c>
      <c r="BE194" s="13">
        <f>BD194*VLOOKUP('Données projet'!$B$11,Paramètres!$A$1:$I$89,3,0)*VLOOKUP('Données projet'!$B$11,Paramètres!$A$1:$I$89,5,0)</f>
        <v>212.9399999999998</v>
      </c>
      <c r="BF194" s="13">
        <f t="shared" si="167"/>
        <v>52.577528895212772</v>
      </c>
      <c r="BG194" s="20">
        <f t="shared" si="168"/>
        <v>462.44302949249521</v>
      </c>
      <c r="BH194" s="59">
        <f t="shared" si="116"/>
        <v>755.77636282582853</v>
      </c>
      <c r="BI194" s="59">
        <f ca="1">AVERAGE(OFFSET($BH$3,0,0,'Données projet'!$E$11+1,1))-AVERAGE(OFFSET($H$3,0,0,'Données projet'!$E$11+1,1))</f>
        <v>183.74583738362492</v>
      </c>
      <c r="BJ194" s="59">
        <f t="shared" si="146"/>
        <v>46.344307013926596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12.597009261411364</v>
      </c>
      <c r="BQ194" s="21">
        <f>EXP(-LN(2)/25)*BQ193+(1-EXP(-LN(2)/25))/(LN(2)/25)*Calculateur!BL194*Calculateur!BN194*VLOOKUP('Données projet'!$B$11,Paramètres!$A$1:$I$89,3,0)*0.475*44/12</f>
        <v>0.32813915854749126</v>
      </c>
      <c r="BR194" s="21">
        <f>EXP(-LN(2)/2)*BR193+(1-EXP(-LN(2)/2))/(LN(2)/2)*BL194*BO194*VLOOKUP('Données projet'!$B$11,Paramètres!$A$1:$I$89,3,0)*0.475*44/12</f>
        <v>4.6902400992575721E-10</v>
      </c>
      <c r="BS194" s="22">
        <f t="shared" si="169"/>
        <v>12.925148420427879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789.00000000000045</v>
      </c>
      <c r="BZ194" s="13">
        <f>BY194*VLOOKUP('Données projet'!$B$12,Paramètres!$A$1:$I$89,3,0)*VLOOKUP('Données projet'!$B$12,Paramètres!$A$1:$I$89,5,0)</f>
        <v>348.73800000000023</v>
      </c>
      <c r="CA194" s="13">
        <f t="shared" si="170"/>
        <v>81.302597726165047</v>
      </c>
      <c r="CB194" s="20">
        <f t="shared" si="171"/>
        <v>748.98737437307125</v>
      </c>
      <c r="CC194" s="59">
        <f t="shared" si="119"/>
        <v>1042.3207077064046</v>
      </c>
      <c r="CD194" s="59">
        <f ca="1">AVERAGE(OFFSET($CC$3,0,0,'Données projet'!$E$12+1,1))-AVERAGE(OFFSET($H$3,0,0,'Données projet'!$E$12+1,1))</f>
        <v>333.00091572040611</v>
      </c>
      <c r="CE194" s="59">
        <f t="shared" si="148"/>
        <v>267.06874181561398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6.4033540485720311</v>
      </c>
      <c r="CL194" s="21">
        <f>EXP(-LN(2)/25)*CL193+(1-EXP(-LN(2)/25))/(LN(2)/25)*Calculateur!CG194*Calculateur!CI194*VLOOKUP('Données projet'!$B$12,Paramètres!$A$1:$I$89,3,0)*0.475*44/12</f>
        <v>1.1097018042588227</v>
      </c>
      <c r="CM194" s="21">
        <f>EXP(-LN(2)/2)*CM193+(1-EXP(-LN(2)/2))/(LN(2)/2)*CG194*CJ194*VLOOKUP('Données projet'!$B$12,Paramètres!$A$1:$I$89,3,0)*0.475*44/12</f>
        <v>3.9132100198664066E-17</v>
      </c>
      <c r="CN194" s="22">
        <f t="shared" si="172"/>
        <v>7.5130558528308535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1">
        <f t="shared" si="140"/>
        <v>36.474352666172038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67">
        <f t="shared" si="110"/>
        <v>602.04157756024915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229</v>
      </c>
      <c r="O195" s="13">
        <f>N195*VLOOKUP('Données projet'!$B$9,Paramètres!$A$1:$I$89,3,0)*VLOOKUP('Données projet'!$B$9,Paramètres!$A$1:$I$89,5,0)</f>
        <v>136.94200000000001</v>
      </c>
      <c r="P195" s="13">
        <f t="shared" si="141"/>
        <v>35.595562742420903</v>
      </c>
      <c r="Q195" s="20">
        <f t="shared" si="162"/>
        <v>300.50292177638306</v>
      </c>
      <c r="R195" s="59">
        <f t="shared" ref="R195:R203" si="191">Q195+(I195+J195)*44/12</f>
        <v>593.83625510971638</v>
      </c>
      <c r="S195" s="59">
        <f ca="1">AVERAGE(OFFSET($R$3,0,0,'Données projet'!$E$9+1,1))-AVERAGE(OFFSET($H$3,0,0,'Données projet'!$E$9+1,1))</f>
        <v>125.14227069357082</v>
      </c>
      <c r="T195" s="59">
        <f t="shared" si="142"/>
        <v>193.39407925063165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1.5788817296771187</v>
      </c>
      <c r="AA195" s="21">
        <f>EXP(-LN(2)/25)*AA194+(1-EXP(-LN(2)/25))/(LN(2)/25)*Calculateur!V195*Calculateur!X195*VLOOKUP('Données projet'!$B$9,Paramètres!$A$1:$I$89,3,0)*0.475*44/12</f>
        <v>0.33517648457479449</v>
      </c>
      <c r="AB195" s="21">
        <f>EXP(-LN(2)/2)*AB194+(1-EXP(-LN(2)/2))/(LN(2)/2)*V195*Y195*VLOOKUP('Données projet'!$B$9,Paramètres!$A$1:$I$89,3,0)*0.475*44/12</f>
        <v>2.0112662111033113E-20</v>
      </c>
      <c r="AC195" s="22">
        <f t="shared" si="163"/>
        <v>1.9140582142519131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-5.999999999994543E-2</v>
      </c>
      <c r="AJ195" s="13">
        <f>AI195*VLOOKUP('Données projet'!$B$10,Paramètres!$A$1:$I$89,3,0)*VLOOKUP('Données projet'!$B$10,Paramètres!$A$1:$I$89,5,0)</f>
        <v>-2.8079999999974462E-2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74.573470247551825</v>
      </c>
      <c r="AO195" s="59">
        <f t="shared" si="144"/>
        <v>122.43655207772224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5.3398283793160894</v>
      </c>
      <c r="AV195" s="21">
        <f>EXP(-LN(2)/25)*AV194+(1-EXP(-LN(2)/25))/(LN(2)/25)*Calculateur!AQ195*Calculateur!AS195*VLOOKUP('Données projet'!$B$10,Paramètres!$A$1:$I$89,3,0)*0.475*44/12</f>
        <v>0.85387377724857827</v>
      </c>
      <c r="AW195" s="21">
        <f>EXP(-LN(2)/2)*AW194+(1-EXP(-LN(2)/2))/(LN(2)/2)*AQ195*AT195*VLOOKUP('Données projet'!$B$10,Paramètres!$A$1:$I$89,3,0)*0.475*44/12</f>
        <v>5.8810968320226909E-19</v>
      </c>
      <c r="AX195" s="21">
        <f t="shared" si="166"/>
        <v>6.1937021565646679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209.99999999999977</v>
      </c>
      <c r="BE195" s="13">
        <f>BD195*VLOOKUP('Données projet'!$B$11,Paramètres!$A$1:$I$89,3,0)*VLOOKUP('Données projet'!$B$11,Paramètres!$A$1:$I$89,5,0)</f>
        <v>212.9399999999998</v>
      </c>
      <c r="BF195" s="13">
        <f t="shared" si="167"/>
        <v>52.577528895212772</v>
      </c>
      <c r="BG195" s="20">
        <f t="shared" si="168"/>
        <v>462.44302949249521</v>
      </c>
      <c r="BH195" s="59">
        <f t="shared" si="116"/>
        <v>755.77636282582853</v>
      </c>
      <c r="BI195" s="59">
        <f ca="1">AVERAGE(OFFSET($BH$3,0,0,'Données projet'!$E$11+1,1))-AVERAGE(OFFSET($H$3,0,0,'Données projet'!$E$11+1,1))</f>
        <v>183.74583738362492</v>
      </c>
      <c r="BJ195" s="59">
        <f t="shared" si="146"/>
        <v>46.344307013926596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12.349989593212062</v>
      </c>
      <c r="BQ195" s="21">
        <f>EXP(-LN(2)/25)*BQ194+(1-EXP(-LN(2)/25))/(LN(2)/25)*Calculateur!BL195*Calculateur!BN195*VLOOKUP('Données projet'!$B$11,Paramètres!$A$1:$I$89,3,0)*0.475*44/12</f>
        <v>0.31916617600092173</v>
      </c>
      <c r="BR195" s="21">
        <f>EXP(-LN(2)/2)*BR194+(1-EXP(-LN(2)/2))/(LN(2)/2)*BL195*BO195*VLOOKUP('Données projet'!$B$11,Paramètres!$A$1:$I$89,3,0)*0.475*44/12</f>
        <v>3.3165005795780951E-10</v>
      </c>
      <c r="BS195" s="22">
        <f t="shared" si="169"/>
        <v>12.669155769544632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789.00000000000045</v>
      </c>
      <c r="BZ195" s="13">
        <f>BY195*VLOOKUP('Données projet'!$B$12,Paramètres!$A$1:$I$89,3,0)*VLOOKUP('Données projet'!$B$12,Paramètres!$A$1:$I$89,5,0)</f>
        <v>348.73800000000023</v>
      </c>
      <c r="CA195" s="13">
        <f t="shared" si="170"/>
        <v>81.302597726165047</v>
      </c>
      <c r="CB195" s="20">
        <f t="shared" si="171"/>
        <v>748.98737437307125</v>
      </c>
      <c r="CC195" s="59">
        <f t="shared" si="119"/>
        <v>1042.3207077064046</v>
      </c>
      <c r="CD195" s="59">
        <f ca="1">AVERAGE(OFFSET($CC$3,0,0,'Données projet'!$E$12+1,1))-AVERAGE(OFFSET($H$3,0,0,'Données projet'!$E$12+1,1))</f>
        <v>333.00091572040611</v>
      </c>
      <c r="CE195" s="59">
        <f t="shared" si="148"/>
        <v>267.06874181561398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6.2777881813398508</v>
      </c>
      <c r="CL195" s="21">
        <f>EXP(-LN(2)/25)*CL194+(1-EXP(-LN(2)/25))/(LN(2)/25)*Calculateur!CG195*Calculateur!CI195*VLOOKUP('Données projet'!$B$12,Paramètres!$A$1:$I$89,3,0)*0.475*44/12</f>
        <v>1.0793569500646836</v>
      </c>
      <c r="CM195" s="21">
        <f>EXP(-LN(2)/2)*CM194+(1-EXP(-LN(2)/2))/(LN(2)/2)*CG195*CJ195*VLOOKUP('Données projet'!$B$12,Paramètres!$A$1:$I$89,3,0)*0.475*44/12</f>
        <v>2.7670573412546807E-17</v>
      </c>
      <c r="CN195" s="22">
        <f t="shared" si="172"/>
        <v>7.3571451314045344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1">
        <f t="shared" si="140"/>
        <v>36.642159893059954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67">
        <f t="shared" ref="H196:H203" si="192">(B196+E196+F196)*44/12+(C196+D196)*0.475*44/12</f>
        <v>603.61083181374556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229</v>
      </c>
      <c r="O196" s="13">
        <f>N196*VLOOKUP('Données projet'!$B$9,Paramètres!$A$1:$I$89,3,0)*VLOOKUP('Données projet'!$B$9,Paramètres!$A$1:$I$89,5,0)</f>
        <v>136.94200000000001</v>
      </c>
      <c r="P196" s="13">
        <f t="shared" si="141"/>
        <v>35.595562742420903</v>
      </c>
      <c r="Q196" s="20">
        <f t="shared" si="162"/>
        <v>300.50292177638306</v>
      </c>
      <c r="R196" s="59">
        <f t="shared" si="191"/>
        <v>593.83625510971638</v>
      </c>
      <c r="S196" s="59">
        <f ca="1">AVERAGE(OFFSET($R$3,0,0,'Données projet'!$E$9+1,1))-AVERAGE(OFFSET($H$3,0,0,'Données projet'!$E$9+1,1))</f>
        <v>125.14227069357082</v>
      </c>
      <c r="T196" s="59">
        <f t="shared" si="142"/>
        <v>193.39407925063165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1.5479208219809149</v>
      </c>
      <c r="AA196" s="21">
        <f>EXP(-LN(2)/25)*AA195+(1-EXP(-LN(2)/25))/(LN(2)/25)*Calculateur!V196*Calculateur!X196*VLOOKUP('Données projet'!$B$9,Paramètres!$A$1:$I$89,3,0)*0.475*44/12</f>
        <v>0.32601106597793145</v>
      </c>
      <c r="AB196" s="21">
        <f>EXP(-LN(2)/2)*AB195+(1-EXP(-LN(2)/2))/(LN(2)/2)*V196*Y196*VLOOKUP('Données projet'!$B$9,Paramètres!$A$1:$I$89,3,0)*0.475*44/12</f>
        <v>1.4221799766425256E-20</v>
      </c>
      <c r="AC196" s="22">
        <f t="shared" si="163"/>
        <v>1.8739318879588462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-5.999999999994543E-2</v>
      </c>
      <c r="AJ196" s="13">
        <f>AI196*VLOOKUP('Données projet'!$B$10,Paramètres!$A$1:$I$89,3,0)*VLOOKUP('Données projet'!$B$10,Paramètres!$A$1:$I$89,5,0)</f>
        <v>-2.8079999999974462E-2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74.573470247551825</v>
      </c>
      <c r="AO196" s="59">
        <f t="shared" si="144"/>
        <v>122.43655207772224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5.2351176017714129</v>
      </c>
      <c r="AV196" s="21">
        <f>EXP(-LN(2)/25)*AV195+(1-EXP(-LN(2)/25))/(LN(2)/25)*Calculateur!AQ196*Calculateur!AS196*VLOOKUP('Données projet'!$B$10,Paramètres!$A$1:$I$89,3,0)*0.475*44/12</f>
        <v>0.83052455390644553</v>
      </c>
      <c r="AW196" s="21">
        <f>EXP(-LN(2)/2)*AW195+(1-EXP(-LN(2)/2))/(LN(2)/2)*AQ196*AT196*VLOOKUP('Données projet'!$B$10,Paramètres!$A$1:$I$89,3,0)*0.475*44/12</f>
        <v>4.1585634507379668E-19</v>
      </c>
      <c r="AX196" s="21">
        <f t="shared" si="166"/>
        <v>6.0656421556778586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209.99999999999977</v>
      </c>
      <c r="BE196" s="13">
        <f>BD196*VLOOKUP('Données projet'!$B$11,Paramètres!$A$1:$I$89,3,0)*VLOOKUP('Données projet'!$B$11,Paramètres!$A$1:$I$89,5,0)</f>
        <v>212.9399999999998</v>
      </c>
      <c r="BF196" s="13">
        <f t="shared" si="167"/>
        <v>52.577528895212772</v>
      </c>
      <c r="BG196" s="20">
        <f t="shared" si="168"/>
        <v>462.44302949249521</v>
      </c>
      <c r="BH196" s="59">
        <f t="shared" ref="BH196:BH203" si="194">BG196+(AY196+AZ196)*44/12</f>
        <v>755.77636282582853</v>
      </c>
      <c r="BI196" s="59">
        <f ca="1">AVERAGE(OFFSET($BH$3,0,0,'Données projet'!$E$11+1,1))-AVERAGE(OFFSET($H$3,0,0,'Données projet'!$E$11+1,1))</f>
        <v>183.74583738362492</v>
      </c>
      <c r="BJ196" s="59">
        <f t="shared" si="146"/>
        <v>46.344307013926596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12.107813830039028</v>
      </c>
      <c r="BQ196" s="21">
        <f>EXP(-LN(2)/25)*BQ195+(1-EXP(-LN(2)/25))/(LN(2)/25)*Calculateur!BL196*Calculateur!BN196*VLOOKUP('Données projet'!$B$11,Paramètres!$A$1:$I$89,3,0)*0.475*44/12</f>
        <v>0.31043856013395682</v>
      </c>
      <c r="BR196" s="21">
        <f>EXP(-LN(2)/2)*BR195+(1-EXP(-LN(2)/2))/(LN(2)/2)*BL196*BO196*VLOOKUP('Données projet'!$B$11,Paramètres!$A$1:$I$89,3,0)*0.475*44/12</f>
        <v>2.345120049628786E-10</v>
      </c>
      <c r="BS196" s="22">
        <f t="shared" si="169"/>
        <v>12.418252390407497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789.00000000000045</v>
      </c>
      <c r="BZ196" s="13">
        <f>BY196*VLOOKUP('Données projet'!$B$12,Paramètres!$A$1:$I$89,3,0)*VLOOKUP('Données projet'!$B$12,Paramètres!$A$1:$I$89,5,0)</f>
        <v>348.73800000000023</v>
      </c>
      <c r="CA196" s="13">
        <f t="shared" si="170"/>
        <v>81.302597726165047</v>
      </c>
      <c r="CB196" s="20">
        <f t="shared" si="171"/>
        <v>748.98737437307125</v>
      </c>
      <c r="CC196" s="59">
        <f t="shared" ref="CC196:CC203" si="195">CB196+(BT196+BU196)*44/12</f>
        <v>1042.3207077064046</v>
      </c>
      <c r="CD196" s="59">
        <f ca="1">AVERAGE(OFFSET($CC$3,0,0,'Données projet'!$E$12+1,1))-AVERAGE(OFFSET($H$3,0,0,'Données projet'!$E$12+1,1))</f>
        <v>333.00091572040611</v>
      </c>
      <c r="CE196" s="59">
        <f t="shared" si="148"/>
        <v>267.06874181561398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6.1546845841764775</v>
      </c>
      <c r="CL196" s="21">
        <f>EXP(-LN(2)/25)*CL195+(1-EXP(-LN(2)/25))/(LN(2)/25)*Calculateur!CG196*Calculateur!CI196*VLOOKUP('Données projet'!$B$12,Paramètres!$A$1:$I$89,3,0)*0.475*44/12</f>
        <v>1.0498418775042497</v>
      </c>
      <c r="CM196" s="21">
        <f>EXP(-LN(2)/2)*CM195+(1-EXP(-LN(2)/2))/(LN(2)/2)*CG196*CJ196*VLOOKUP('Données projet'!$B$12,Paramètres!$A$1:$I$89,3,0)*0.475*44/12</f>
        <v>1.9566050099332036E-17</v>
      </c>
      <c r="CN196" s="22">
        <f t="shared" si="172"/>
        <v>7.204526461680727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1">
        <f t="shared" ref="D197:D203" si="202">IFERROR(EXP(-1.0587+0.8836*LN(C197)+0.284),0)</f>
        <v>36.80986594396532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67">
        <f t="shared" si="192"/>
        <v>605.17990985240579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229</v>
      </c>
      <c r="O197" s="13">
        <f>N197*VLOOKUP('Données projet'!$B$9,Paramètres!$A$1:$I$89,3,0)*VLOOKUP('Données projet'!$B$9,Paramètres!$A$1:$I$89,5,0)</f>
        <v>136.94200000000001</v>
      </c>
      <c r="P197" s="13">
        <f t="shared" ref="P197:P203" si="203">EXP(-1.0587+0.8836*LN(O197)+0.284)</f>
        <v>35.595562742420903</v>
      </c>
      <c r="Q197" s="20">
        <f t="shared" si="162"/>
        <v>300.50292177638306</v>
      </c>
      <c r="R197" s="59">
        <f t="shared" si="191"/>
        <v>593.83625510971638</v>
      </c>
      <c r="S197" s="59">
        <f ca="1">AVERAGE(OFFSET($R$3,0,0,'Données projet'!$E$9+1,1))-AVERAGE(OFFSET($H$3,0,0,'Données projet'!$E$9+1,1))</f>
        <v>125.14227069357082</v>
      </c>
      <c r="T197" s="59">
        <f t="shared" ref="T197:T203" si="204">$T$3</f>
        <v>193.39407925063165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1.5175670388003446</v>
      </c>
      <c r="AA197" s="21">
        <f>EXP(-LN(2)/25)*AA196+(1-EXP(-LN(2)/25))/(LN(2)/25)*Calculateur!V197*Calculateur!X197*VLOOKUP('Données projet'!$B$9,Paramètres!$A$1:$I$89,3,0)*0.475*44/12</f>
        <v>0.31709627623458808</v>
      </c>
      <c r="AB197" s="21">
        <f>EXP(-LN(2)/2)*AB196+(1-EXP(-LN(2)/2))/(LN(2)/2)*V197*Y197*VLOOKUP('Données projet'!$B$9,Paramètres!$A$1:$I$89,3,0)*0.475*44/12</f>
        <v>1.0056331055516557E-20</v>
      </c>
      <c r="AC197" s="22">
        <f t="shared" si="163"/>
        <v>1.8346633150349327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-5.999999999994543E-2</v>
      </c>
      <c r="AJ197" s="13">
        <f>AI197*VLOOKUP('Données projet'!$B$10,Paramètres!$A$1:$I$89,3,0)*VLOOKUP('Données projet'!$B$10,Paramètres!$A$1:$I$89,5,0)</f>
        <v>-2.8079999999974462E-2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74.573470247551825</v>
      </c>
      <c r="AO197" s="59">
        <f t="shared" ref="AO197:AO203" si="205">$AO$3</f>
        <v>122.43655207772224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5.1324601387071196</v>
      </c>
      <c r="AV197" s="21">
        <f>EXP(-LN(2)/25)*AV196+(1-EXP(-LN(2)/25))/(LN(2)/25)*Calculateur!AQ197*Calculateur!AS197*VLOOKUP('Données projet'!$B$10,Paramètres!$A$1:$I$89,3,0)*0.475*44/12</f>
        <v>0.80781381630448568</v>
      </c>
      <c r="AW197" s="21">
        <f>EXP(-LN(2)/2)*AW196+(1-EXP(-LN(2)/2))/(LN(2)/2)*AQ197*AT197*VLOOKUP('Données projet'!$B$10,Paramètres!$A$1:$I$89,3,0)*0.475*44/12</f>
        <v>2.9405484160113455E-19</v>
      </c>
      <c r="AX197" s="21">
        <f t="shared" si="166"/>
        <v>5.9402739550116053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209.99999999999977</v>
      </c>
      <c r="BE197" s="13">
        <f>BD197*VLOOKUP('Données projet'!$B$11,Paramètres!$A$1:$I$89,3,0)*VLOOKUP('Données projet'!$B$11,Paramètres!$A$1:$I$89,5,0)</f>
        <v>212.9399999999998</v>
      </c>
      <c r="BF197" s="13">
        <f t="shared" si="167"/>
        <v>52.577528895212772</v>
      </c>
      <c r="BG197" s="20">
        <f t="shared" si="168"/>
        <v>462.44302949249521</v>
      </c>
      <c r="BH197" s="59">
        <f t="shared" si="194"/>
        <v>755.77636282582853</v>
      </c>
      <c r="BI197" s="59">
        <f ca="1">AVERAGE(OFFSET($BH$3,0,0,'Données projet'!$E$11+1,1))-AVERAGE(OFFSET($H$3,0,0,'Données projet'!$E$11+1,1))</f>
        <v>183.74583738362492</v>
      </c>
      <c r="BJ197" s="59">
        <f t="shared" ref="BJ197:BJ203" si="206">$BJ$3</f>
        <v>46.344307013926596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11.870386985869187</v>
      </c>
      <c r="BQ197" s="21">
        <f>EXP(-LN(2)/25)*BQ196+(1-EXP(-LN(2)/25))/(LN(2)/25)*Calculateur!BL197*Calculateur!BN197*VLOOKUP('Données projet'!$B$11,Paramètres!$A$1:$I$89,3,0)*0.475*44/12</f>
        <v>0.30194960138183941</v>
      </c>
      <c r="BR197" s="21">
        <f>EXP(-LN(2)/2)*BR196+(1-EXP(-LN(2)/2))/(LN(2)/2)*BL197*BO197*VLOOKUP('Données projet'!$B$11,Paramètres!$A$1:$I$89,3,0)*0.475*44/12</f>
        <v>1.6582502897890475E-10</v>
      </c>
      <c r="BS197" s="22">
        <f t="shared" si="169"/>
        <v>12.172336587416851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789.00000000000045</v>
      </c>
      <c r="BZ197" s="13">
        <f>BY197*VLOOKUP('Données projet'!$B$12,Paramètres!$A$1:$I$89,3,0)*VLOOKUP('Données projet'!$B$12,Paramètres!$A$1:$I$89,5,0)</f>
        <v>348.73800000000023</v>
      </c>
      <c r="CA197" s="13">
        <f t="shared" si="170"/>
        <v>81.302597726165047</v>
      </c>
      <c r="CB197" s="20">
        <f t="shared" si="171"/>
        <v>748.98737437307125</v>
      </c>
      <c r="CC197" s="59">
        <f t="shared" si="195"/>
        <v>1042.3207077064046</v>
      </c>
      <c r="CD197" s="59">
        <f ca="1">AVERAGE(OFFSET($CC$3,0,0,'Données projet'!$E$12+1,1))-AVERAGE(OFFSET($H$3,0,0,'Données projet'!$E$12+1,1))</f>
        <v>333.00091572040611</v>
      </c>
      <c r="CE197" s="59">
        <f t="shared" ref="CE197:CE203" si="207">$CE$3</f>
        <v>267.06874181561398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6.0339949734676974</v>
      </c>
      <c r="CL197" s="21">
        <f>EXP(-LN(2)/25)*CL196+(1-EXP(-LN(2)/25))/(LN(2)/25)*Calculateur!CG197*Calculateur!CI197*VLOOKUP('Données projet'!$B$12,Paramètres!$A$1:$I$89,3,0)*0.475*44/12</f>
        <v>1.0211338961551111</v>
      </c>
      <c r="CM197" s="21">
        <f>EXP(-LN(2)/2)*CM196+(1-EXP(-LN(2)/2))/(LN(2)/2)*CG197*CJ197*VLOOKUP('Données projet'!$B$12,Paramètres!$A$1:$I$89,3,0)*0.475*44/12</f>
        <v>1.3835286706273405E-17</v>
      </c>
      <c r="CN197" s="22">
        <f t="shared" si="172"/>
        <v>7.0551288696228083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1">
        <f t="shared" si="202"/>
        <v>36.977471400949966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67">
        <f t="shared" si="192"/>
        <v>606.7488126899874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229</v>
      </c>
      <c r="O198" s="13">
        <f>N198*VLOOKUP('Données projet'!$B$9,Paramètres!$A$1:$I$89,3,0)*VLOOKUP('Données projet'!$B$9,Paramètres!$A$1:$I$89,5,0)</f>
        <v>136.94200000000001</v>
      </c>
      <c r="P198" s="13">
        <f t="shared" si="203"/>
        <v>35.595562742420903</v>
      </c>
      <c r="Q198" s="20">
        <f t="shared" si="162"/>
        <v>300.50292177638306</v>
      </c>
      <c r="R198" s="59">
        <f t="shared" si="191"/>
        <v>593.83625510971638</v>
      </c>
      <c r="S198" s="59">
        <f ca="1">AVERAGE(OFFSET($R$3,0,0,'Données projet'!$E$9+1,1))-AVERAGE(OFFSET($H$3,0,0,'Données projet'!$E$9+1,1))</f>
        <v>125.14227069357082</v>
      </c>
      <c r="T198" s="59">
        <f t="shared" si="204"/>
        <v>193.39407925063165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1.4878084747939657</v>
      </c>
      <c r="AA198" s="21">
        <f>EXP(-LN(2)/25)*AA197+(1-EXP(-LN(2)/25))/(LN(2)/25)*Calculateur!V198*Calculateur!X198*VLOOKUP('Données projet'!$B$9,Paramètres!$A$1:$I$89,3,0)*0.475*44/12</f>
        <v>0.30842526188558483</v>
      </c>
      <c r="AB198" s="21">
        <f>EXP(-LN(2)/2)*AB197+(1-EXP(-LN(2)/2))/(LN(2)/2)*V198*Y198*VLOOKUP('Données projet'!$B$9,Paramètres!$A$1:$I$89,3,0)*0.475*44/12</f>
        <v>7.1108998832126281E-21</v>
      </c>
      <c r="AC198" s="22">
        <f t="shared" si="163"/>
        <v>1.7962337366795507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-5.999999999994543E-2</v>
      </c>
      <c r="AJ198" s="13">
        <f>AI198*VLOOKUP('Données projet'!$B$10,Paramètres!$A$1:$I$89,3,0)*VLOOKUP('Données projet'!$B$10,Paramètres!$A$1:$I$89,5,0)</f>
        <v>-2.8079999999974462E-2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74.573470247551825</v>
      </c>
      <c r="AO198" s="59">
        <f t="shared" si="205"/>
        <v>122.43655207772224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5.0318157258786469</v>
      </c>
      <c r="AV198" s="21">
        <f>EXP(-LN(2)/25)*AV197+(1-EXP(-LN(2)/25))/(LN(2)/25)*Calculateur!AQ198*Calculateur!AS198*VLOOKUP('Données projet'!$B$10,Paramètres!$A$1:$I$89,3,0)*0.475*44/12</f>
        <v>0.78572410501655721</v>
      </c>
      <c r="AW198" s="21">
        <f>EXP(-LN(2)/2)*AW197+(1-EXP(-LN(2)/2))/(LN(2)/2)*AQ198*AT198*VLOOKUP('Données projet'!$B$10,Paramètres!$A$1:$I$89,3,0)*0.475*44/12</f>
        <v>2.0792817253689834E-19</v>
      </c>
      <c r="AX198" s="21">
        <f t="shared" si="166"/>
        <v>5.8175398308952042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209.99999999999977</v>
      </c>
      <c r="BE198" s="13">
        <f>BD198*VLOOKUP('Données projet'!$B$11,Paramètres!$A$1:$I$89,3,0)*VLOOKUP('Données projet'!$B$11,Paramètres!$A$1:$I$89,5,0)</f>
        <v>212.9399999999998</v>
      </c>
      <c r="BF198" s="13">
        <f t="shared" si="167"/>
        <v>52.577528895212772</v>
      </c>
      <c r="BG198" s="20">
        <f t="shared" si="168"/>
        <v>462.44302949249521</v>
      </c>
      <c r="BH198" s="59">
        <f t="shared" si="194"/>
        <v>755.77636282582853</v>
      </c>
      <c r="BI198" s="59">
        <f ca="1">AVERAGE(OFFSET($BH$3,0,0,'Données projet'!$E$11+1,1))-AVERAGE(OFFSET($H$3,0,0,'Données projet'!$E$11+1,1))</f>
        <v>183.74583738362492</v>
      </c>
      <c r="BJ198" s="59">
        <f t="shared" si="206"/>
        <v>46.344307013926596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11.637615937297442</v>
      </c>
      <c r="BQ198" s="21">
        <f>EXP(-LN(2)/25)*BQ197+(1-EXP(-LN(2)/25))/(LN(2)/25)*Calculateur!BL198*Calculateur!BN198*VLOOKUP('Données projet'!$B$11,Paramètres!$A$1:$I$89,3,0)*0.475*44/12</f>
        <v>0.29369277365321361</v>
      </c>
      <c r="BR198" s="21">
        <f>EXP(-LN(2)/2)*BR197+(1-EXP(-LN(2)/2))/(LN(2)/2)*BL198*BO198*VLOOKUP('Données projet'!$B$11,Paramètres!$A$1:$I$89,3,0)*0.475*44/12</f>
        <v>1.172560024814393E-10</v>
      </c>
      <c r="BS198" s="22">
        <f t="shared" si="169"/>
        <v>11.931308711067912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789.00000000000045</v>
      </c>
      <c r="BZ198" s="13">
        <f>BY198*VLOOKUP('Données projet'!$B$12,Paramètres!$A$1:$I$89,3,0)*VLOOKUP('Données projet'!$B$12,Paramètres!$A$1:$I$89,5,0)</f>
        <v>348.73800000000023</v>
      </c>
      <c r="CA198" s="13">
        <f t="shared" si="170"/>
        <v>81.302597726165047</v>
      </c>
      <c r="CB198" s="20">
        <f t="shared" si="171"/>
        <v>748.98737437307125</v>
      </c>
      <c r="CC198" s="59">
        <f t="shared" si="195"/>
        <v>1042.3207077064046</v>
      </c>
      <c r="CD198" s="59">
        <f ca="1">AVERAGE(OFFSET($CC$3,0,0,'Données projet'!$E$12+1,1))-AVERAGE(OFFSET($H$3,0,0,'Données projet'!$E$12+1,1))</f>
        <v>333.00091572040611</v>
      </c>
      <c r="CE198" s="59">
        <f t="shared" si="207"/>
        <v>267.06874181561398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5.9156720124115232</v>
      </c>
      <c r="CL198" s="21">
        <f>EXP(-LN(2)/25)*CL197+(1-EXP(-LN(2)/25))/(LN(2)/25)*Calculateur!CG198*Calculateur!CI198*VLOOKUP('Données projet'!$B$12,Paramètres!$A$1:$I$89,3,0)*0.475*44/12</f>
        <v>0.99321093606565181</v>
      </c>
      <c r="CM198" s="21">
        <f>EXP(-LN(2)/2)*CM197+(1-EXP(-LN(2)/2))/(LN(2)/2)*CG198*CJ198*VLOOKUP('Données projet'!$B$12,Paramètres!$A$1:$I$89,3,0)*0.475*44/12</f>
        <v>9.7830250496660197E-18</v>
      </c>
      <c r="CN198" s="22">
        <f t="shared" si="172"/>
        <v>6.9088829484771752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1">
        <f t="shared" si="202"/>
        <v>37.144976839760147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67">
        <f t="shared" si="192"/>
        <v>608.31754132924857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229</v>
      </c>
      <c r="O199" s="13">
        <f>N199*VLOOKUP('Données projet'!$B$9,Paramètres!$A$1:$I$89,3,0)*VLOOKUP('Données projet'!$B$9,Paramètres!$A$1:$I$89,5,0)</f>
        <v>136.94200000000001</v>
      </c>
      <c r="P199" s="13">
        <f t="shared" si="203"/>
        <v>35.595562742420903</v>
      </c>
      <c r="Q199" s="20">
        <f t="shared" si="162"/>
        <v>300.50292177638306</v>
      </c>
      <c r="R199" s="59">
        <f t="shared" si="191"/>
        <v>593.83625510971638</v>
      </c>
      <c r="S199" s="59">
        <f ca="1">AVERAGE(OFFSET($R$3,0,0,'Données projet'!$E$9+1,1))-AVERAGE(OFFSET($H$3,0,0,'Données projet'!$E$9+1,1))</f>
        <v>125.14227069357082</v>
      </c>
      <c r="T199" s="59">
        <f t="shared" si="204"/>
        <v>193.39407925063165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1.4586334580768201</v>
      </c>
      <c r="AA199" s="21">
        <f>EXP(-LN(2)/25)*AA198+(1-EXP(-LN(2)/25))/(LN(2)/25)*Calculateur!V199*Calculateur!X199*VLOOKUP('Données projet'!$B$9,Paramètres!$A$1:$I$89,3,0)*0.475*44/12</f>
        <v>0.29999135687994388</v>
      </c>
      <c r="AB199" s="21">
        <f>EXP(-LN(2)/2)*AB198+(1-EXP(-LN(2)/2))/(LN(2)/2)*V199*Y199*VLOOKUP('Données projet'!$B$9,Paramètres!$A$1:$I$89,3,0)*0.475*44/12</f>
        <v>5.0281655277582783E-21</v>
      </c>
      <c r="AC199" s="22">
        <f t="shared" si="163"/>
        <v>1.758624814956764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-5.999999999994543E-2</v>
      </c>
      <c r="AJ199" s="13">
        <f>AI199*VLOOKUP('Données projet'!$B$10,Paramètres!$A$1:$I$89,3,0)*VLOOKUP('Données projet'!$B$10,Paramètres!$A$1:$I$89,5,0)</f>
        <v>-2.8079999999974462E-2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74.573470247551825</v>
      </c>
      <c r="AO199" s="59">
        <f t="shared" si="205"/>
        <v>122.43655207772224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4.9331448885987106</v>
      </c>
      <c r="AV199" s="21">
        <f>EXP(-LN(2)/25)*AV198+(1-EXP(-LN(2)/25))/(LN(2)/25)*Calculateur!AQ199*Calculateur!AS199*VLOOKUP('Données projet'!$B$10,Paramètres!$A$1:$I$89,3,0)*0.475*44/12</f>
        <v>0.76423843804544456</v>
      </c>
      <c r="AW199" s="21">
        <f>EXP(-LN(2)/2)*AW198+(1-EXP(-LN(2)/2))/(LN(2)/2)*AQ199*AT199*VLOOKUP('Données projet'!$B$10,Paramètres!$A$1:$I$89,3,0)*0.475*44/12</f>
        <v>1.4702742080056727E-19</v>
      </c>
      <c r="AX199" s="21">
        <f t="shared" si="166"/>
        <v>5.6973833266441556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209.99999999999977</v>
      </c>
      <c r="BE199" s="13">
        <f>BD199*VLOOKUP('Données projet'!$B$11,Paramètres!$A$1:$I$89,3,0)*VLOOKUP('Données projet'!$B$11,Paramètres!$A$1:$I$89,5,0)</f>
        <v>212.9399999999998</v>
      </c>
      <c r="BF199" s="13">
        <f t="shared" si="167"/>
        <v>52.577528895212772</v>
      </c>
      <c r="BG199" s="20">
        <f t="shared" si="168"/>
        <v>462.44302949249521</v>
      </c>
      <c r="BH199" s="59">
        <f t="shared" si="194"/>
        <v>755.77636282582853</v>
      </c>
      <c r="BI199" s="59">
        <f ca="1">AVERAGE(OFFSET($BH$3,0,0,'Données projet'!$E$11+1,1))-AVERAGE(OFFSET($H$3,0,0,'Données projet'!$E$11+1,1))</f>
        <v>183.74583738362492</v>
      </c>
      <c r="BJ199" s="59">
        <f t="shared" si="206"/>
        <v>46.344307013926596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11.409409387011868</v>
      </c>
      <c r="BQ199" s="21">
        <f>EXP(-LN(2)/25)*BQ198+(1-EXP(-LN(2)/25))/(LN(2)/25)*Calculateur!BL199*Calculateur!BN199*VLOOKUP('Données projet'!$B$11,Paramètres!$A$1:$I$89,3,0)*0.475*44/12</f>
        <v>0.28566172931303474</v>
      </c>
      <c r="BR199" s="21">
        <f>EXP(-LN(2)/2)*BR198+(1-EXP(-LN(2)/2))/(LN(2)/2)*BL199*BO199*VLOOKUP('Données projet'!$B$11,Paramètres!$A$1:$I$89,3,0)*0.475*44/12</f>
        <v>8.2912514489452376E-11</v>
      </c>
      <c r="BS199" s="22">
        <f t="shared" si="169"/>
        <v>11.695071116407815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789.00000000000045</v>
      </c>
      <c r="BZ199" s="13">
        <f>BY199*VLOOKUP('Données projet'!$B$12,Paramètres!$A$1:$I$89,3,0)*VLOOKUP('Données projet'!$B$12,Paramètres!$A$1:$I$89,5,0)</f>
        <v>348.73800000000023</v>
      </c>
      <c r="CA199" s="13">
        <f t="shared" si="170"/>
        <v>81.302597726165047</v>
      </c>
      <c r="CB199" s="20">
        <f t="shared" si="171"/>
        <v>748.98737437307125</v>
      </c>
      <c r="CC199" s="59">
        <f t="shared" si="195"/>
        <v>1042.3207077064046</v>
      </c>
      <c r="CD199" s="59">
        <f ca="1">AVERAGE(OFFSET($CC$3,0,0,'Données projet'!$E$12+1,1))-AVERAGE(OFFSET($H$3,0,0,'Données projet'!$E$12+1,1))</f>
        <v>333.00091572040611</v>
      </c>
      <c r="CE199" s="59">
        <f t="shared" si="207"/>
        <v>267.06874181561398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5.7996692924517799</v>
      </c>
      <c r="CL199" s="21">
        <f>EXP(-LN(2)/25)*CL198+(1-EXP(-LN(2)/25))/(LN(2)/25)*Calculateur!CG199*Calculateur!CI199*VLOOKUP('Données projet'!$B$12,Paramètres!$A$1:$I$89,3,0)*0.475*44/12</f>
        <v>0.96605153078824346</v>
      </c>
      <c r="CM199" s="21">
        <f>EXP(-LN(2)/2)*CM198+(1-EXP(-LN(2)/2))/(LN(2)/2)*CG199*CJ199*VLOOKUP('Données projet'!$B$12,Paramètres!$A$1:$I$89,3,0)*0.475*44/12</f>
        <v>6.9176433531367041E-18</v>
      </c>
      <c r="CN199" s="22">
        <f t="shared" si="172"/>
        <v>6.7657208232400237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1">
        <f t="shared" si="202"/>
        <v>37.312382829927017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67">
        <f t="shared" si="192"/>
        <v>609.88609676212241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229</v>
      </c>
      <c r="O200" s="13">
        <f>N200*VLOOKUP('Données projet'!$B$9,Paramètres!$A$1:$I$89,3,0)*VLOOKUP('Données projet'!$B$9,Paramètres!$A$1:$I$89,5,0)</f>
        <v>136.94200000000001</v>
      </c>
      <c r="P200" s="13">
        <f t="shared" si="203"/>
        <v>35.595562742420903</v>
      </c>
      <c r="Q200" s="20">
        <f t="shared" si="162"/>
        <v>300.50292177638306</v>
      </c>
      <c r="R200" s="59">
        <f t="shared" si="191"/>
        <v>593.83625510971638</v>
      </c>
      <c r="S200" s="59">
        <f ca="1">AVERAGE(OFFSET($R$3,0,0,'Données projet'!$E$9+1,1))-AVERAGE(OFFSET($H$3,0,0,'Données projet'!$E$9+1,1))</f>
        <v>125.14227069357082</v>
      </c>
      <c r="T200" s="59">
        <f t="shared" si="204"/>
        <v>193.39407925063165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1.4300305456424947</v>
      </c>
      <c r="AA200" s="21">
        <f>EXP(-LN(2)/25)*AA199+(1-EXP(-LN(2)/25))/(LN(2)/25)*Calculateur!V200*Calculateur!X200*VLOOKUP('Données projet'!$B$9,Paramètres!$A$1:$I$89,3,0)*0.475*44/12</f>
        <v>0.29178807745020202</v>
      </c>
      <c r="AB200" s="21">
        <f>EXP(-LN(2)/2)*AB199+(1-EXP(-LN(2)/2))/(LN(2)/2)*V200*Y200*VLOOKUP('Données projet'!$B$9,Paramètres!$A$1:$I$89,3,0)*0.475*44/12</f>
        <v>3.5554499416063141E-21</v>
      </c>
      <c r="AC200" s="22">
        <f t="shared" si="163"/>
        <v>1.7218186230926966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-5.999999999994543E-2</v>
      </c>
      <c r="AJ200" s="13">
        <f>AI200*VLOOKUP('Données projet'!$B$10,Paramètres!$A$1:$I$89,3,0)*VLOOKUP('Données projet'!$B$10,Paramètres!$A$1:$I$89,5,0)</f>
        <v>-2.8079999999974462E-2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74.573470247551825</v>
      </c>
      <c r="AO200" s="59">
        <f t="shared" si="205"/>
        <v>122.43655207772224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4.836408926254566</v>
      </c>
      <c r="AV200" s="21">
        <f>EXP(-LN(2)/25)*AV199+(1-EXP(-LN(2)/25))/(LN(2)/25)*Calculateur!AQ200*Calculateur!AS200*VLOOKUP('Données projet'!$B$10,Paramètres!$A$1:$I$89,3,0)*0.475*44/12</f>
        <v>0.74334029776753907</v>
      </c>
      <c r="AW200" s="21">
        <f>EXP(-LN(2)/2)*AW199+(1-EXP(-LN(2)/2))/(LN(2)/2)*AQ200*AT200*VLOOKUP('Données projet'!$B$10,Paramètres!$A$1:$I$89,3,0)*0.475*44/12</f>
        <v>1.0396408626844917E-19</v>
      </c>
      <c r="AX200" s="21">
        <f t="shared" si="166"/>
        <v>5.5797492240221054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209.99999999999977</v>
      </c>
      <c r="BE200" s="13">
        <f>BD200*VLOOKUP('Données projet'!$B$11,Paramètres!$A$1:$I$89,3,0)*VLOOKUP('Données projet'!$B$11,Paramètres!$A$1:$I$89,5,0)</f>
        <v>212.9399999999998</v>
      </c>
      <c r="BF200" s="13">
        <f t="shared" si="167"/>
        <v>52.577528895212772</v>
      </c>
      <c r="BG200" s="20">
        <f t="shared" si="168"/>
        <v>462.44302949249521</v>
      </c>
      <c r="BH200" s="59">
        <f t="shared" si="194"/>
        <v>755.77636282582853</v>
      </c>
      <c r="BI200" s="59">
        <f ca="1">AVERAGE(OFFSET($BH$3,0,0,'Données projet'!$E$11+1,1))-AVERAGE(OFFSET($H$3,0,0,'Données projet'!$E$11+1,1))</f>
        <v>183.74583738362492</v>
      </c>
      <c r="BJ200" s="59">
        <f t="shared" si="206"/>
        <v>46.344307013926596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11.185677827985142</v>
      </c>
      <c r="BQ200" s="21">
        <f>EXP(-LN(2)/25)*BQ199+(1-EXP(-LN(2)/25))/(LN(2)/25)*Calculateur!BL200*Calculateur!BN200*VLOOKUP('Données projet'!$B$11,Paramètres!$A$1:$I$89,3,0)*0.475*44/12</f>
        <v>0.27785029430267233</v>
      </c>
      <c r="BR200" s="21">
        <f>EXP(-LN(2)/2)*BR199+(1-EXP(-LN(2)/2))/(LN(2)/2)*BL200*BO200*VLOOKUP('Données projet'!$B$11,Paramètres!$A$1:$I$89,3,0)*0.475*44/12</f>
        <v>5.8628001240719651E-11</v>
      </c>
      <c r="BS200" s="22">
        <f t="shared" si="169"/>
        <v>11.463528122346442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789.00000000000045</v>
      </c>
      <c r="BZ200" s="13">
        <f>BY200*VLOOKUP('Données projet'!$B$12,Paramètres!$A$1:$I$89,3,0)*VLOOKUP('Données projet'!$B$12,Paramètres!$A$1:$I$89,5,0)</f>
        <v>348.73800000000023</v>
      </c>
      <c r="CA200" s="13">
        <f t="shared" si="170"/>
        <v>81.302597726165047</v>
      </c>
      <c r="CB200" s="20">
        <f t="shared" si="171"/>
        <v>748.98737437307125</v>
      </c>
      <c r="CC200" s="59">
        <f t="shared" si="195"/>
        <v>1042.3207077064046</v>
      </c>
      <c r="CD200" s="59">
        <f ca="1">AVERAGE(OFFSET($CC$3,0,0,'Données projet'!$E$12+1,1))-AVERAGE(OFFSET($H$3,0,0,'Données projet'!$E$12+1,1))</f>
        <v>333.00091572040611</v>
      </c>
      <c r="CE200" s="59">
        <f t="shared" si="207"/>
        <v>267.06874181561398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5.6859413150757749</v>
      </c>
      <c r="CL200" s="21">
        <f>EXP(-LN(2)/25)*CL199+(1-EXP(-LN(2)/25))/(LN(2)/25)*Calculateur!CG200*Calculateur!CI200*VLOOKUP('Données projet'!$B$12,Paramètres!$A$1:$I$89,3,0)*0.475*44/12</f>
        <v>0.93963480087639684</v>
      </c>
      <c r="CM200" s="21">
        <f>EXP(-LN(2)/2)*CM199+(1-EXP(-LN(2)/2))/(LN(2)/2)*CG200*CJ200*VLOOKUP('Données projet'!$B$12,Paramètres!$A$1:$I$89,3,0)*0.475*44/12</f>
        <v>4.8915125248330106E-18</v>
      </c>
      <c r="CN200" s="22">
        <f t="shared" si="172"/>
        <v>6.625576115952172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1">
        <f t="shared" si="202"/>
        <v>37.479689934865021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67">
        <f t="shared" si="192"/>
        <v>611.45447996988946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229</v>
      </c>
      <c r="O201" s="13">
        <f>N201*VLOOKUP('Données projet'!$B$9,Paramètres!$A$1:$I$89,3,0)*VLOOKUP('Données projet'!$B$9,Paramètres!$A$1:$I$89,5,0)</f>
        <v>136.94200000000001</v>
      </c>
      <c r="P201" s="13">
        <f t="shared" si="203"/>
        <v>35.595562742420903</v>
      </c>
      <c r="Q201" s="20">
        <f t="shared" si="162"/>
        <v>300.50292177638306</v>
      </c>
      <c r="R201" s="59">
        <f t="shared" si="191"/>
        <v>593.83625510971638</v>
      </c>
      <c r="S201" s="59">
        <f ca="1">AVERAGE(OFFSET($R$3,0,0,'Données projet'!$E$9+1,1))-AVERAGE(OFFSET($H$3,0,0,'Données projet'!$E$9+1,1))</f>
        <v>125.14227069357082</v>
      </c>
      <c r="T201" s="59">
        <f t="shared" si="204"/>
        <v>193.39407925063165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1.4019885188749523</v>
      </c>
      <c r="AA201" s="21">
        <f>EXP(-LN(2)/25)*AA200+(1-EXP(-LN(2)/25))/(LN(2)/25)*Calculateur!V201*Calculateur!X201*VLOOKUP('Données projet'!$B$9,Paramètres!$A$1:$I$89,3,0)*0.475*44/12</f>
        <v>0.28380911712785817</v>
      </c>
      <c r="AB201" s="21">
        <f>EXP(-LN(2)/2)*AB200+(1-EXP(-LN(2)/2))/(LN(2)/2)*V201*Y201*VLOOKUP('Données projet'!$B$9,Paramètres!$A$1:$I$89,3,0)*0.475*44/12</f>
        <v>2.5140827638791391E-21</v>
      </c>
      <c r="AC201" s="22">
        <f t="shared" si="163"/>
        <v>1.6857976360028104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-5.999999999994543E-2</v>
      </c>
      <c r="AJ201" s="13">
        <f>AI201*VLOOKUP('Données projet'!$B$10,Paramètres!$A$1:$I$89,3,0)*VLOOKUP('Données projet'!$B$10,Paramètres!$A$1:$I$89,5,0)</f>
        <v>-2.8079999999974462E-2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74.573470247551825</v>
      </c>
      <c r="AO201" s="59">
        <f t="shared" si="205"/>
        <v>122.43655207772224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4.7415698971288789</v>
      </c>
      <c r="AV201" s="21">
        <f>EXP(-LN(2)/25)*AV200+(1-EXP(-LN(2)/25))/(LN(2)/25)*Calculateur!AQ201*Calculateur!AS201*VLOOKUP('Données projet'!$B$10,Paramètres!$A$1:$I$89,3,0)*0.475*44/12</f>
        <v>0.72301361823451837</v>
      </c>
      <c r="AW201" s="21">
        <f>EXP(-LN(2)/2)*AW200+(1-EXP(-LN(2)/2))/(LN(2)/2)*AQ201*AT201*VLOOKUP('Données projet'!$B$10,Paramètres!$A$1:$I$89,3,0)*0.475*44/12</f>
        <v>7.3513710400283637E-20</v>
      </c>
      <c r="AX201" s="21">
        <f t="shared" si="166"/>
        <v>5.4645835153633975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209.99999999999977</v>
      </c>
      <c r="BE201" s="13">
        <f>BD201*VLOOKUP('Données projet'!$B$11,Paramètres!$A$1:$I$89,3,0)*VLOOKUP('Données projet'!$B$11,Paramètres!$A$1:$I$89,5,0)</f>
        <v>212.9399999999998</v>
      </c>
      <c r="BF201" s="13">
        <f t="shared" si="167"/>
        <v>52.577528895212772</v>
      </c>
      <c r="BG201" s="20">
        <f t="shared" si="168"/>
        <v>462.44302949249521</v>
      </c>
      <c r="BH201" s="59">
        <f t="shared" si="194"/>
        <v>755.77636282582853</v>
      </c>
      <c r="BI201" s="59">
        <f ca="1">AVERAGE(OFFSET($BH$3,0,0,'Données projet'!$E$11+1,1))-AVERAGE(OFFSET($H$3,0,0,'Données projet'!$E$11+1,1))</f>
        <v>183.74583738362492</v>
      </c>
      <c r="BJ201" s="59">
        <f t="shared" si="206"/>
        <v>46.344307013926596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10.966333508368153</v>
      </c>
      <c r="BQ201" s="21">
        <f>EXP(-LN(2)/25)*BQ200+(1-EXP(-LN(2)/25))/(LN(2)/25)*Calculateur!BL201*Calculateur!BN201*VLOOKUP('Données projet'!$B$11,Paramètres!$A$1:$I$89,3,0)*0.475*44/12</f>
        <v>0.27025246339345382</v>
      </c>
      <c r="BR201" s="21">
        <f>EXP(-LN(2)/2)*BR200+(1-EXP(-LN(2)/2))/(LN(2)/2)*BL201*BO201*VLOOKUP('Données projet'!$B$11,Paramètres!$A$1:$I$89,3,0)*0.475*44/12</f>
        <v>4.1456257244726188E-11</v>
      </c>
      <c r="BS201" s="22">
        <f t="shared" si="169"/>
        <v>11.236585971803065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789.00000000000045</v>
      </c>
      <c r="BZ201" s="13">
        <f>BY201*VLOOKUP('Données projet'!$B$12,Paramètres!$A$1:$I$89,3,0)*VLOOKUP('Données projet'!$B$12,Paramètres!$A$1:$I$89,5,0)</f>
        <v>348.73800000000023</v>
      </c>
      <c r="CA201" s="13">
        <f t="shared" si="170"/>
        <v>81.302597726165047</v>
      </c>
      <c r="CB201" s="20">
        <f t="shared" si="171"/>
        <v>748.98737437307125</v>
      </c>
      <c r="CC201" s="59">
        <f t="shared" si="195"/>
        <v>1042.3207077064046</v>
      </c>
      <c r="CD201" s="59">
        <f ca="1">AVERAGE(OFFSET($CC$3,0,0,'Données projet'!$E$12+1,1))-AVERAGE(OFFSET($H$3,0,0,'Données projet'!$E$12+1,1))</f>
        <v>333.00091572040611</v>
      </c>
      <c r="CE201" s="59">
        <f t="shared" si="207"/>
        <v>267.06874181561398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5.5744434739688966</v>
      </c>
      <c r="CL201" s="21">
        <f>EXP(-LN(2)/25)*CL200+(1-EXP(-LN(2)/25))/(LN(2)/25)*Calculateur!CG201*Calculateur!CI201*VLOOKUP('Données projet'!$B$12,Paramètres!$A$1:$I$89,3,0)*0.475*44/12</f>
        <v>0.91394043783318513</v>
      </c>
      <c r="CM201" s="21">
        <f>EXP(-LN(2)/2)*CM200+(1-EXP(-LN(2)/2))/(LN(2)/2)*CG201*CJ201*VLOOKUP('Données projet'!$B$12,Paramètres!$A$1:$I$89,3,0)*0.475*44/12</f>
        <v>3.4588216765683524E-18</v>
      </c>
      <c r="CN201" s="22">
        <f t="shared" si="172"/>
        <v>6.4883839118020816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1">
        <f t="shared" si="202"/>
        <v>37.646898711967857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67">
        <f t="shared" si="192"/>
        <v>613.0226919233437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229</v>
      </c>
      <c r="O202" s="13">
        <f>N202*VLOOKUP('Données projet'!$B$9,Paramètres!$A$1:$I$89,3,0)*VLOOKUP('Données projet'!$B$9,Paramètres!$A$1:$I$89,5,0)</f>
        <v>136.94200000000001</v>
      </c>
      <c r="P202" s="13">
        <f t="shared" si="203"/>
        <v>35.595562742420903</v>
      </c>
      <c r="Q202" s="20">
        <f t="shared" si="162"/>
        <v>300.50292177638306</v>
      </c>
      <c r="R202" s="59">
        <f t="shared" si="191"/>
        <v>593.83625510971638</v>
      </c>
      <c r="S202" s="59">
        <f ca="1">AVERAGE(OFFSET($R$3,0,0,'Données projet'!$E$9+1,1))-AVERAGE(OFFSET($H$3,0,0,'Données projet'!$E$9+1,1))</f>
        <v>125.14227069357082</v>
      </c>
      <c r="T202" s="59">
        <f t="shared" si="204"/>
        <v>193.39407925063165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1.3744963791483742</v>
      </c>
      <c r="AA202" s="21">
        <f>EXP(-LN(2)/25)*AA201+(1-EXP(-LN(2)/25))/(LN(2)/25)*Calculateur!V202*Calculateur!X202*VLOOKUP('Données projet'!$B$9,Paramètres!$A$1:$I$89,3,0)*0.475*44/12</f>
        <v>0.27604834189512406</v>
      </c>
      <c r="AB202" s="21">
        <f>EXP(-LN(2)/2)*AB201+(1-EXP(-LN(2)/2))/(LN(2)/2)*V202*Y202*VLOOKUP('Données projet'!$B$9,Paramètres!$A$1:$I$89,3,0)*0.475*44/12</f>
        <v>1.777724970803157E-21</v>
      </c>
      <c r="AC202" s="22">
        <f t="shared" si="163"/>
        <v>1.6505447210434983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-5.999999999994543E-2</v>
      </c>
      <c r="AJ202" s="13">
        <f>AI202*VLOOKUP('Données projet'!$B$10,Paramètres!$A$1:$I$89,3,0)*VLOOKUP('Données projet'!$B$10,Paramètres!$A$1:$I$89,5,0)</f>
        <v>-2.8079999999974462E-2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74.573470247551825</v>
      </c>
      <c r="AO202" s="59">
        <f t="shared" si="205"/>
        <v>122.43655207772224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4.64859060351825</v>
      </c>
      <c r="AV202" s="21">
        <f>EXP(-LN(2)/25)*AV201+(1-EXP(-LN(2)/25))/(LN(2)/25)*Calculateur!AQ202*Calculateur!AS202*VLOOKUP('Données projet'!$B$10,Paramètres!$A$1:$I$89,3,0)*0.475*44/12</f>
        <v>0.70324277282226177</v>
      </c>
      <c r="AW202" s="21">
        <f>EXP(-LN(2)/2)*AW201+(1-EXP(-LN(2)/2))/(LN(2)/2)*AQ202*AT202*VLOOKUP('Données projet'!$B$10,Paramètres!$A$1:$I$89,3,0)*0.475*44/12</f>
        <v>5.1982043134224585E-20</v>
      </c>
      <c r="AX202" s="21">
        <f t="shared" si="166"/>
        <v>5.3518333763405117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209.99999999999977</v>
      </c>
      <c r="BE202" s="13">
        <f>BD202*VLOOKUP('Données projet'!$B$11,Paramètres!$A$1:$I$89,3,0)*VLOOKUP('Données projet'!$B$11,Paramètres!$A$1:$I$89,5,0)</f>
        <v>212.9399999999998</v>
      </c>
      <c r="BF202" s="13">
        <f t="shared" si="167"/>
        <v>52.577528895212772</v>
      </c>
      <c r="BG202" s="20">
        <f t="shared" si="168"/>
        <v>462.44302949249521</v>
      </c>
      <c r="BH202" s="59">
        <f t="shared" si="194"/>
        <v>755.77636282582853</v>
      </c>
      <c r="BI202" s="59">
        <f ca="1">AVERAGE(OFFSET($BH$3,0,0,'Données projet'!$E$11+1,1))-AVERAGE(OFFSET($H$3,0,0,'Données projet'!$E$11+1,1))</f>
        <v>183.74583738362492</v>
      </c>
      <c r="BJ202" s="59">
        <f t="shared" si="206"/>
        <v>46.344307013926596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10.751290397072029</v>
      </c>
      <c r="BQ202" s="21">
        <f>EXP(-LN(2)/25)*BQ201+(1-EXP(-LN(2)/25))/(LN(2)/25)*Calculateur!BL202*Calculateur!BN202*VLOOKUP('Données projet'!$B$11,Paramètres!$A$1:$I$89,3,0)*0.475*44/12</f>
        <v>0.26286239557000046</v>
      </c>
      <c r="BR202" s="21">
        <f>EXP(-LN(2)/2)*BR201+(1-EXP(-LN(2)/2))/(LN(2)/2)*BL202*BO202*VLOOKUP('Données projet'!$B$11,Paramètres!$A$1:$I$89,3,0)*0.475*44/12</f>
        <v>2.9314000620359825E-11</v>
      </c>
      <c r="BS202" s="22">
        <f t="shared" si="169"/>
        <v>11.014152792671343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789.00000000000045</v>
      </c>
      <c r="BZ202" s="13">
        <f>BY202*VLOOKUP('Données projet'!$B$12,Paramètres!$A$1:$I$89,3,0)*VLOOKUP('Données projet'!$B$12,Paramètres!$A$1:$I$89,5,0)</f>
        <v>348.73800000000023</v>
      </c>
      <c r="CA202" s="13">
        <f t="shared" si="170"/>
        <v>81.302597726165047</v>
      </c>
      <c r="CB202" s="20">
        <f t="shared" si="171"/>
        <v>748.98737437307125</v>
      </c>
      <c r="CC202" s="59">
        <f t="shared" si="195"/>
        <v>1042.3207077064046</v>
      </c>
      <c r="CD202" s="59">
        <f ca="1">AVERAGE(OFFSET($CC$3,0,0,'Données projet'!$E$12+1,1))-AVERAGE(OFFSET($H$3,0,0,'Données projet'!$E$12+1,1))</f>
        <v>333.00091572040611</v>
      </c>
      <c r="CE202" s="59">
        <f t="shared" si="207"/>
        <v>267.06874181561398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5.4651320375191563</v>
      </c>
      <c r="CL202" s="21">
        <f>EXP(-LN(2)/25)*CL201+(1-EXP(-LN(2)/25))/(LN(2)/25)*Calculateur!CG202*Calculateur!CI202*VLOOKUP('Données projet'!$B$12,Paramètres!$A$1:$I$89,3,0)*0.475*44/12</f>
        <v>0.88894868849859787</v>
      </c>
      <c r="CM202" s="21">
        <f>EXP(-LN(2)/2)*CM201+(1-EXP(-LN(2)/2))/(LN(2)/2)*CG202*CJ202*VLOOKUP('Données projet'!$B$12,Paramètres!$A$1:$I$89,3,0)*0.475*44/12</f>
        <v>2.4457562624165057E-18</v>
      </c>
      <c r="CN202" s="22">
        <f t="shared" si="172"/>
        <v>6.3540807260177541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1">
        <f t="shared" si="202"/>
        <v>37.81400971270299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67">
        <f t="shared" si="192"/>
        <v>614.59073358295734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229</v>
      </c>
      <c r="O203" s="13">
        <f>N203*VLOOKUP('Données projet'!$B$9,Paramètres!$A$1:$I$89,3,0)*VLOOKUP('Données projet'!$B$9,Paramètres!$A$1:$I$89,5,0)</f>
        <v>136.94200000000001</v>
      </c>
      <c r="P203" s="13">
        <f t="shared" si="203"/>
        <v>35.595562742420903</v>
      </c>
      <c r="Q203" s="20">
        <f t="shared" si="162"/>
        <v>300.50292177638306</v>
      </c>
      <c r="R203" s="59">
        <f t="shared" si="191"/>
        <v>593.83625510971638</v>
      </c>
      <c r="S203" s="59">
        <f ca="1">AVERAGE(OFFSET($R$3,0,0,'Données projet'!$E$9+1,1))-AVERAGE(OFFSET($H$3,0,0,'Données projet'!$E$9+1,1))</f>
        <v>125.14227069357082</v>
      </c>
      <c r="T203" s="59">
        <f t="shared" si="204"/>
        <v>193.39407925063165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1.3475433435132846</v>
      </c>
      <c r="AA203" s="21">
        <f>EXP(-LN(2)/25)*AA202+(1-EXP(-LN(2)/25))/(LN(2)/25)*Calculateur!V203*Calculateur!X203*VLOOKUP('Données projet'!$B$9,Paramètres!$A$1:$I$89,3,0)*0.475*44/12</f>
        <v>0.26849978546925052</v>
      </c>
      <c r="AB203" s="21">
        <f>EXP(-LN(2)/2)*AB202+(1-EXP(-LN(2)/2))/(LN(2)/2)*V203*Y203*VLOOKUP('Données projet'!$B$9,Paramètres!$A$1:$I$89,3,0)*0.475*44/12</f>
        <v>1.2570413819395696E-21</v>
      </c>
      <c r="AC203" s="22">
        <f t="shared" si="163"/>
        <v>1.6160431289825352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-5.999999999994543E-2</v>
      </c>
      <c r="AJ203" s="13">
        <f>AI203*VLOOKUP('Données projet'!$B$10,Paramètres!$A$1:$I$89,3,0)*VLOOKUP('Données projet'!$B$10,Paramètres!$A$1:$I$89,5,0)</f>
        <v>-2.8079999999974462E-2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74.573470247551825</v>
      </c>
      <c r="AO203" s="59">
        <f t="shared" si="205"/>
        <v>122.43655207772224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4.5574345771435567</v>
      </c>
      <c r="AV203" s="21">
        <f>EXP(-LN(2)/25)*AV202+(1-EXP(-LN(2)/25))/(LN(2)/25)*Calculateur!AQ203*Calculateur!AS203*VLOOKUP('Données projet'!$B$10,Paramètres!$A$1:$I$89,3,0)*0.475*44/12</f>
        <v>0.68401256221750684</v>
      </c>
      <c r="AW203" s="21">
        <f>EXP(-LN(2)/2)*AW202+(1-EXP(-LN(2)/2))/(LN(2)/2)*AQ203*AT203*VLOOKUP('Données projet'!$B$10,Paramètres!$A$1:$I$89,3,0)*0.475*44/12</f>
        <v>3.6756855200141818E-20</v>
      </c>
      <c r="AX203" s="21">
        <f t="shared" si="166"/>
        <v>5.241447139361064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209.99999999999977</v>
      </c>
      <c r="BE203" s="13">
        <f>BD203*VLOOKUP('Données projet'!$B$11,Paramètres!$A$1:$I$89,3,0)*VLOOKUP('Données projet'!$B$11,Paramètres!$A$1:$I$89,5,0)</f>
        <v>212.9399999999998</v>
      </c>
      <c r="BF203" s="13">
        <f t="shared" si="167"/>
        <v>52.577528895212772</v>
      </c>
      <c r="BG203" s="20">
        <f t="shared" si="168"/>
        <v>462.44302949249521</v>
      </c>
      <c r="BH203" s="59">
        <f t="shared" si="194"/>
        <v>755.77636282582853</v>
      </c>
      <c r="BI203" s="59">
        <f ca="1">AVERAGE(OFFSET($BH$3,0,0,'Données projet'!$E$11+1,1))-AVERAGE(OFFSET($H$3,0,0,'Données projet'!$E$11+1,1))</f>
        <v>183.74583738362492</v>
      </c>
      <c r="BJ203" s="59">
        <f t="shared" si="206"/>
        <v>46.344307013926596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10.540464150025077</v>
      </c>
      <c r="BQ203" s="21">
        <f>EXP(-LN(2)/25)*BQ202+(1-EXP(-LN(2)/25))/(LN(2)/25)*Calculateur!BL203*Calculateur!BN203*VLOOKUP('Données projet'!$B$11,Paramètres!$A$1:$I$89,3,0)*0.475*44/12</f>
        <v>0.25567440953980619</v>
      </c>
      <c r="BR203" s="21">
        <f>EXP(-LN(2)/2)*BR202+(1-EXP(-LN(2)/2))/(LN(2)/2)*BL203*BO203*VLOOKUP('Données projet'!$B$11,Paramètres!$A$1:$I$89,3,0)*0.475*44/12</f>
        <v>2.0728128622363094E-11</v>
      </c>
      <c r="BS203" s="22">
        <f t="shared" si="169"/>
        <v>10.796138559585611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789.00000000000045</v>
      </c>
      <c r="BZ203" s="13">
        <f>BY203*VLOOKUP('Données projet'!$B$12,Paramètres!$A$1:$I$89,3,0)*VLOOKUP('Données projet'!$B$12,Paramètres!$A$1:$I$89,5,0)</f>
        <v>348.73800000000023</v>
      </c>
      <c r="CA203" s="13">
        <f t="shared" si="170"/>
        <v>81.302597726165047</v>
      </c>
      <c r="CB203" s="20">
        <f t="shared" si="171"/>
        <v>748.98737437307125</v>
      </c>
      <c r="CC203" s="59">
        <f t="shared" si="195"/>
        <v>1042.3207077064046</v>
      </c>
      <c r="CD203" s="59">
        <f ca="1">AVERAGE(OFFSET($CC$3,0,0,'Données projet'!$E$12+1,1))-AVERAGE(OFFSET($H$3,0,0,'Données projet'!$E$12+1,1))</f>
        <v>333.00091572040611</v>
      </c>
      <c r="CE203" s="59">
        <f t="shared" si="207"/>
        <v>267.06874181561398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5.3579641316648026</v>
      </c>
      <c r="CL203" s="21">
        <f>EXP(-LN(2)/25)*CL202+(1-EXP(-LN(2)/25))/(LN(2)/25)*Calculateur!CG203*Calculateur!CI203*VLOOKUP('Données projet'!$B$12,Paramètres!$A$1:$I$89,3,0)*0.475*44/12</f>
        <v>0.86464033986382394</v>
      </c>
      <c r="CM203" s="21">
        <f>EXP(-LN(2)/2)*CM202+(1-EXP(-LN(2)/2))/(LN(2)/2)*CG203*CJ203*VLOOKUP('Données projet'!$B$12,Paramètres!$A$1:$I$89,3,0)*0.475*44/12</f>
        <v>1.7294108382841766E-18</v>
      </c>
      <c r="CN203" s="22">
        <f t="shared" si="172"/>
        <v>6.2226044715286264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1.2364440913349526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1.2211012640520602</v>
      </c>
      <c r="BA205" s="82">
        <f>EXP(LN('Données projet'!B88)/'Données projet'!A88)</f>
        <v>1.1329687128267454</v>
      </c>
      <c r="BV205" s="82">
        <f>EXP(LN('Données projet'!B114)/'Données projet'!A114)</f>
        <v>1.2834113234941327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B11" zoomScale="90" zoomScaleNormal="90" workbookViewId="0">
      <selection activeCell="N5" sqref="N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5.1000000000000005</v>
      </c>
      <c r="C6" s="147">
        <f ca="1">IF(OR('Données projet'!B9="",'Données projet'!C9="",'Données projet'!C9=0%),0,Calculateur!S3)</f>
        <v>125.14227069357082</v>
      </c>
      <c r="D6" s="147">
        <f>IF(OR('Données projet'!B9="",'Données projet'!C9="",'Données projet'!C9=0%),0,Calculateur!T3)</f>
        <v>193.39407925063165</v>
      </c>
      <c r="E6" s="147">
        <f ca="1">MIN(C6,D6)</f>
        <v>125.14227069357082</v>
      </c>
      <c r="F6" s="147">
        <f ca="1">E6*B6</f>
        <v>638.22558053721127</v>
      </c>
      <c r="G6" s="147">
        <f ca="1">F6*(100%-'Données projet'!$C$24)*(100%-'Données projet'!$C$25)*(100%-'Données projet'!$C$26)*(100%-'Données projet'!$C$27)</f>
        <v>488.24256911096666</v>
      </c>
      <c r="H6" s="148">
        <f>IF(OR('Données projet'!B9="",'Données projet'!C9="",'Données projet'!C9=0%),0,AVERAGE(Calculateur!$AC$3:$AC$33)*B6)</f>
        <v>26.593094614013861</v>
      </c>
      <c r="I6" s="149">
        <f>H6*(100%-'Données projet'!$C$24)*(100%-'Données projet'!$C$25)*(100%-'Données projet'!$C$26)*(100%-'Données projet'!$C$27)</f>
        <v>20.343717379720605</v>
      </c>
      <c r="J6" s="150">
        <f>IF(OR('Données projet'!B9="",'Données projet'!C9="",'Données projet'!C9=0%),0,SUM(Calculateur!$V$3:$V$33)*VLOOKUP('Données projet'!$B$9,Paramètres!$A$1:$I$89,9,0)*B6)</f>
        <v>358.07100000000003</v>
      </c>
      <c r="K6" s="151">
        <f>J6*(100%-'Données projet'!$C$24)*(100%-'Données projet'!$C$25)*(100%-'Données projet'!$C$26)*(100%-'Données projet'!$C$27)</f>
        <v>273.92431500000004</v>
      </c>
      <c r="L6" s="152">
        <f ca="1">G6+I6+K6</f>
        <v>782.51060149068735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1.5</v>
      </c>
      <c r="C7" s="147">
        <f ca="1">IF(OR('Données projet'!B10="",'Données projet'!C10="",'Données projet'!C10=0%),0,Calculateur!AN3)</f>
        <v>74.573470247551825</v>
      </c>
      <c r="D7" s="147">
        <f>IF(OR('Données projet'!B10="",'Données projet'!C10="",'Données projet'!C10=0%),0,Calculateur!AO3)</f>
        <v>122.43655207772224</v>
      </c>
      <c r="E7" s="147">
        <f t="shared" ref="E7:E15" ca="1" si="0">MIN(C7,D7)</f>
        <v>74.573470247551825</v>
      </c>
      <c r="F7" s="147">
        <f t="shared" ref="F7:F15" ca="1" si="1">E7*B7</f>
        <v>111.86020537132774</v>
      </c>
      <c r="G7" s="147">
        <f ca="1">F7*(100%-'Données projet'!$C$24)*(100%-'Données projet'!$C$25)*(100%-'Données projet'!$C$26)*(100%-'Données projet'!$C$27)</f>
        <v>85.573057109065715</v>
      </c>
      <c r="H7" s="155">
        <f>IF(OR('Données projet'!B10="",'Données projet'!C10="",'Données projet'!C10=0%),0,AVERAGE(Calculateur!$AX$3:$AX$33)*B7)</f>
        <v>1.2220571489578895</v>
      </c>
      <c r="I7" s="149">
        <f>H7*(100%-'Données projet'!$C$24)*(100%-'Données projet'!$C$25)*(100%-'Données projet'!$C$26)*(100%-'Données projet'!$C$27)</f>
        <v>0.93487371895278548</v>
      </c>
      <c r="J7" s="150">
        <f>IF(OR('Données projet'!B10="",'Données projet'!C10="",'Données projet'!C10=0%),0,SUM(Calculateur!$AQ$3:$AQ$33)*VLOOKUP('Données projet'!$B$10,Paramètres!$A$1:$I$89,9,0)*B7)</f>
        <v>9.5137499999999999</v>
      </c>
      <c r="K7" s="151">
        <f>J7*(100%-'Données projet'!$C$24)*(100%-'Données projet'!$C$25)*(100%-'Données projet'!$C$26)*(100%-'Données projet'!$C$27)</f>
        <v>7.2780187499999993</v>
      </c>
      <c r="L7" s="152">
        <f t="shared" ref="L7:L15" ca="1" si="2">G7+I7+K7</f>
        <v>93.785949578018503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pubescent</v>
      </c>
      <c r="B8" s="154">
        <f>'Données projet'!D11</f>
        <v>0.75</v>
      </c>
      <c r="C8" s="147">
        <f ca="1">IF(OR('Données projet'!B11="",'Données projet'!C11="",'Données projet'!C11=0%),0,Calculateur!BI3)</f>
        <v>183.74583738362492</v>
      </c>
      <c r="D8" s="147">
        <f>IF(OR('Données projet'!B11="",'Données projet'!C11="",'Données projet'!C11=0%),0,Calculateur!BJ3)</f>
        <v>46.344307013926596</v>
      </c>
      <c r="E8" s="147">
        <f t="shared" ca="1" si="0"/>
        <v>46.344307013926596</v>
      </c>
      <c r="F8" s="147">
        <f t="shared" ca="1" si="1"/>
        <v>34.758230260444947</v>
      </c>
      <c r="G8" s="147">
        <f ca="1">F8*(100%-'Données projet'!$C$24)*(100%-'Données projet'!$C$25)*(100%-'Données projet'!$C$26)*(100%-'Données projet'!$C$27)</f>
        <v>26.590046149240383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26.590046149240383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Séquoia toujours vert</v>
      </c>
      <c r="B9" s="154">
        <f>'Données projet'!D12</f>
        <v>0.15</v>
      </c>
      <c r="C9" s="147">
        <f ca="1">IF(OR('Données projet'!B12="",'Données projet'!C12="",'Données projet'!C12=0%),0,Calculateur!CD3)</f>
        <v>333.00091572040611</v>
      </c>
      <c r="D9" s="147">
        <f>IF(OR('Données projet'!B12="",'Données projet'!C12="",'Données projet'!C12=0%),0,Calculateur!CE3)</f>
        <v>267.06874181561398</v>
      </c>
      <c r="E9" s="147">
        <f t="shared" ca="1" si="0"/>
        <v>267.06874181561398</v>
      </c>
      <c r="F9" s="147">
        <f t="shared" ca="1" si="1"/>
        <v>40.060311272342098</v>
      </c>
      <c r="G9" s="147">
        <f ca="1">F9*(100%-'Données projet'!$C$24)*(100%-'Données projet'!$C$25)*(100%-'Données projet'!$C$26)*(100%-'Données projet'!$C$27)</f>
        <v>30.646138123341704</v>
      </c>
      <c r="H9" s="155">
        <f>IF(OR('Données projet'!B12="",'Données projet'!C12="",'Données projet'!C12=0%),0,AVERAGE(Calculateur!$CN$3:$CN$33)*B9)</f>
        <v>1.2552085195432472</v>
      </c>
      <c r="I9" s="149">
        <f>H9*(100%-'Données projet'!$C$24)*(100%-'Données projet'!$C$25)*(100%-'Données projet'!$C$26)*(100%-'Données projet'!$C$27)</f>
        <v>0.96023451745058408</v>
      </c>
      <c r="J9" s="150">
        <f>IF(OR('Données projet'!B12="",'Données projet'!C12="",'Données projet'!C12=0%),0,SUM(Calculateur!$CG$3:$CG$33)*VLOOKUP('Données projet'!$B$12,Paramètres!$A$1:$I$89,9,0)*B9)</f>
        <v>11.932499999999999</v>
      </c>
      <c r="K9" s="151">
        <f>J9*(100%-'Données projet'!$C$24)*(100%-'Données projet'!$C$25)*(100%-'Données projet'!$C$26)*(100%-'Données projet'!$C$27)</f>
        <v>9.1283624999999997</v>
      </c>
      <c r="L9" s="152">
        <f t="shared" ca="1" si="2"/>
        <v>40.734735140792289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824.90432744132613</v>
      </c>
      <c r="G16" s="166">
        <f t="shared" ca="1" si="3"/>
        <v>631.05181049261455</v>
      </c>
      <c r="H16" s="167">
        <f t="shared" si="3"/>
        <v>29.070360282514997</v>
      </c>
      <c r="I16" s="167">
        <f t="shared" si="3"/>
        <v>22.238825616123975</v>
      </c>
      <c r="J16" s="168">
        <f t="shared" si="3"/>
        <v>379.51725000000005</v>
      </c>
      <c r="K16" s="168">
        <f t="shared" si="3"/>
        <v>290.33069625000002</v>
      </c>
      <c r="L16" s="169">
        <f t="shared" ca="1" si="3"/>
        <v>943.62133235873853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pubescent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Séquoia toujours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L1" zoomScale="80" zoomScaleNormal="80" workbookViewId="0">
      <selection activeCell="C27" sqref="C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1185.7252357511113</v>
      </c>
      <c r="U10" s="178">
        <f>'Données projet'!D9</f>
        <v>5.1000000000000005</v>
      </c>
      <c r="V10" s="177">
        <f>U10*T10</f>
        <v>6047.1987023306683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1805.5265788261104</v>
      </c>
      <c r="U11" s="178">
        <f>'Données projet'!D10</f>
        <v>1.5</v>
      </c>
      <c r="V11" s="177">
        <f t="shared" ref="V11" si="0">U11*T11</f>
        <v>2708.2898682391656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pubescent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328.15401710928444</v>
      </c>
      <c r="U12" s="178">
        <f>'Données projet'!D11</f>
        <v>0.75</v>
      </c>
      <c r="V12" s="177">
        <f t="shared" ref="V12:V19" si="1">U12*T12</f>
        <v>246.11551283196331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Séquoia toujours vert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2132.2367792095215</v>
      </c>
      <c r="U13" s="178">
        <f>'Données projet'!D12</f>
        <v>0.15</v>
      </c>
      <c r="V13" s="177">
        <f t="shared" si="1"/>
        <v>319.83551688142819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45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44.999999999999993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50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2249.9999999999995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v>5818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1621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1676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24</v>
      </c>
      <c r="B23" s="181">
        <f>'Données projet'!D36</f>
        <v>59</v>
      </c>
      <c r="C23" s="193">
        <f>15</f>
        <v>15</v>
      </c>
      <c r="D23" s="182">
        <f>B23*C23</f>
        <v>885</v>
      </c>
      <c r="E23" s="193">
        <f>75+(D23*12%)</f>
        <v>181.2</v>
      </c>
      <c r="F23" s="230"/>
      <c r="H23" s="190">
        <v>4</v>
      </c>
      <c r="I23" s="191">
        <v>1731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-83186.684692049414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60</v>
      </c>
      <c r="C24" s="193">
        <f>30</f>
        <v>30</v>
      </c>
      <c r="D24" s="182">
        <f t="shared" ref="D24:D42" si="2">B24*C24</f>
        <v>1800</v>
      </c>
      <c r="E24" s="193">
        <f t="shared" ref="E24:E26" si="3">75+(D24*12%)</f>
        <v>291</v>
      </c>
      <c r="F24" s="233"/>
      <c r="H24" s="190">
        <v>5</v>
      </c>
      <c r="I24" s="191">
        <v>1786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2328.1486781247363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46</v>
      </c>
      <c r="B25" s="181">
        <f>'Données projet'!D38</f>
        <v>68</v>
      </c>
      <c r="C25" s="193">
        <f>40</f>
        <v>40</v>
      </c>
      <c r="D25" s="182">
        <f t="shared" si="2"/>
        <v>2720</v>
      </c>
      <c r="E25" s="193">
        <f t="shared" si="3"/>
        <v>401.4</v>
      </c>
      <c r="F25" s="233"/>
      <c r="H25" s="190">
        <v>6</v>
      </c>
      <c r="I25" s="191">
        <v>1210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-85514.83337017415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54</v>
      </c>
      <c r="B26" s="181">
        <f>'Données projet'!D39</f>
        <v>65</v>
      </c>
      <c r="C26" s="193">
        <f>45</f>
        <v>45</v>
      </c>
      <c r="D26" s="182">
        <f t="shared" si="2"/>
        <v>2925</v>
      </c>
      <c r="E26" s="193">
        <f t="shared" si="3"/>
        <v>426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0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25</v>
      </c>
      <c r="B54" s="181">
        <f>'Données projet'!D62</f>
        <v>14.75</v>
      </c>
      <c r="C54" s="191">
        <f>15</f>
        <v>15</v>
      </c>
      <c r="D54" s="179">
        <f>B54*C54</f>
        <v>221.25</v>
      </c>
      <c r="E54" s="193">
        <f>75+(D54*12%)</f>
        <v>101.55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33</v>
      </c>
      <c r="B55" s="181">
        <f>'Données projet'!D63</f>
        <v>42.69</v>
      </c>
      <c r="C55" s="191">
        <f>20</f>
        <v>20</v>
      </c>
      <c r="D55" s="179">
        <f t="shared" ref="D55:D73" si="5">B55*C55</f>
        <v>853.8</v>
      </c>
      <c r="E55" s="193">
        <f t="shared" ref="E55:E58" si="6">75+(D55*12%)</f>
        <v>177.45599999999999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41</v>
      </c>
      <c r="B56" s="181">
        <f>'Données projet'!D64</f>
        <v>85.55</v>
      </c>
      <c r="C56" s="191">
        <f>30</f>
        <v>30</v>
      </c>
      <c r="D56" s="179">
        <f t="shared" si="5"/>
        <v>2566.5</v>
      </c>
      <c r="E56" s="193">
        <f t="shared" si="6"/>
        <v>382.97999999999996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52</v>
      </c>
      <c r="B57" s="181">
        <f>'Données projet'!D65</f>
        <v>135.63999999999999</v>
      </c>
      <c r="C57" s="191">
        <f>40</f>
        <v>40</v>
      </c>
      <c r="D57" s="179">
        <f t="shared" si="5"/>
        <v>5425.5999999999995</v>
      </c>
      <c r="E57" s="193">
        <f t="shared" si="6"/>
        <v>726.07199999999989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264.36</v>
      </c>
      <c r="C58" s="191">
        <f>50*(1+12.8%)</f>
        <v>56.400000000000006</v>
      </c>
      <c r="D58" s="179">
        <f t="shared" si="5"/>
        <v>14909.904000000002</v>
      </c>
      <c r="E58" s="193">
        <f t="shared" si="6"/>
        <v>1864.1884800000003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5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5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5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7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7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7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7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7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7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7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7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7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7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7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pubescent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7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7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7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7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7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7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7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7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7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35</v>
      </c>
      <c r="B85" s="181">
        <f>'Données projet'!D88</f>
        <v>13</v>
      </c>
      <c r="C85" s="191">
        <v>13</v>
      </c>
      <c r="D85" s="179">
        <f>B85*C85</f>
        <v>169</v>
      </c>
      <c r="E85" s="193">
        <f>75+(D85*12%)</f>
        <v>95.28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7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40</v>
      </c>
      <c r="B86" s="181">
        <f>'Données projet'!D89</f>
        <v>14</v>
      </c>
      <c r="C86" s="191">
        <v>13</v>
      </c>
      <c r="D86" s="179">
        <f t="shared" ref="D86:D104" si="8">B86*C86</f>
        <v>182</v>
      </c>
      <c r="E86" s="193">
        <f t="shared" ref="E86:E104" si="9">75+(D86*12%)</f>
        <v>96.84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7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45</v>
      </c>
      <c r="B87" s="181">
        <f>'Données projet'!D90</f>
        <v>14</v>
      </c>
      <c r="C87" s="191">
        <v>25</v>
      </c>
      <c r="D87" s="179">
        <f t="shared" si="8"/>
        <v>350</v>
      </c>
      <c r="E87" s="193">
        <f t="shared" si="9"/>
        <v>117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7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14</v>
      </c>
      <c r="C88" s="191">
        <v>25</v>
      </c>
      <c r="D88" s="179">
        <f t="shared" si="8"/>
        <v>350</v>
      </c>
      <c r="E88" s="193">
        <f t="shared" si="9"/>
        <v>117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7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55</v>
      </c>
      <c r="B89" s="181">
        <f>'Données projet'!D92</f>
        <v>14</v>
      </c>
      <c r="C89" s="191">
        <v>40</v>
      </c>
      <c r="D89" s="179">
        <f t="shared" si="8"/>
        <v>560</v>
      </c>
      <c r="E89" s="193">
        <f t="shared" si="9"/>
        <v>142.19999999999999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7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14</v>
      </c>
      <c r="C90" s="191">
        <v>40</v>
      </c>
      <c r="D90" s="179">
        <f t="shared" si="8"/>
        <v>560</v>
      </c>
      <c r="E90" s="193">
        <f t="shared" si="9"/>
        <v>142.19999999999999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7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65</v>
      </c>
      <c r="B91" s="181">
        <f>'Données projet'!D94</f>
        <v>14</v>
      </c>
      <c r="C91" s="191">
        <v>50</v>
      </c>
      <c r="D91" s="179">
        <f t="shared" si="8"/>
        <v>700</v>
      </c>
      <c r="E91" s="193">
        <f t="shared" si="9"/>
        <v>159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7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70</v>
      </c>
      <c r="B92" s="181">
        <f>'Données projet'!D95</f>
        <v>14</v>
      </c>
      <c r="C92" s="191">
        <v>50</v>
      </c>
      <c r="D92" s="179">
        <f t="shared" si="8"/>
        <v>700</v>
      </c>
      <c r="E92" s="193">
        <f t="shared" si="9"/>
        <v>159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7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75</v>
      </c>
      <c r="B93" s="181">
        <f>'Données projet'!D96</f>
        <v>14</v>
      </c>
      <c r="C93" s="191">
        <v>50</v>
      </c>
      <c r="D93" s="179">
        <f t="shared" si="8"/>
        <v>700</v>
      </c>
      <c r="E93" s="193">
        <f t="shared" si="9"/>
        <v>159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7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80</v>
      </c>
      <c r="B94" s="181">
        <f>'Données projet'!D97</f>
        <v>14</v>
      </c>
      <c r="C94" s="191">
        <v>60</v>
      </c>
      <c r="D94" s="179">
        <f t="shared" si="8"/>
        <v>840</v>
      </c>
      <c r="E94" s="193">
        <f t="shared" si="9"/>
        <v>175.8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7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85</v>
      </c>
      <c r="B95" s="181">
        <f>'Données projet'!D98</f>
        <v>14</v>
      </c>
      <c r="C95" s="191">
        <v>6</v>
      </c>
      <c r="D95" s="179">
        <f t="shared" si="8"/>
        <v>84</v>
      </c>
      <c r="E95" s="193">
        <f t="shared" si="9"/>
        <v>85.08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7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90</v>
      </c>
      <c r="B96" s="181">
        <f>'Données projet'!D99</f>
        <v>14</v>
      </c>
      <c r="C96" s="191">
        <v>70</v>
      </c>
      <c r="D96" s="179">
        <f t="shared" si="8"/>
        <v>980</v>
      </c>
      <c r="E96" s="193">
        <f t="shared" si="9"/>
        <v>192.6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7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95</v>
      </c>
      <c r="B97" s="181">
        <f>'Données projet'!D100</f>
        <v>14</v>
      </c>
      <c r="C97" s="191">
        <v>70</v>
      </c>
      <c r="D97" s="179">
        <f t="shared" si="8"/>
        <v>980</v>
      </c>
      <c r="E97" s="193">
        <f t="shared" si="9"/>
        <v>192.6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10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100</v>
      </c>
      <c r="B98" s="181">
        <f>'Données projet'!D101</f>
        <v>14</v>
      </c>
      <c r="C98" s="191">
        <v>80</v>
      </c>
      <c r="D98" s="179">
        <f t="shared" si="8"/>
        <v>1120</v>
      </c>
      <c r="E98" s="193">
        <f t="shared" si="9"/>
        <v>209.4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10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105</v>
      </c>
      <c r="B99" s="181">
        <f>'Données projet'!D102</f>
        <v>14</v>
      </c>
      <c r="C99" s="191">
        <v>80</v>
      </c>
      <c r="D99" s="179">
        <f t="shared" si="8"/>
        <v>1120</v>
      </c>
      <c r="E99" s="193">
        <f t="shared" si="9"/>
        <v>209.4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10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110</v>
      </c>
      <c r="B100" s="181">
        <f>'Données projet'!D103</f>
        <v>13</v>
      </c>
      <c r="C100" s="191">
        <v>90</v>
      </c>
      <c r="D100" s="179">
        <f t="shared" si="8"/>
        <v>1170</v>
      </c>
      <c r="E100" s="193">
        <f t="shared" si="9"/>
        <v>215.4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10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115</v>
      </c>
      <c r="B101" s="181">
        <f>'Données projet'!D104</f>
        <v>13</v>
      </c>
      <c r="C101" s="191">
        <v>120</v>
      </c>
      <c r="D101" s="179">
        <f t="shared" si="8"/>
        <v>1560</v>
      </c>
      <c r="E101" s="193">
        <f t="shared" si="9"/>
        <v>262.2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10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120</v>
      </c>
      <c r="B102" s="181">
        <f>'Données projet'!D105</f>
        <v>12</v>
      </c>
      <c r="C102" s="191">
        <v>120</v>
      </c>
      <c r="D102" s="179">
        <f t="shared" si="8"/>
        <v>1440</v>
      </c>
      <c r="E102" s="193">
        <f t="shared" si="9"/>
        <v>247.79999999999998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10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125</v>
      </c>
      <c r="B103" s="181">
        <f>'Données projet'!D106</f>
        <v>11</v>
      </c>
      <c r="C103" s="191">
        <v>130</v>
      </c>
      <c r="D103" s="179">
        <f t="shared" si="8"/>
        <v>1430</v>
      </c>
      <c r="E103" s="193">
        <f t="shared" si="9"/>
        <v>246.6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10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130</v>
      </c>
      <c r="B104" s="181">
        <f>'Données projet'!D107</f>
        <v>10</v>
      </c>
      <c r="C104" s="191">
        <v>140</v>
      </c>
      <c r="D104" s="179">
        <f t="shared" si="8"/>
        <v>1400</v>
      </c>
      <c r="E104" s="193">
        <f t="shared" si="9"/>
        <v>243</v>
      </c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10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10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10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Séquoia toujours vert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10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10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10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10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10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10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10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10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10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20</v>
      </c>
      <c r="B116" s="181">
        <f>'Données projet'!D114</f>
        <v>45</v>
      </c>
      <c r="C116" s="191">
        <f>8</f>
        <v>8</v>
      </c>
      <c r="D116" s="179">
        <f>B116*C116</f>
        <v>360</v>
      </c>
      <c r="E116" s="193">
        <f>75+(D116*12%)</f>
        <v>118.19999999999999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10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25</v>
      </c>
      <c r="B117" s="181">
        <f>'Données projet'!D115</f>
        <v>70</v>
      </c>
      <c r="C117" s="191">
        <f>8</f>
        <v>8</v>
      </c>
      <c r="D117" s="179">
        <f t="shared" ref="D117:D135" si="11">B117*C117</f>
        <v>560</v>
      </c>
      <c r="E117" s="193">
        <f t="shared" ref="E117:E128" si="12">75+(D117*12%)</f>
        <v>142.19999999999999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10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70</v>
      </c>
      <c r="C118" s="191">
        <f>18</f>
        <v>18</v>
      </c>
      <c r="D118" s="179">
        <f t="shared" si="11"/>
        <v>1260</v>
      </c>
      <c r="E118" s="193">
        <f t="shared" si="12"/>
        <v>226.2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10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35</v>
      </c>
      <c r="B119" s="181">
        <f>'Données projet'!D117</f>
        <v>70</v>
      </c>
      <c r="C119" s="191">
        <f>30</f>
        <v>30</v>
      </c>
      <c r="D119" s="179">
        <f t="shared" si="11"/>
        <v>2100</v>
      </c>
      <c r="E119" s="193">
        <f t="shared" si="12"/>
        <v>327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10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40</v>
      </c>
      <c r="B120" s="181">
        <f>'Données projet'!D118</f>
        <v>70</v>
      </c>
      <c r="C120" s="191">
        <f>30</f>
        <v>30</v>
      </c>
      <c r="D120" s="179">
        <f t="shared" si="11"/>
        <v>2100</v>
      </c>
      <c r="E120" s="193">
        <f t="shared" si="12"/>
        <v>327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10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45</v>
      </c>
      <c r="B121" s="181">
        <f>'Données projet'!D119</f>
        <v>60</v>
      </c>
      <c r="C121" s="191">
        <f>40</f>
        <v>40</v>
      </c>
      <c r="D121" s="179">
        <f t="shared" si="11"/>
        <v>2400</v>
      </c>
      <c r="E121" s="193">
        <f t="shared" si="12"/>
        <v>363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10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50</v>
      </c>
      <c r="B122" s="181">
        <f>'Données projet'!D120</f>
        <v>51</v>
      </c>
      <c r="C122" s="191">
        <f>40</f>
        <v>40</v>
      </c>
      <c r="D122" s="179">
        <f t="shared" si="11"/>
        <v>2040</v>
      </c>
      <c r="E122" s="193">
        <f t="shared" si="12"/>
        <v>319.79999999999995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10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55</v>
      </c>
      <c r="B123" s="181">
        <f>'Données projet'!D121</f>
        <v>44</v>
      </c>
      <c r="C123" s="191">
        <f>40</f>
        <v>40</v>
      </c>
      <c r="D123" s="179">
        <f t="shared" si="11"/>
        <v>1760</v>
      </c>
      <c r="E123" s="193">
        <f t="shared" si="12"/>
        <v>286.2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10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60</v>
      </c>
      <c r="B124" s="181">
        <f>'Données projet'!D122</f>
        <v>39</v>
      </c>
      <c r="C124" s="191">
        <f>50</f>
        <v>50</v>
      </c>
      <c r="D124" s="179">
        <f t="shared" si="11"/>
        <v>1950</v>
      </c>
      <c r="E124" s="193">
        <f t="shared" si="12"/>
        <v>309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10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65</v>
      </c>
      <c r="B125" s="181">
        <f>'Données projet'!D123</f>
        <v>34</v>
      </c>
      <c r="C125" s="191">
        <f>50</f>
        <v>50</v>
      </c>
      <c r="D125" s="179">
        <f t="shared" si="11"/>
        <v>1700</v>
      </c>
      <c r="E125" s="193">
        <f t="shared" si="12"/>
        <v>279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10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70</v>
      </c>
      <c r="B126" s="181">
        <f>'Données projet'!D124</f>
        <v>29</v>
      </c>
      <c r="C126" s="191">
        <f>50</f>
        <v>50</v>
      </c>
      <c r="D126" s="179">
        <f t="shared" si="11"/>
        <v>1450</v>
      </c>
      <c r="E126" s="193">
        <f t="shared" si="12"/>
        <v>249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10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75</v>
      </c>
      <c r="B127" s="181">
        <f>'Données projet'!D125</f>
        <v>25</v>
      </c>
      <c r="C127" s="191">
        <v>60</v>
      </c>
      <c r="D127" s="179">
        <f t="shared" si="11"/>
        <v>1500</v>
      </c>
      <c r="E127" s="193">
        <f t="shared" si="12"/>
        <v>255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10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80</v>
      </c>
      <c r="B128" s="181">
        <f>'Données projet'!D126</f>
        <v>21</v>
      </c>
      <c r="C128" s="191">
        <v>60</v>
      </c>
      <c r="D128" s="179">
        <f t="shared" si="11"/>
        <v>1260</v>
      </c>
      <c r="E128" s="193">
        <f t="shared" si="12"/>
        <v>226.2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10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11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3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11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3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11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3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11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3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11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11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11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4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4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4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4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4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4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4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4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4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4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4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4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4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4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4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4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4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4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4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5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5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5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5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5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5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5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5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5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5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5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5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5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5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5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5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5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5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5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6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6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6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6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6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6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6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6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6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6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6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6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6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6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6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6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6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6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6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7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7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7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7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7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7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7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7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7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7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7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7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7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7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7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7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7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7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7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8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8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8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8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8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8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8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8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8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8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8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8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8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8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8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8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8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8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8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9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9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9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9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9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9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9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9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9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9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9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9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9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9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9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9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9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9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9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2024-10-21T19:57:20Z</dcterms:modified>
</cp:coreProperties>
</file>