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69-R-BECHON-NAQ(17)-GFLandscape-LeGoff-La Barde-4,84ha/"/>
    </mc:Choice>
  </mc:AlternateContent>
  <xr:revisionPtr revIDLastSave="0" documentId="13_ncr:1_{5ADF76B6-2D70-C947-82B9-7BA5FA2999F0}" xr6:coauthVersionLast="47" xr6:coauthVersionMax="47" xr10:uidLastSave="{00000000-0000-0000-0000-000000000000}"/>
  <bookViews>
    <workbookView xWindow="6660" yWindow="-21100" windowWidth="27420" windowHeight="211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<sst xmlns="http://schemas.openxmlformats.org/spreadsheetml/2006/main" count="1170" uniqueCount="324">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</sst>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4.84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1</v>
      </c>
      <c r="D9" s="36">
        <f t="shared" ref="D9:D18" si="0">C9*$C$5</f>
        <v>4.84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4.84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14</v>
      </c>
      <c r="B36" s="63">
        <v>108.18</v>
      </c>
      <c r="C36" s="63">
        <v>1</v>
      </c>
      <c r="D36" s="63">
        <v>34.25</v>
      </c>
      <c r="E36" s="54">
        <v>0.2</v>
      </c>
      <c r="F36" s="54">
        <v>0.45</v>
      </c>
      <c r="G36" s="54">
        <v>0.35</v>
      </c>
      <c r="H36" s="54"/>
      <c r="I36" s="52">
        <f>IFERROR(B36/A36,"")</f>
        <v>7.7271428571428578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19</v>
      </c>
      <c r="B37" s="63">
        <v>183.77</v>
      </c>
      <c r="C37" s="63">
        <v>2</v>
      </c>
      <c r="D37" s="63">
        <v>59.5</v>
      </c>
      <c r="E37" s="54">
        <v>0.4</v>
      </c>
      <c r="F37" s="54">
        <v>0.34</v>
      </c>
      <c r="G37" s="54">
        <v>0.26</v>
      </c>
      <c r="H37" s="54"/>
      <c r="I37" s="56">
        <f t="shared" ref="I37:I55" si="1">IF(A37&lt;&gt;0,(B37-(B36-D36))/(A37-A36),"")</f>
        <v>21.968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252.69</v>
      </c>
      <c r="C38" s="63">
        <v>3</v>
      </c>
      <c r="D38" s="63">
        <v>60.96</v>
      </c>
      <c r="E38" s="54">
        <v>0.6</v>
      </c>
      <c r="F38" s="54">
        <v>0.22</v>
      </c>
      <c r="G38" s="54">
        <v>0.18</v>
      </c>
      <c r="H38" s="54"/>
      <c r="I38" s="56">
        <f t="shared" si="1"/>
        <v>21.403333333333332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32</v>
      </c>
      <c r="B39" s="63">
        <v>335.76</v>
      </c>
      <c r="C39" s="63">
        <v>4</v>
      </c>
      <c r="D39" s="63">
        <v>76.42</v>
      </c>
      <c r="E39" s="54">
        <v>0.8</v>
      </c>
      <c r="F39" s="54">
        <v>0.11</v>
      </c>
      <c r="G39" s="54">
        <v>0.09</v>
      </c>
      <c r="H39" s="54"/>
      <c r="I39" s="52">
        <f t="shared" si="1"/>
        <v>20.575714285714287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45</v>
      </c>
      <c r="B40" s="63">
        <v>503.89</v>
      </c>
      <c r="C40" s="63">
        <v>5</v>
      </c>
      <c r="D40" s="63">
        <v>503.89</v>
      </c>
      <c r="E40" s="54">
        <v>0.8</v>
      </c>
      <c r="F40" s="54">
        <v>0.11</v>
      </c>
      <c r="G40" s="54">
        <v>0.09</v>
      </c>
      <c r="H40" s="54"/>
      <c r="I40" s="52">
        <f t="shared" si="1"/>
        <v>18.811538461538461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8" sqref="G2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234.60993819620847</v>
      </c>
      <c r="T3" s="62">
        <f>IF('Données projet'!E9&gt;30,$R$33-$H$33,LOOKUP('Données projet'!$E$9,$A$3:$A$203,R3:R203)-LOOKUP('Données projet'!$E$9,$A$3:$A$203,$H$3:$H$203))</f>
        <v>346.26896655159095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7.7271428571428578</v>
      </c>
      <c r="N4" s="14">
        <f>IF('Données projet'!$A$36&gt;35,N3+M4-V3,IF(A4&lt;'Données projet'!$A$36,$K$205^A4,IF(A4='Données projet'!$A$36,'Données projet'!$B$36,N3+M4-V3)))</f>
        <v>1.3973210857138749</v>
      </c>
      <c r="O4" s="14">
        <f>N4*VLOOKUP('Données projet'!$B$9,Paramètres!$A$1:$I$89,3,0)*VLOOKUP('Données projet'!$B$9,Paramètres!$A$1:$I$89,5,0)</f>
        <v>0.83559800925689731</v>
      </c>
      <c r="P4" s="14">
        <f>EXP(-1.0587+0.8836*LN(O4)+0.284)</f>
        <v>0.39321399318577704</v>
      </c>
      <c r="Q4" s="22">
        <f t="shared" ref="Q4:Q34" si="2">(O4+P4)*0.475*44/12</f>
        <v>2.1401809042543243</v>
      </c>
      <c r="R4" s="62">
        <f t="shared" si="0"/>
        <v>295.47351423758766</v>
      </c>
      <c r="S4" s="62">
        <f ca="1">AVERAGE(OFFSET($R$3,0,0,'Données projet'!$E$9+1,1))-AVERAGE(OFFSET($H$3,0,0,'Données projet'!$E$9+1,1))</f>
        <v>234.60993819620847</v>
      </c>
      <c r="T4" s="62">
        <f>$T$3</f>
        <v>346.26896655159095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7.7271428571428578</v>
      </c>
      <c r="N5" s="14">
        <f>IF('Données projet'!$A$36&gt;35,N4+M5-V4,IF(A5&lt;'Données projet'!$A$36,$K$205^A5,IF(A5='Données projet'!$A$36,'Données projet'!$B$36,N4+M5-V4)))</f>
        <v>1.9525062165806022</v>
      </c>
      <c r="O5" s="14">
        <f>N5*VLOOKUP('Données projet'!$B$9,Paramètres!$A$1:$I$89,3,0)*VLOOKUP('Données projet'!$B$9,Paramètres!$A$1:$I$89,5,0)</f>
        <v>1.1675987175152003</v>
      </c>
      <c r="P5" s="14">
        <f t="shared" ref="P5:P68" si="33">EXP(-1.0587+0.8836*LN(O5)+0.284)</f>
        <v>0.52846070284819757</v>
      </c>
      <c r="Q5" s="22">
        <f t="shared" si="2"/>
        <v>2.9539701571329178</v>
      </c>
      <c r="R5" s="62">
        <f t="shared" si="0"/>
        <v>296.28730349046623</v>
      </c>
      <c r="S5" s="62">
        <f ca="1">AVERAGE(OFFSET($R$3,0,0,'Données projet'!$E$9+1,1))-AVERAGE(OFFSET($H$3,0,0,'Données projet'!$E$9+1,1))</f>
        <v>234.60993819620847</v>
      </c>
      <c r="T5" s="62">
        <f t="shared" ref="T5:T68" si="34">$T$3</f>
        <v>346.26896655159095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7.7271428571428578</v>
      </c>
      <c r="N6" s="14">
        <f>IF('Données projet'!$A$36&gt;35,N5+M6-V5,IF(A6&lt;'Données projet'!$A$36,$K$205^A6,IF(A6='Données projet'!$A$36,'Données projet'!$B$36,N5+M6-V5)))</f>
        <v>2.7282781064154973</v>
      </c>
      <c r="O6" s="14">
        <f>N6*VLOOKUP('Données projet'!$B$9,Paramètres!$A$1:$I$89,3,0)*VLOOKUP('Données projet'!$B$9,Paramètres!$A$1:$I$89,5,0)</f>
        <v>1.6315103076364676</v>
      </c>
      <c r="P6" s="14">
        <f t="shared" si="33"/>
        <v>0.71022577856955182</v>
      </c>
      <c r="Q6" s="22">
        <f t="shared" si="2"/>
        <v>4.0785236834754839</v>
      </c>
      <c r="R6" s="62">
        <f t="shared" si="0"/>
        <v>297.41185701680882</v>
      </c>
      <c r="S6" s="62">
        <f ca="1">AVERAGE(OFFSET($R$3,0,0,'Données projet'!$E$9+1,1))-AVERAGE(OFFSET($H$3,0,0,'Données projet'!$E$9+1,1))</f>
        <v>234.60993819620847</v>
      </c>
      <c r="T6" s="62">
        <f t="shared" si="34"/>
        <v>346.26896655159095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7.7271428571428578</v>
      </c>
      <c r="N7" s="14">
        <f>IF('Données projet'!$A$36&gt;35,N6+M7-V6,IF(A7&lt;'Données projet'!$A$36,$K$205^A7,IF(A7='Données projet'!$A$36,'Données projet'!$B$36,N6+M7-V6)))</f>
        <v>3.8122805257858974</v>
      </c>
      <c r="O7" s="14">
        <f>N7*VLOOKUP('Données projet'!$B$9,Paramètres!$A$1:$I$89,3,0)*VLOOKUP('Données projet'!$B$9,Paramètres!$A$1:$I$89,5,0)</f>
        <v>2.2797437544199668</v>
      </c>
      <c r="P7" s="14">
        <f t="shared" si="33"/>
        <v>0.95450930187636462</v>
      </c>
      <c r="Q7" s="22">
        <f t="shared" si="2"/>
        <v>5.632990739716111</v>
      </c>
      <c r="R7" s="62">
        <f t="shared" si="0"/>
        <v>298.96632407304941</v>
      </c>
      <c r="S7" s="62">
        <f ca="1">AVERAGE(OFFSET($R$3,0,0,'Données projet'!$E$9+1,1))-AVERAGE(OFFSET($H$3,0,0,'Données projet'!$E$9+1,1))</f>
        <v>234.60993819620847</v>
      </c>
      <c r="T7" s="62">
        <f t="shared" si="34"/>
        <v>346.26896655159095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7.7271428571428578</v>
      </c>
      <c r="N8" s="14">
        <f>IF('Données projet'!$A$36&gt;35,N7+M8-V7,IF(A8&lt;'Données projet'!$A$36,$K$205^A8,IF(A8='Données projet'!$A$36,'Données projet'!$B$36,N7+M8-V7)))</f>
        <v>5.3269799633370116</v>
      </c>
      <c r="O8" s="14">
        <f>N8*VLOOKUP('Données projet'!$B$9,Paramètres!$A$1:$I$89,3,0)*VLOOKUP('Données projet'!$B$9,Paramètres!$A$1:$I$89,5,0)</f>
        <v>3.1855340180755332</v>
      </c>
      <c r="P8" s="14">
        <f t="shared" si="33"/>
        <v>1.2828146131269762</v>
      </c>
      <c r="Q8" s="22">
        <f t="shared" si="2"/>
        <v>7.7823738660110378</v>
      </c>
      <c r="R8" s="62">
        <f t="shared" si="0"/>
        <v>301.11570719934434</v>
      </c>
      <c r="S8" s="62">
        <f ca="1">AVERAGE(OFFSET($R$3,0,0,'Données projet'!$E$9+1,1))-AVERAGE(OFFSET($H$3,0,0,'Données projet'!$E$9+1,1))</f>
        <v>234.60993819620847</v>
      </c>
      <c r="T8" s="62">
        <f t="shared" si="34"/>
        <v>346.26896655159095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7.7271428571428578</v>
      </c>
      <c r="N9" s="14">
        <f>IF('Données projet'!$A$36&gt;35,N8+M9-V8,IF(A9&lt;'Données projet'!$A$36,$K$205^A9,IF(A9='Données projet'!$A$36,'Données projet'!$B$36,N8+M9-V8)))</f>
        <v>7.4435014259461312</v>
      </c>
      <c r="O9" s="14">
        <f>N9*VLOOKUP('Données projet'!$B$9,Paramètres!$A$1:$I$89,3,0)*VLOOKUP('Données projet'!$B$9,Paramètres!$A$1:$I$89,5,0)</f>
        <v>4.451213852715787</v>
      </c>
      <c r="P9" s="14">
        <f t="shared" si="33"/>
        <v>1.7240411679772885</v>
      </c>
      <c r="Q9" s="22">
        <f t="shared" si="2"/>
        <v>10.755235827707105</v>
      </c>
      <c r="R9" s="62">
        <f t="shared" si="0"/>
        <v>304.08856916104043</v>
      </c>
      <c r="S9" s="62">
        <f ca="1">AVERAGE(OFFSET($R$3,0,0,'Données projet'!$E$9+1,1))-AVERAGE(OFFSET($H$3,0,0,'Données projet'!$E$9+1,1))</f>
        <v>234.60993819620847</v>
      </c>
      <c r="T9" s="62">
        <f t="shared" si="34"/>
        <v>346.26896655159095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7.7271428571428578</v>
      </c>
      <c r="N10" s="14">
        <f>IF('Données projet'!$A$36&gt;35,N9+M10-V9,IF(A10&lt;'Données projet'!$A$36,$K$205^A10,IF(A10='Données projet'!$A$36,'Données projet'!$B$36,N9+M10-V9)))</f>
        <v>10.400961494015824</v>
      </c>
      <c r="O10" s="14">
        <f>N10*VLOOKUP('Données projet'!$B$9,Paramètres!$A$1:$I$89,3,0)*VLOOKUP('Données projet'!$B$9,Paramètres!$A$1:$I$89,5,0)</f>
        <v>6.2197749734214636</v>
      </c>
      <c r="P10" s="14">
        <f t="shared" si="33"/>
        <v>2.3170284454705419</v>
      </c>
      <c r="Q10" s="22">
        <f t="shared" si="2"/>
        <v>14.868265954570242</v>
      </c>
      <c r="R10" s="62">
        <f t="shared" si="0"/>
        <v>308.20159928790355</v>
      </c>
      <c r="S10" s="62">
        <f ca="1">AVERAGE(OFFSET($R$3,0,0,'Données projet'!$E$9+1,1))-AVERAGE(OFFSET($H$3,0,0,'Données projet'!$E$9+1,1))</f>
        <v>234.60993819620847</v>
      </c>
      <c r="T10" s="62">
        <f t="shared" si="34"/>
        <v>346.26896655159095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7.7271428571428578</v>
      </c>
      <c r="N11" s="14">
        <f>IF('Données projet'!$A$36&gt;35,N10+M11-V10,IF(A11&lt;'Données projet'!$A$36,$K$205^A11,IF(A11='Données projet'!$A$36,'Données projet'!$B$36,N10+M11-V10)))</f>
        <v>14.533482807286399</v>
      </c>
      <c r="O11" s="14">
        <f>N11*VLOOKUP('Données projet'!$B$9,Paramètres!$A$1:$I$89,3,0)*VLOOKUP('Données projet'!$B$9,Paramètres!$A$1:$I$89,5,0)</f>
        <v>8.6910227187572673</v>
      </c>
      <c r="P11" s="14">
        <f t="shared" si="33"/>
        <v>3.1139748382101038</v>
      </c>
      <c r="Q11" s="22">
        <f t="shared" si="2"/>
        <v>20.560370745051507</v>
      </c>
      <c r="R11" s="62">
        <f t="shared" si="0"/>
        <v>313.89370407838481</v>
      </c>
      <c r="S11" s="62">
        <f ca="1">AVERAGE(OFFSET($R$3,0,0,'Données projet'!$E$9+1,1))-AVERAGE(OFFSET($H$3,0,0,'Données projet'!$E$9+1,1))</f>
        <v>234.60993819620847</v>
      </c>
      <c r="T11" s="62">
        <f t="shared" si="34"/>
        <v>346.26896655159095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7.7271428571428578</v>
      </c>
      <c r="N12" s="14">
        <f>IF('Données projet'!$A$36&gt;35,N11+M12-V11,IF(A12&lt;'Données projet'!$A$36,$K$205^A12,IF(A12='Données projet'!$A$36,'Données projet'!$B$36,N11+M12-V11)))</f>
        <v>20.307941975481366</v>
      </c>
      <c r="O12" s="14">
        <f>N12*VLOOKUP('Données projet'!$B$9,Paramètres!$A$1:$I$89,3,0)*VLOOKUP('Données projet'!$B$9,Paramètres!$A$1:$I$89,5,0)</f>
        <v>12.144149301337858</v>
      </c>
      <c r="P12" s="14">
        <f t="shared" si="33"/>
        <v>4.1850324763865441</v>
      </c>
      <c r="Q12" s="22">
        <f t="shared" si="2"/>
        <v>28.439991596203328</v>
      </c>
      <c r="R12" s="62">
        <f t="shared" si="0"/>
        <v>321.77332492953667</v>
      </c>
      <c r="S12" s="62">
        <f ca="1">AVERAGE(OFFSET($R$3,0,0,'Données projet'!$E$9+1,1))-AVERAGE(OFFSET($H$3,0,0,'Données projet'!$E$9+1,1))</f>
        <v>234.60993819620847</v>
      </c>
      <c r="T12" s="62">
        <f t="shared" si="34"/>
        <v>346.26896655159095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7.7271428571428578</v>
      </c>
      <c r="N13" s="14">
        <f>IF('Données projet'!$A$36&gt;35,N12+M13-V12,IF(A13&lt;'Données projet'!$A$36,$K$205^A13,IF(A13='Données projet'!$A$36,'Données projet'!$B$36,N12+M13-V12)))</f>
        <v>28.376715529793994</v>
      </c>
      <c r="O13" s="14">
        <f>N13*VLOOKUP('Données projet'!$B$9,Paramètres!$A$1:$I$89,3,0)*VLOOKUP('Données projet'!$B$9,Paramètres!$A$1:$I$89,5,0)</f>
        <v>16.96927588681681</v>
      </c>
      <c r="P13" s="14">
        <f t="shared" si="33"/>
        <v>5.6244824503711541</v>
      </c>
      <c r="Q13" s="22">
        <f t="shared" si="2"/>
        <v>39.350795770602367</v>
      </c>
      <c r="R13" s="62">
        <f t="shared" si="0"/>
        <v>332.68412910393567</v>
      </c>
      <c r="S13" s="62">
        <f ca="1">AVERAGE(OFFSET($R$3,0,0,'Données projet'!$E$9+1,1))-AVERAGE(OFFSET($H$3,0,0,'Données projet'!$E$9+1,1))</f>
        <v>234.60993819620847</v>
      </c>
      <c r="T13" s="62">
        <f t="shared" si="34"/>
        <v>346.26896655159095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7.7271428571428578</v>
      </c>
      <c r="N14" s="14">
        <f>IF('Données projet'!$A$36&gt;35,N13+M14-V13,IF(A14&lt;'Données projet'!$A$36,$K$205^A14,IF(A14='Données projet'!$A$36,'Données projet'!$B$36,N13+M14-V13)))</f>
        <v>39.651382953085523</v>
      </c>
      <c r="O14" s="14">
        <f>N14*VLOOKUP('Données projet'!$B$9,Paramètres!$A$1:$I$89,3,0)*VLOOKUP('Données projet'!$B$9,Paramètres!$A$1:$I$89,5,0)</f>
        <v>23.711527005945143</v>
      </c>
      <c r="P14" s="14">
        <f t="shared" si="33"/>
        <v>7.5590340130042035</v>
      </c>
      <c r="Q14" s="22">
        <f t="shared" si="2"/>
        <v>54.462893774670114</v>
      </c>
      <c r="R14" s="62">
        <f t="shared" si="0"/>
        <v>347.79622710800345</v>
      </c>
      <c r="S14" s="62">
        <f ca="1">AVERAGE(OFFSET($R$3,0,0,'Données projet'!$E$9+1,1))-AVERAGE(OFFSET($H$3,0,0,'Données projet'!$E$9+1,1))</f>
        <v>234.60993819620847</v>
      </c>
      <c r="T14" s="62">
        <f t="shared" si="34"/>
        <v>346.26896655159095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7.7271428571428578</v>
      </c>
      <c r="N15" s="14">
        <f>IF('Données projet'!$A$36&gt;35,N14+M15-V14,IF(A15&lt;'Données projet'!$A$36,$K$205^A15,IF(A15='Données projet'!$A$36,'Données projet'!$B$36,N14+M15-V14)))</f>
        <v>55.40571347806209</v>
      </c>
      <c r="O15" s="14">
        <f>N15*VLOOKUP('Données projet'!$B$9,Paramètres!$A$1:$I$89,3,0)*VLOOKUP('Données projet'!$B$9,Paramètres!$A$1:$I$89,5,0)</f>
        <v>33.13261665988113</v>
      </c>
      <c r="P15" s="14">
        <f t="shared" si="33"/>
        <v>10.158978308481325</v>
      </c>
      <c r="Q15" s="22">
        <f t="shared" si="2"/>
        <v>75.39952790323126</v>
      </c>
      <c r="R15" s="62">
        <f t="shared" si="0"/>
        <v>368.73286123656459</v>
      </c>
      <c r="S15" s="62">
        <f ca="1">AVERAGE(OFFSET($R$3,0,0,'Données projet'!$E$9+1,1))-AVERAGE(OFFSET($H$3,0,0,'Données projet'!$E$9+1,1))</f>
        <v>234.60993819620847</v>
      </c>
      <c r="T15" s="62">
        <f t="shared" si="34"/>
        <v>346.26896655159095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7.7271428571428578</v>
      </c>
      <c r="N16" s="14">
        <f>IF('Données projet'!$A$36&gt;35,N15+M16-V15,IF(A16&lt;'Données projet'!$A$36,$K$205^A16,IF(A16='Données projet'!$A$36,'Données projet'!$B$36,N15+M16-V15)))</f>
        <v>77.419571711917584</v>
      </c>
      <c r="O16" s="14">
        <f>N16*VLOOKUP('Données projet'!$B$9,Paramètres!$A$1:$I$89,3,0)*VLOOKUP('Données projet'!$B$9,Paramètres!$A$1:$I$89,5,0)</f>
        <v>46.296903883726721</v>
      </c>
      <c r="P16" s="14">
        <f t="shared" si="33"/>
        <v>13.653178447754749</v>
      </c>
      <c r="Q16" s="22">
        <f t="shared" si="2"/>
        <v>104.41306006066355</v>
      </c>
      <c r="R16" s="62">
        <f t="shared" si="0"/>
        <v>397.74639339399687</v>
      </c>
      <c r="S16" s="62">
        <f ca="1">AVERAGE(OFFSET($R$3,0,0,'Données projet'!$E$9+1,1))-AVERAGE(OFFSET($H$3,0,0,'Données projet'!$E$9+1,1))</f>
        <v>234.60993819620847</v>
      </c>
      <c r="T16" s="62">
        <f t="shared" si="34"/>
        <v>346.26896655159095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108.18</v>
      </c>
      <c r="L17" s="13">
        <f>VLOOKUP(A17,'Données projet'!$A$35:$I$55,9,0)</f>
        <v>7.7271428571428578</v>
      </c>
      <c r="M17" s="13">
        <f t="array" ref="M17">INDEX(L:L,MIN(IF(ISNUMBER(L17:L213),ROW(L17:L213),"")))</f>
        <v>7.7271428571428578</v>
      </c>
      <c r="N17" s="14">
        <f>IF('Données projet'!$A$36&gt;35,N16+M17-V16,IF(A17&lt;'Données projet'!$A$36,$K$205^A17,IF(A17='Données projet'!$A$36,'Données projet'!$B$36,N16+M17-V16)))</f>
        <v>108.18</v>
      </c>
      <c r="O17" s="14">
        <f>N17*VLOOKUP('Données projet'!$B$9,Paramètres!$A$1:$I$89,3,0)*VLOOKUP('Données projet'!$B$9,Paramètres!$A$1:$I$89,5,0)</f>
        <v>64.691640000000007</v>
      </c>
      <c r="P17" s="14">
        <f t="shared" si="33"/>
        <v>18.349215449215929</v>
      </c>
      <c r="Q17" s="22">
        <f t="shared" si="2"/>
        <v>144.62948990738442</v>
      </c>
      <c r="R17" s="62">
        <f t="shared" si="0"/>
        <v>437.96282324071774</v>
      </c>
      <c r="S17" s="62">
        <f ca="1">AVERAGE(OFFSET($R$3,0,0,'Données projet'!$E$9+1,1))-AVERAGE(OFFSET($H$3,0,0,'Données projet'!$E$9+1,1))</f>
        <v>234.60993819620847</v>
      </c>
      <c r="T17" s="62">
        <f t="shared" si="34"/>
        <v>346.26896655159095</v>
      </c>
      <c r="U17" s="16">
        <f>IF(ISNA(VLOOKUP(A17,'Données projet'!$A$35:$I$55,3,0)),0,VLOOKUP(A17,'Données projet'!$A$35:$I$55,3,0))</f>
        <v>1</v>
      </c>
      <c r="V17" s="16">
        <f>IF(ISNA(VLOOKUP(A17,'Données projet'!$A$35:$I$55,4,0)),0,VLOOKUP(A17,'Données projet'!$A$35:$I$55,4,0))</f>
        <v>34.25</v>
      </c>
      <c r="W17" s="17">
        <f>IF(ISNA(VLOOKUP(A17,'Données projet'!$A$35:$I$55,5,0)),0%,VLOOKUP(A17,'Données projet'!$A$35:$I$55,5,0)*VLOOKUP('Données projet'!$B$9,Paramètres!$A$1:$I$89,7,0))</f>
        <v>9.0000000000000011E-2</v>
      </c>
      <c r="X17" s="17">
        <f>IF(ISNA(VLOOKUP(A17,'Données projet'!$A$35:$I$55,6,0)),0%,VLOOKUP(A17,'Données projet'!$A$35:$I$55,6,0)*VLOOKUP('Données projet'!$B$9,Paramètres!$A$1:$I$89,7,0))</f>
        <v>0.20250000000000001</v>
      </c>
      <c r="Y17" s="17">
        <f>IF(ISNA(VLOOKUP(A17,'Données projet'!$A$35:$I$55,7,0)),0%,VLOOKUP(A17,'Données projet'!$A$35:$I$55,7,0))</f>
        <v>0.35</v>
      </c>
      <c r="Z17" s="23">
        <f>EXP(-LN(2)/35)*Z16+(1-EXP(-LN(2)/35))/(LN(2)/35)*V17*W17*VLOOKUP('Données projet'!$B$9,Paramètres!$A$1:$I$89,3,0)*0.475*44/12</f>
        <v>2.4453026904676456</v>
      </c>
      <c r="AA17" s="23">
        <f>EXP(-LN(2)/25)*AA16+(1-EXP(-LN(2)/25))/(LN(2)/25)*Calculateur!V17*Calculateur!X17*VLOOKUP('Données projet'!$B$9,Paramètres!$A$1:$I$89,3,0)*0.475*44/12</f>
        <v>5.4802678545942785</v>
      </c>
      <c r="AB17" s="23">
        <f>EXP(-LN(2)/2)*AB16+(1-EXP(-LN(2)/2))/(LN(2)/2)*V17*Y17*VLOOKUP('Données projet'!$B$9,Paramètres!$A$1:$I$89,3,0)*0.475*44/12</f>
        <v>8.1164355306259086</v>
      </c>
      <c r="AC17" s="24">
        <f t="shared" si="3"/>
        <v>16.042006075687834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21.968</v>
      </c>
      <c r="N18" s="14">
        <f>IF('Données projet'!$A$36&gt;35,N17+M18-V17,IF(A18&lt;'Données projet'!$A$36,$K$205^A18,IF(A18='Données projet'!$A$36,'Données projet'!$B$36,N17+M18-V17)))</f>
        <v>95.897999999999996</v>
      </c>
      <c r="O18" s="14">
        <f>N18*VLOOKUP('Données projet'!$B$9,Paramètres!$A$1:$I$89,3,0)*VLOOKUP('Données projet'!$B$9,Paramètres!$A$1:$I$89,5,0)</f>
        <v>57.347004000000005</v>
      </c>
      <c r="P18" s="14">
        <f t="shared" si="33"/>
        <v>16.49575316039088</v>
      </c>
      <c r="Q18" s="22">
        <f t="shared" si="2"/>
        <v>128.60946872101411</v>
      </c>
      <c r="R18" s="62">
        <f t="shared" si="0"/>
        <v>421.94280205434745</v>
      </c>
      <c r="S18" s="62">
        <f ca="1">AVERAGE(OFFSET($R$3,0,0,'Données projet'!$E$9+1,1))-AVERAGE(OFFSET($H$3,0,0,'Données projet'!$E$9+1,1))</f>
        <v>234.60993819620847</v>
      </c>
      <c r="T18" s="62">
        <f t="shared" si="34"/>
        <v>346.26896655159095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2.3973517961949442</v>
      </c>
      <c r="AA18" s="23">
        <f>EXP(-LN(2)/25)*AA17+(1-EXP(-LN(2)/25))/(LN(2)/25)*Calculateur!V18*Calculateur!X18*VLOOKUP('Données projet'!$B$9,Paramètres!$A$1:$I$89,3,0)*0.475*44/12</f>
        <v>5.3304096419156366</v>
      </c>
      <c r="AB18" s="23">
        <f>EXP(-LN(2)/2)*AB17+(1-EXP(-LN(2)/2))/(LN(2)/2)*V18*Y18*VLOOKUP('Données projet'!$B$9,Paramètres!$A$1:$I$89,3,0)*0.475*44/12</f>
        <v>5.7391866027690144</v>
      </c>
      <c r="AC18" s="24">
        <f t="shared" si="3"/>
        <v>13.466948040879595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21.968</v>
      </c>
      <c r="N19" s="14">
        <f>IF('Données projet'!$A$36&gt;35,N18+M19-V18,IF(A19&lt;'Données projet'!$A$36,$K$205^A19,IF(A19='Données projet'!$A$36,'Données projet'!$B$36,N18+M19-V18)))</f>
        <v>117.866</v>
      </c>
      <c r="O19" s="14">
        <f>N19*VLOOKUP('Données projet'!$B$9,Paramètres!$A$1:$I$89,3,0)*VLOOKUP('Données projet'!$B$9,Paramètres!$A$1:$I$89,5,0)</f>
        <v>70.483868000000001</v>
      </c>
      <c r="P19" s="14">
        <f t="shared" si="33"/>
        <v>19.793570832162988</v>
      </c>
      <c r="Q19" s="22">
        <f t="shared" si="2"/>
        <v>157.23320596601718</v>
      </c>
      <c r="R19" s="62">
        <f t="shared" si="0"/>
        <v>450.5665392993505</v>
      </c>
      <c r="S19" s="62">
        <f ca="1">AVERAGE(OFFSET($R$3,0,0,'Données projet'!$E$9+1,1))-AVERAGE(OFFSET($H$3,0,0,'Données projet'!$E$9+1,1))</f>
        <v>234.60993819620847</v>
      </c>
      <c r="T19" s="62">
        <f t="shared" si="34"/>
        <v>346.26896655159095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2.3503411897117727</v>
      </c>
      <c r="AA19" s="23">
        <f>EXP(-LN(2)/25)*AA18+(1-EXP(-LN(2)/25))/(LN(2)/25)*Calculateur!V19*Calculateur!X19*VLOOKUP('Données projet'!$B$9,Paramètres!$A$1:$I$89,3,0)*0.475*44/12</f>
        <v>5.184649309943393</v>
      </c>
      <c r="AB19" s="23">
        <f>EXP(-LN(2)/2)*AB18+(1-EXP(-LN(2)/2))/(LN(2)/2)*V19*Y19*VLOOKUP('Données projet'!$B$9,Paramètres!$A$1:$I$89,3,0)*0.475*44/12</f>
        <v>4.0582177653129552</v>
      </c>
      <c r="AC19" s="24">
        <f t="shared" si="3"/>
        <v>11.593208264968121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21.968</v>
      </c>
      <c r="N20" s="14">
        <f>IF('Données projet'!$A$36&gt;35,N19+M20-V19,IF(A20&lt;'Données projet'!$A$36,$K$205^A20,IF(A20='Données projet'!$A$36,'Données projet'!$B$36,N19+M20-V19)))</f>
        <v>139.834</v>
      </c>
      <c r="O20" s="14">
        <f>N20*VLOOKUP('Données projet'!$B$9,Paramètres!$A$1:$I$89,3,0)*VLOOKUP('Données projet'!$B$9,Paramètres!$A$1:$I$89,5,0)</f>
        <v>83.620732000000004</v>
      </c>
      <c r="P20" s="14">
        <f t="shared" si="33"/>
        <v>23.020178365106414</v>
      </c>
      <c r="Q20" s="22">
        <f t="shared" si="2"/>
        <v>185.73291888589367</v>
      </c>
      <c r="R20" s="62">
        <f t="shared" si="0"/>
        <v>479.06625221922695</v>
      </c>
      <c r="S20" s="62">
        <f ca="1">AVERAGE(OFFSET($R$3,0,0,'Données projet'!$E$9+1,1))-AVERAGE(OFFSET($H$3,0,0,'Données projet'!$E$9+1,1))</f>
        <v>234.60993819620847</v>
      </c>
      <c r="T20" s="62">
        <f t="shared" si="34"/>
        <v>346.26896655159095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2.3042524325480978</v>
      </c>
      <c r="AA20" s="23">
        <f>EXP(-LN(2)/25)*AA19+(1-EXP(-LN(2)/25))/(LN(2)/25)*Calculateur!V20*Calculateur!X20*VLOOKUP('Données projet'!$B$9,Paramètres!$A$1:$I$89,3,0)*0.475*44/12</f>
        <v>5.0428748019141336</v>
      </c>
      <c r="AB20" s="23">
        <f>EXP(-LN(2)/2)*AB19+(1-EXP(-LN(2)/2))/(LN(2)/2)*V20*Y20*VLOOKUP('Données projet'!$B$9,Paramètres!$A$1:$I$89,3,0)*0.475*44/12</f>
        <v>2.8695933013845081</v>
      </c>
      <c r="AC20" s="24">
        <f t="shared" si="3"/>
        <v>10.21672053584674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21.968</v>
      </c>
      <c r="N21" s="14">
        <f>IF('Données projet'!$A$36&gt;35,N20+M21-V20,IF(A21&lt;'Données projet'!$A$36,$K$205^A21,IF(A21='Données projet'!$A$36,'Données projet'!$B$36,N20+M21-V20)))</f>
        <v>161.80199999999999</v>
      </c>
      <c r="O21" s="14">
        <f>N21*VLOOKUP('Données projet'!$B$9,Paramètres!$A$1:$I$89,3,0)*VLOOKUP('Données projet'!$B$9,Paramètres!$A$1:$I$89,5,0)</f>
        <v>96.757596000000007</v>
      </c>
      <c r="P21" s="14">
        <f t="shared" si="33"/>
        <v>26.188063921005639</v>
      </c>
      <c r="Q21" s="22">
        <f t="shared" si="2"/>
        <v>214.13035769575148</v>
      </c>
      <c r="R21" s="62">
        <f t="shared" si="0"/>
        <v>507.46369102908477</v>
      </c>
      <c r="S21" s="62">
        <f ca="1">AVERAGE(OFFSET($R$3,0,0,'Données projet'!$E$9+1,1))-AVERAGE(OFFSET($H$3,0,0,'Données projet'!$E$9+1,1))</f>
        <v>234.60993819620847</v>
      </c>
      <c r="T21" s="62">
        <f t="shared" si="34"/>
        <v>346.26896655159095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2.2590674478010362</v>
      </c>
      <c r="AA21" s="23">
        <f>EXP(-LN(2)/25)*AA20+(1-EXP(-LN(2)/25))/(LN(2)/25)*Calculateur!V21*Calculateur!X21*VLOOKUP('Données projet'!$B$9,Paramètres!$A$1:$I$89,3,0)*0.475*44/12</f>
        <v>4.9049771252625316</v>
      </c>
      <c r="AB21" s="23">
        <f>EXP(-LN(2)/2)*AB20+(1-EXP(-LN(2)/2))/(LN(2)/2)*V21*Y21*VLOOKUP('Données projet'!$B$9,Paramètres!$A$1:$I$89,3,0)*0.475*44/12</f>
        <v>2.029108882656478</v>
      </c>
      <c r="AC21" s="24">
        <f t="shared" si="3"/>
        <v>9.1931534557200454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183.77</v>
      </c>
      <c r="L22" s="13">
        <f>VLOOKUP(A22,'Données projet'!$A$35:$I$55,9,0)</f>
        <v>21.968</v>
      </c>
      <c r="M22" s="13">
        <f t="array" ref="M22">INDEX(L:L,MIN(IF(ISNUMBER(L22:L218),ROW(L22:L218),"")))</f>
        <v>21.968</v>
      </c>
      <c r="N22" s="14">
        <f>IF('Données projet'!$A$36&gt;35,N21+M22-V21,IF(A22&lt;'Données projet'!$A$36,$K$205^A22,IF(A22='Données projet'!$A$36,'Données projet'!$B$36,N21+M22-V21)))</f>
        <v>183.76999999999998</v>
      </c>
      <c r="O22" s="14">
        <f>N22*VLOOKUP('Données projet'!$B$9,Paramètres!$A$1:$I$89,3,0)*VLOOKUP('Données projet'!$B$9,Paramètres!$A$1:$I$89,5,0)</f>
        <v>109.89446</v>
      </c>
      <c r="P22" s="14">
        <f t="shared" si="33"/>
        <v>29.30611713635502</v>
      </c>
      <c r="Q22" s="22">
        <f t="shared" si="2"/>
        <v>242.44100517915163</v>
      </c>
      <c r="R22" s="62">
        <f t="shared" si="0"/>
        <v>535.77433851248497</v>
      </c>
      <c r="S22" s="62">
        <f ca="1">AVERAGE(OFFSET($R$3,0,0,'Données projet'!$E$9+1,1))-AVERAGE(OFFSET($H$3,0,0,'Données projet'!$E$9+1,1))</f>
        <v>234.60993819620847</v>
      </c>
      <c r="T22" s="62">
        <f t="shared" si="34"/>
        <v>346.26896655159095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59.5</v>
      </c>
      <c r="W22" s="17">
        <f>IF(ISNA(VLOOKUP(A22,'Données projet'!$A$35:$I$55,5,0)),0%,VLOOKUP(A22,'Données projet'!$A$35:$I$55,5,0)*VLOOKUP('Données projet'!$B$9,Paramètres!$A$1:$I$89,7,0))</f>
        <v>0.18000000000000002</v>
      </c>
      <c r="X22" s="17">
        <f>IF(ISNA(VLOOKUP(A22,'Données projet'!$A$35:$I$55,6,0)),0%,VLOOKUP(A22,'Données projet'!$A$35:$I$55,6,0)*VLOOKUP('Données projet'!$B$9,Paramètres!$A$1:$I$89,7,0))</f>
        <v>0.15300000000000002</v>
      </c>
      <c r="Y22" s="17">
        <f>IF(ISNA(VLOOKUP(A22,'Données projet'!$A$35:$I$55,7,0)),0%,VLOOKUP(A22,'Données projet'!$A$35:$I$55,7,0))</f>
        <v>0.26</v>
      </c>
      <c r="Z22" s="23">
        <f>EXP(-LN(2)/35)*Z21+(1-EXP(-LN(2)/35))/(LN(2)/35)*V22*W22*VLOOKUP('Données projet'!$B$9,Paramètres!$A$1:$I$89,3,0)*0.475*44/12</f>
        <v>10.710856693063718</v>
      </c>
      <c r="AA22" s="23">
        <f>EXP(-LN(2)/25)*AA21+(1-EXP(-LN(2)/25))/(LN(2)/25)*Calculateur!V22*Calculateur!X22*VLOOKUP('Données projet'!$B$9,Paramètres!$A$1:$I$89,3,0)*0.475*44/12</f>
        <v>11.964090734882909</v>
      </c>
      <c r="AB22" s="23">
        <f>EXP(-LN(2)/2)*AB21+(1-EXP(-LN(2)/2))/(LN(2)/2)*V22*Y22*VLOOKUP('Données projet'!$B$9,Paramètres!$A$1:$I$89,3,0)*0.475*44/12</f>
        <v>11.909145569047441</v>
      </c>
      <c r="AC22" s="24">
        <f t="shared" si="3"/>
        <v>34.584092996994066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21.403333333333332</v>
      </c>
      <c r="N23" s="14">
        <f>IF('Données projet'!$A$36&gt;35,N22+M23-V22,IF(A23&lt;'Données projet'!$A$36,$K$205^A23,IF(A23='Données projet'!$A$36,'Données projet'!$B$36,N22+M23-V22)))</f>
        <v>145.67333333333332</v>
      </c>
      <c r="O23" s="14">
        <f>N23*VLOOKUP('Données projet'!$B$9,Paramètres!$A$1:$I$89,3,0)*VLOOKUP('Données projet'!$B$9,Paramètres!$A$1:$I$89,5,0)</f>
        <v>87.112653333333327</v>
      </c>
      <c r="P23" s="14">
        <f t="shared" si="33"/>
        <v>23.867550507152405</v>
      </c>
      <c r="Q23" s="22">
        <f t="shared" si="2"/>
        <v>193.29052168884596</v>
      </c>
      <c r="R23" s="62">
        <f t="shared" si="0"/>
        <v>486.62385502217927</v>
      </c>
      <c r="S23" s="62">
        <f ca="1">AVERAGE(OFFSET($R$3,0,0,'Données projet'!$E$9+1,1))-AVERAGE(OFFSET($H$3,0,0,'Données projet'!$E$9+1,1))</f>
        <v>234.60993819620847</v>
      </c>
      <c r="T23" s="62">
        <f t="shared" si="34"/>
        <v>346.26896655159095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10.500823326290243</v>
      </c>
      <c r="AA23" s="23">
        <f>EXP(-LN(2)/25)*AA22+(1-EXP(-LN(2)/25))/(LN(2)/25)*Calculateur!V23*Calculateur!X23*VLOOKUP('Données projet'!$B$9,Paramètres!$A$1:$I$89,3,0)*0.475*44/12</f>
        <v>11.636932044573348</v>
      </c>
      <c r="AB23" s="23">
        <f>EXP(-LN(2)/2)*AB22+(1-EXP(-LN(2)/2))/(LN(2)/2)*V23*Y23*VLOOKUP('Données projet'!$B$9,Paramètres!$A$1:$I$89,3,0)*0.475*44/12</f>
        <v>8.4210375900111707</v>
      </c>
      <c r="AC23" s="24">
        <f t="shared" si="3"/>
        <v>30.558792960874761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21.403333333333332</v>
      </c>
      <c r="N24" s="14">
        <f>IF('Données projet'!$A$36&gt;35,N23+M24-V23,IF(A24&lt;'Données projet'!$A$36,$K$205^A24,IF(A24='Données projet'!$A$36,'Données projet'!$B$36,N23+M24-V23)))</f>
        <v>167.07666666666665</v>
      </c>
      <c r="O24" s="14">
        <f>N24*VLOOKUP('Données projet'!$B$9,Paramètres!$A$1:$I$89,3,0)*VLOOKUP('Données projet'!$B$9,Paramètres!$A$1:$I$89,5,0)</f>
        <v>99.911846666666662</v>
      </c>
      <c r="P24" s="14">
        <f t="shared" si="33"/>
        <v>26.940995154457852</v>
      </c>
      <c r="Q24" s="22">
        <f t="shared" si="2"/>
        <v>220.93536617179186</v>
      </c>
      <c r="R24" s="62">
        <f t="shared" si="0"/>
        <v>514.26869950512514</v>
      </c>
      <c r="S24" s="62">
        <f ca="1">AVERAGE(OFFSET($R$3,0,0,'Données projet'!$E$9+1,1))-AVERAGE(OFFSET($H$3,0,0,'Données projet'!$E$9+1,1))</f>
        <v>234.60993819620847</v>
      </c>
      <c r="T24" s="62">
        <f t="shared" si="34"/>
        <v>346.26896655159095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10.294908585731493</v>
      </c>
      <c r="AA24" s="23">
        <f>EXP(-LN(2)/25)*AA23+(1-EXP(-LN(2)/25))/(LN(2)/25)*Calculateur!V24*Calculateur!X24*VLOOKUP('Données projet'!$B$9,Paramètres!$A$1:$I$89,3,0)*0.475*44/12</f>
        <v>11.31871952585483</v>
      </c>
      <c r="AB24" s="23">
        <f>EXP(-LN(2)/2)*AB23+(1-EXP(-LN(2)/2))/(LN(2)/2)*V24*Y24*VLOOKUP('Données projet'!$B$9,Paramètres!$A$1:$I$89,3,0)*0.475*44/12</f>
        <v>5.9545727845237204</v>
      </c>
      <c r="AC24" s="24">
        <f t="shared" si="3"/>
        <v>27.568200896110042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21.403333333333332</v>
      </c>
      <c r="N25" s="14">
        <f>IF('Données projet'!$A$36&gt;35,N24+M25-V24,IF(A25&lt;'Données projet'!$A$36,$K$205^A25,IF(A25='Données projet'!$A$36,'Données projet'!$B$36,N24+M25-V24)))</f>
        <v>188.48</v>
      </c>
      <c r="O25" s="14">
        <f>N25*VLOOKUP('Données projet'!$B$9,Paramètres!$A$1:$I$89,3,0)*VLOOKUP('Données projet'!$B$9,Paramètres!$A$1:$I$89,5,0)</f>
        <v>112.71104000000001</v>
      </c>
      <c r="P25" s="14">
        <f t="shared" si="33"/>
        <v>29.968818833735142</v>
      </c>
      <c r="Q25" s="22">
        <f t="shared" si="2"/>
        <v>248.50075413542206</v>
      </c>
      <c r="R25" s="62">
        <f t="shared" si="0"/>
        <v>541.83408746875534</v>
      </c>
      <c r="S25" s="62">
        <f ca="1">AVERAGE(OFFSET($R$3,0,0,'Données projet'!$E$9+1,1))-AVERAGE(OFFSET($H$3,0,0,'Données projet'!$E$9+1,1))</f>
        <v>234.60993819620847</v>
      </c>
      <c r="T25" s="62">
        <f t="shared" si="34"/>
        <v>346.26896655159095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10.09303170763951</v>
      </c>
      <c r="AA25" s="23">
        <f>EXP(-LN(2)/25)*AA24+(1-EXP(-LN(2)/25))/(LN(2)/25)*Calculateur!V25*Calculateur!X25*VLOOKUP('Données projet'!$B$9,Paramètres!$A$1:$I$89,3,0)*0.475*44/12</f>
        <v>11.009208545194738</v>
      </c>
      <c r="AB25" s="23">
        <f>EXP(-LN(2)/2)*AB24+(1-EXP(-LN(2)/2))/(LN(2)/2)*V25*Y25*VLOOKUP('Données projet'!$B$9,Paramètres!$A$1:$I$89,3,0)*0.475*44/12</f>
        <v>4.2105187950055853</v>
      </c>
      <c r="AC25" s="24">
        <f t="shared" si="3"/>
        <v>25.312759047839833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21.403333333333332</v>
      </c>
      <c r="N26" s="14">
        <f>IF('Données projet'!$A$36&gt;35,N25+M26-V25,IF(A26&lt;'Données projet'!$A$36,$K$205^A26,IF(A26='Données projet'!$A$36,'Données projet'!$B$36,N25+M26-V25)))</f>
        <v>209.88333333333333</v>
      </c>
      <c r="O26" s="14">
        <f>N26*VLOOKUP('Données projet'!$B$9,Paramètres!$A$1:$I$89,3,0)*VLOOKUP('Données projet'!$B$9,Paramètres!$A$1:$I$89,5,0)</f>
        <v>125.51023333333335</v>
      </c>
      <c r="P26" s="14">
        <f t="shared" si="33"/>
        <v>32.956793460624539</v>
      </c>
      <c r="Q26" s="22">
        <f t="shared" si="2"/>
        <v>275.99673833280997</v>
      </c>
      <c r="R26" s="62">
        <f t="shared" si="0"/>
        <v>569.33007166614334</v>
      </c>
      <c r="S26" s="62">
        <f ca="1">AVERAGE(OFFSET($R$3,0,0,'Données projet'!$E$9+1,1))-AVERAGE(OFFSET($H$3,0,0,'Données projet'!$E$9+1,1))</f>
        <v>234.60993819620847</v>
      </c>
      <c r="T26" s="62">
        <f t="shared" si="34"/>
        <v>346.26896655159095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9.8951135119941718</v>
      </c>
      <c r="AA26" s="23">
        <f>EXP(-LN(2)/25)*AA25+(1-EXP(-LN(2)/25))/(LN(2)/25)*Calculateur!V26*Calculateur!X26*VLOOKUP('Données projet'!$B$9,Paramètres!$A$1:$I$89,3,0)*0.475*44/12</f>
        <v>10.708161158577273</v>
      </c>
      <c r="AB26" s="23">
        <f>EXP(-LN(2)/2)*AB25+(1-EXP(-LN(2)/2))/(LN(2)/2)*V26*Y26*VLOOKUP('Données projet'!$B$9,Paramètres!$A$1:$I$89,3,0)*0.475*44/12</f>
        <v>2.9772863922618602</v>
      </c>
      <c r="AC26" s="24">
        <f t="shared" si="3"/>
        <v>23.580561062833304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21.403333333333332</v>
      </c>
      <c r="N27" s="14">
        <f>IF('Données projet'!$A$36&gt;35,N26+M27-V26,IF(A27&lt;'Données projet'!$A$36,$K$205^A27,IF(A27='Données projet'!$A$36,'Données projet'!$B$36,N26+M27-V26)))</f>
        <v>231.28666666666666</v>
      </c>
      <c r="O27" s="14">
        <f>N27*VLOOKUP('Données projet'!$B$9,Paramètres!$A$1:$I$89,3,0)*VLOOKUP('Données projet'!$B$9,Paramètres!$A$1:$I$89,5,0)</f>
        <v>138.30942666666667</v>
      </c>
      <c r="P27" s="14">
        <f t="shared" si="33"/>
        <v>35.909445469885178</v>
      </c>
      <c r="Q27" s="22">
        <f t="shared" si="2"/>
        <v>303.43120230449443</v>
      </c>
      <c r="R27" s="62">
        <f t="shared" si="0"/>
        <v>596.76453563782775</v>
      </c>
      <c r="S27" s="62">
        <f ca="1">AVERAGE(OFFSET($R$3,0,0,'Données projet'!$E$9+1,1))-AVERAGE(OFFSET($H$3,0,0,'Données projet'!$E$9+1,1))</f>
        <v>234.60993819620847</v>
      </c>
      <c r="T27" s="62">
        <f t="shared" si="34"/>
        <v>346.26896655159095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9.7010763714472592</v>
      </c>
      <c r="AA27" s="23">
        <f>EXP(-LN(2)/25)*AA26+(1-EXP(-LN(2)/25))/(LN(2)/25)*Calculateur!V27*Calculateur!X27*VLOOKUP('Données projet'!$B$9,Paramètres!$A$1:$I$89,3,0)*0.475*44/12</f>
        <v>10.415345928578256</v>
      </c>
      <c r="AB27" s="23">
        <f>EXP(-LN(2)/2)*AB26+(1-EXP(-LN(2)/2))/(LN(2)/2)*V27*Y27*VLOOKUP('Données projet'!$B$9,Paramètres!$A$1:$I$89,3,0)*0.475*44/12</f>
        <v>2.1052593975027927</v>
      </c>
      <c r="AC27" s="24">
        <f t="shared" si="3"/>
        <v>22.221681697528307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252.69</v>
      </c>
      <c r="L28" s="13">
        <f>VLOOKUP(A28,'Données projet'!$A$35:$I$55,9,0)</f>
        <v>21.403333333333332</v>
      </c>
      <c r="M28" s="13">
        <f t="array" ref="M28">INDEX(L:L,MIN(IF(ISNUMBER(L28:L224),ROW(L28:L224),"")))</f>
        <v>21.403333333333332</v>
      </c>
      <c r="N28" s="14">
        <f>IF('Données projet'!$A$36&gt;35,N27+M28-V27,IF(A28&lt;'Données projet'!$A$36,$K$205^A28,IF(A28='Données projet'!$A$36,'Données projet'!$B$36,N27+M28-V27)))</f>
        <v>252.69</v>
      </c>
      <c r="O28" s="14">
        <f>N28*VLOOKUP('Données projet'!$B$9,Paramètres!$A$1:$I$89,3,0)*VLOOKUP('Données projet'!$B$9,Paramètres!$A$1:$I$89,5,0)</f>
        <v>151.10862</v>
      </c>
      <c r="P28" s="14">
        <f t="shared" si="33"/>
        <v>38.830415421175942</v>
      </c>
      <c r="Q28" s="22">
        <f t="shared" si="2"/>
        <v>330.81048669188147</v>
      </c>
      <c r="R28" s="62">
        <f t="shared" si="0"/>
        <v>624.14382002521484</v>
      </c>
      <c r="S28" s="62">
        <f ca="1">AVERAGE(OFFSET($R$3,0,0,'Données projet'!$E$9+1,1))-AVERAGE(OFFSET($H$3,0,0,'Données projet'!$E$9+1,1))</f>
        <v>234.60993819620847</v>
      </c>
      <c r="T28" s="62">
        <f t="shared" si="34"/>
        <v>346.26896655159095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60.96</v>
      </c>
      <c r="W28" s="17">
        <f>IF(ISNA(VLOOKUP(A28,'Données projet'!$A$35:$I$55,5,0)),0%,VLOOKUP(A28,'Données projet'!$A$35:$I$55,5,0)*VLOOKUP('Données projet'!$B$9,Paramètres!$A$1:$I$89,7,0))</f>
        <v>0.27</v>
      </c>
      <c r="X28" s="17">
        <f>IF(ISNA(VLOOKUP(A28,'Données projet'!$A$35:$I$55,6,0)),0%,VLOOKUP(A28,'Données projet'!$A$35:$I$55,6,0)*VLOOKUP('Données projet'!$B$9,Paramètres!$A$1:$I$89,7,0))</f>
        <v>9.9000000000000005E-2</v>
      </c>
      <c r="Y28" s="17">
        <f>IF(ISNA(VLOOKUP(A28,'Données projet'!$A$35:$I$55,7,0)),0%,VLOOKUP(A28,'Données projet'!$A$35:$I$55,7,0))</f>
        <v>0.18</v>
      </c>
      <c r="Z28" s="23">
        <f>EXP(-LN(2)/35)*Z27+(1-EXP(-LN(2)/35))/(LN(2)/35)*V28*W28*VLOOKUP('Données projet'!$B$9,Paramètres!$A$1:$I$89,3,0)*0.475*44/12</f>
        <v>22.567689612487854</v>
      </c>
      <c r="AA28" s="23">
        <f>EXP(-LN(2)/25)*AA27+(1-EXP(-LN(2)/25))/(LN(2)/25)*Calculateur!V28*Calculateur!X28*VLOOKUP('Données projet'!$B$9,Paramètres!$A$1:$I$89,3,0)*0.475*44/12</f>
        <v>14.899197487012026</v>
      </c>
      <c r="AB28" s="23">
        <f>EXP(-LN(2)/2)*AB27+(1-EXP(-LN(2)/2))/(LN(2)/2)*V28*Y28*VLOOKUP('Données projet'!$B$9,Paramètres!$A$1:$I$89,3,0)*0.475*44/12</f>
        <v>8.9180508116013755</v>
      </c>
      <c r="AC28" s="24">
        <f t="shared" si="3"/>
        <v>46.384937911101254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20.575714285714287</v>
      </c>
      <c r="N29" s="14">
        <f>IF('Données projet'!$A$36&gt;35,N28+M29-V28,IF(A29&lt;'Données projet'!$A$36,$K$205^A29,IF(A29='Données projet'!$A$36,'Données projet'!$B$36,N28+M29-V28)))</f>
        <v>212.30571428571429</v>
      </c>
      <c r="O29" s="14">
        <f>N29*VLOOKUP('Données projet'!$B$9,Paramètres!$A$1:$I$89,3,0)*VLOOKUP('Données projet'!$B$9,Paramètres!$A$1:$I$89,5,0)</f>
        <v>126.95881714285716</v>
      </c>
      <c r="P29" s="14">
        <f t="shared" si="33"/>
        <v>33.292666057268733</v>
      </c>
      <c r="Q29" s="22">
        <f t="shared" si="2"/>
        <v>279.10466657355261</v>
      </c>
      <c r="R29" s="62">
        <f t="shared" si="0"/>
        <v>572.43799990688592</v>
      </c>
      <c r="S29" s="62">
        <f ca="1">AVERAGE(OFFSET($R$3,0,0,'Données projet'!$E$9+1,1))-AVERAGE(OFFSET($H$3,0,0,'Données projet'!$E$9+1,1))</f>
        <v>234.60993819620847</v>
      </c>
      <c r="T29" s="62">
        <f t="shared" si="34"/>
        <v>346.26896655159095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22.125150984118456</v>
      </c>
      <c r="AA29" s="23">
        <f>EXP(-LN(2)/25)*AA28+(1-EXP(-LN(2)/25))/(LN(2)/25)*Calculateur!V29*Calculateur!X29*VLOOKUP('Données projet'!$B$9,Paramètres!$A$1:$I$89,3,0)*0.475*44/12</f>
        <v>14.491778148214939</v>
      </c>
      <c r="AB29" s="23">
        <f>EXP(-LN(2)/2)*AB28+(1-EXP(-LN(2)/2))/(LN(2)/2)*V29*Y29*VLOOKUP('Données projet'!$B$9,Paramètres!$A$1:$I$89,3,0)*0.475*44/12</f>
        <v>6.3060142038495268</v>
      </c>
      <c r="AC29" s="24">
        <f t="shared" si="3"/>
        <v>42.922943336182925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20.575714285714287</v>
      </c>
      <c r="N30" s="14">
        <f>IF('Données projet'!$A$36&gt;35,N29+M30-V29,IF(A30&lt;'Données projet'!$A$36,$K$205^A30,IF(A30='Données projet'!$A$36,'Données projet'!$B$36,N29+M30-V29)))</f>
        <v>232.88142857142859</v>
      </c>
      <c r="O30" s="14">
        <f>N30*VLOOKUP('Données projet'!$B$9,Paramètres!$A$1:$I$89,3,0)*VLOOKUP('Données projet'!$B$9,Paramètres!$A$1:$I$89,5,0)</f>
        <v>139.26309428571432</v>
      </c>
      <c r="P30" s="14">
        <f t="shared" si="33"/>
        <v>36.128138927166717</v>
      </c>
      <c r="Q30" s="22">
        <f t="shared" si="2"/>
        <v>305.47306451243452</v>
      </c>
      <c r="R30" s="62">
        <f t="shared" si="0"/>
        <v>598.80639784576783</v>
      </c>
      <c r="S30" s="62">
        <f ca="1">AVERAGE(OFFSET($R$3,0,0,'Données projet'!$E$9+1,1))-AVERAGE(OFFSET($H$3,0,0,'Données projet'!$E$9+1,1))</f>
        <v>234.60993819620847</v>
      </c>
      <c r="T30" s="62">
        <f t="shared" si="34"/>
        <v>346.26896655159095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21.691290268329471</v>
      </c>
      <c r="AA30" s="23">
        <f>EXP(-LN(2)/25)*AA29+(1-EXP(-LN(2)/25))/(LN(2)/25)*Calculateur!V30*Calculateur!X30*VLOOKUP('Données projet'!$B$9,Paramètres!$A$1:$I$89,3,0)*0.475*44/12</f>
        <v>14.095499712662511</v>
      </c>
      <c r="AB30" s="23">
        <f>EXP(-LN(2)/2)*AB29+(1-EXP(-LN(2)/2))/(LN(2)/2)*V30*Y30*VLOOKUP('Données projet'!$B$9,Paramètres!$A$1:$I$89,3,0)*0.475*44/12</f>
        <v>4.4590254058006886</v>
      </c>
      <c r="AC30" s="24">
        <f t="shared" si="3"/>
        <v>40.245815386792671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20.575714285714287</v>
      </c>
      <c r="N31" s="14">
        <f>IF('Données projet'!$A$36&gt;35,N30+M31-V30,IF(A31&lt;'Données projet'!$A$36,$K$205^A31,IF(A31='Données projet'!$A$36,'Données projet'!$B$36,N30+M31-V30)))</f>
        <v>253.45714285714288</v>
      </c>
      <c r="O31" s="14">
        <f>N31*VLOOKUP('Données projet'!$B$9,Paramètres!$A$1:$I$89,3,0)*VLOOKUP('Données projet'!$B$9,Paramètres!$A$1:$I$89,5,0)</f>
        <v>151.56737142857145</v>
      </c>
      <c r="P31" s="14">
        <f t="shared" si="33"/>
        <v>38.934560626064055</v>
      </c>
      <c r="Q31" s="22">
        <f t="shared" si="2"/>
        <v>331.79086499515682</v>
      </c>
      <c r="R31" s="62">
        <f t="shared" si="0"/>
        <v>625.12419832849014</v>
      </c>
      <c r="S31" s="62">
        <f ca="1">AVERAGE(OFFSET($R$3,0,0,'Données projet'!$E$9+1,1))-AVERAGE(OFFSET($H$3,0,0,'Données projet'!$E$9+1,1))</f>
        <v>234.60993819620847</v>
      </c>
      <c r="T31" s="62">
        <f t="shared" si="34"/>
        <v>346.26896655159095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21.265937296548202</v>
      </c>
      <c r="AA31" s="23">
        <f>EXP(-LN(2)/25)*AA30+(1-EXP(-LN(2)/25))/(LN(2)/25)*Calculateur!V31*Calculateur!X31*VLOOKUP('Données projet'!$B$9,Paramètres!$A$1:$I$89,3,0)*0.475*44/12</f>
        <v>13.710057531769641</v>
      </c>
      <c r="AB31" s="23">
        <f>EXP(-LN(2)/2)*AB30+(1-EXP(-LN(2)/2))/(LN(2)/2)*V31*Y31*VLOOKUP('Données projet'!$B$9,Paramètres!$A$1:$I$89,3,0)*0.475*44/12</f>
        <v>3.1530071019247639</v>
      </c>
      <c r="AC31" s="24">
        <f t="shared" si="3"/>
        <v>38.129001930242609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20.575714285714287</v>
      </c>
      <c r="N32" s="14">
        <f>IF('Données projet'!$A$36&gt;35,N31+M32-V31,IF(A32&lt;'Données projet'!$A$36,$K$205^A32,IF(A32='Données projet'!$A$36,'Données projet'!$B$36,N31+M32-V31)))</f>
        <v>274.03285714285715</v>
      </c>
      <c r="O32" s="14">
        <f>N32*VLOOKUP('Données projet'!$B$9,Paramètres!$A$1:$I$89,3,0)*VLOOKUP('Données projet'!$B$9,Paramètres!$A$1:$I$89,5,0)</f>
        <v>163.87164857142858</v>
      </c>
      <c r="P32" s="14">
        <f t="shared" si="33"/>
        <v>41.714557659402736</v>
      </c>
      <c r="Q32" s="22">
        <f t="shared" si="2"/>
        <v>358.06264251869788</v>
      </c>
      <c r="R32" s="62">
        <f t="shared" si="0"/>
        <v>651.39597585203114</v>
      </c>
      <c r="S32" s="62">
        <f ca="1">AVERAGE(OFFSET($R$3,0,0,'Données projet'!$E$9+1,1))-AVERAGE(OFFSET($H$3,0,0,'Données projet'!$E$9+1,1))</f>
        <v>234.60993819620847</v>
      </c>
      <c r="T32" s="62">
        <f t="shared" si="34"/>
        <v>346.26896655159095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20.84892523710387</v>
      </c>
      <c r="AA32" s="23">
        <f>EXP(-LN(2)/25)*AA31+(1-EXP(-LN(2)/25))/(LN(2)/25)*Calculateur!V32*Calculateur!X32*VLOOKUP('Données projet'!$B$9,Paramètres!$A$1:$I$89,3,0)*0.475*44/12</f>
        <v>13.335155287582809</v>
      </c>
      <c r="AB32" s="23">
        <f>EXP(-LN(2)/2)*AB31+(1-EXP(-LN(2)/2))/(LN(2)/2)*V32*Y32*VLOOKUP('Données projet'!$B$9,Paramètres!$A$1:$I$89,3,0)*0.475*44/12</f>
        <v>2.2295127029003443</v>
      </c>
      <c r="AC32" s="24">
        <f t="shared" si="3"/>
        <v>36.413593227587022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20.575714285714287</v>
      </c>
      <c r="N33" s="14">
        <f>IF('Données projet'!$A$36&gt;35,N32+M33-V32,IF(A33&lt;'Données projet'!$A$36,$K$205^A33,IF(A33='Données projet'!$A$36,'Données projet'!$B$36,N32+M33-V32)))</f>
        <v>294.60857142857145</v>
      </c>
      <c r="O33" s="14">
        <f>N33*VLOOKUP('Données projet'!$B$9,Paramètres!$A$1:$I$89,3,0)*VLOOKUP('Données projet'!$B$9,Paramètres!$A$1:$I$89,5,0)</f>
        <v>176.17592571428574</v>
      </c>
      <c r="P33" s="14">
        <f t="shared" si="33"/>
        <v>44.470339725943226</v>
      </c>
      <c r="Q33" s="22">
        <f t="shared" si="2"/>
        <v>384.29224564173211</v>
      </c>
      <c r="R33" s="62">
        <f t="shared" si="0"/>
        <v>677.62557897506542</v>
      </c>
      <c r="S33" s="62">
        <f ca="1">AVERAGE(OFFSET($R$3,0,0,'Données projet'!$E$9+1,1))-AVERAGE(OFFSET($H$3,0,0,'Données projet'!$E$9+1,1))</f>
        <v>234.60993819620847</v>
      </c>
      <c r="T33" s="62">
        <f t="shared" si="34"/>
        <v>346.26896655159095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20.440090529793</v>
      </c>
      <c r="AA33" s="23">
        <f>EXP(-LN(2)/25)*AA32+(1-EXP(-LN(2)/25))/(LN(2)/25)*Calculateur!V33*Calculateur!X33*VLOOKUP('Données projet'!$B$9,Paramètres!$A$1:$I$89,3,0)*0.475*44/12</f>
        <v>12.97050476497852</v>
      </c>
      <c r="AB33" s="23">
        <f>EXP(-LN(2)/2)*AB32+(1-EXP(-LN(2)/2))/(LN(2)/2)*V33*Y33*VLOOKUP('Données projet'!$B$9,Paramètres!$A$1:$I$89,3,0)*0.475*44/12</f>
        <v>1.5765035509623819</v>
      </c>
      <c r="AC33" s="24">
        <f t="shared" si="3"/>
        <v>34.987098845733897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20.575714285714287</v>
      </c>
      <c r="N34" s="14">
        <f>IF('Données projet'!$A$36&gt;35,N33+M34-V33,IF(A34&lt;'Données projet'!$A$36,$K$205^A34,IF(A34='Données projet'!$A$36,'Données projet'!$B$36,N33+M34-V33)))</f>
        <v>315.18428571428575</v>
      </c>
      <c r="O34" s="14">
        <f>N34*VLOOKUP('Données projet'!$B$9,Paramètres!$A$1:$I$89,3,0)*VLOOKUP('Données projet'!$B$9,Paramètres!$A$1:$I$89,5,0)</f>
        <v>188.4802028571429</v>
      </c>
      <c r="P34" s="14">
        <f t="shared" si="33"/>
        <v>47.203790390431891</v>
      </c>
      <c r="Q34" s="22">
        <f t="shared" si="2"/>
        <v>410.48295490619279</v>
      </c>
      <c r="R34" s="62">
        <f t="shared" si="0"/>
        <v>703.8162882395261</v>
      </c>
      <c r="S34" s="62">
        <f ca="1">AVERAGE(OFFSET($R$3,0,0,'Données projet'!$E$9+1,1))-AVERAGE(OFFSET($H$3,0,0,'Données projet'!$E$9+1,1))</f>
        <v>234.60993819620847</v>
      </c>
      <c r="T34" s="62">
        <f t="shared" si="34"/>
        <v>346.26896655159095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20.039272821727945</v>
      </c>
      <c r="AA34" s="23">
        <f>EXP(-LN(2)/25)*AA33+(1-EXP(-LN(2)/25))/(LN(2)/25)*Calculateur!V34*Calculateur!X34*VLOOKUP('Données projet'!$B$9,Paramètres!$A$1:$I$89,3,0)*0.475*44/12</f>
        <v>12.615825630090981</v>
      </c>
      <c r="AB34" s="23">
        <f>EXP(-LN(2)/2)*AB33+(1-EXP(-LN(2)/2))/(LN(2)/2)*V34*Y34*VLOOKUP('Données projet'!$B$9,Paramètres!$A$1:$I$89,3,0)*0.475*44/12</f>
        <v>1.1147563514501722</v>
      </c>
      <c r="AC34" s="24">
        <f t="shared" si="3"/>
        <v>33.769854803269105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335.76</v>
      </c>
      <c r="L35" s="13">
        <f>VLOOKUP(A35,'Données projet'!$A$35:$I$55,9,0)</f>
        <v>20.575714285714287</v>
      </c>
      <c r="M35" s="13">
        <f t="array" ref="M35">INDEX(L:L,MIN(IF(ISNUMBER(L35:L231),ROW(L35:L231),"")))</f>
        <v>20.575714285714287</v>
      </c>
      <c r="N35" s="14">
        <f>IF('Données projet'!$A$36&gt;35,N34+M35-V34,IF(A35&lt;'Données projet'!$A$36,$K$205^A35,IF(A35='Données projet'!$A$36,'Données projet'!$B$36,N34+M35-V34)))</f>
        <v>335.76000000000005</v>
      </c>
      <c r="O35" s="14">
        <f>N35*VLOOKUP('Données projet'!$B$9,Paramètres!$A$1:$I$89,3,0)*VLOOKUP('Données projet'!$B$9,Paramètres!$A$1:$I$89,5,0)</f>
        <v>200.78448000000006</v>
      </c>
      <c r="P35" s="14">
        <f t="shared" si="33"/>
        <v>49.916533385625819</v>
      </c>
      <c r="Q35" s="22">
        <f t="shared" ref="Q35:Q66" si="53">(O35+P35)*0.475*44/12</f>
        <v>436.63759831329838</v>
      </c>
      <c r="R35" s="62">
        <f t="shared" si="0"/>
        <v>729.9709316466317</v>
      </c>
      <c r="S35" s="62">
        <f ca="1">AVERAGE(OFFSET($R$3,0,0,'Données projet'!$E$9+1,1))-AVERAGE(OFFSET($H$3,0,0,'Données projet'!$E$9+1,1))</f>
        <v>234.60993819620847</v>
      </c>
      <c r="T35" s="62">
        <f t="shared" si="34"/>
        <v>346.26896655159095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76.42</v>
      </c>
      <c r="W35" s="17">
        <f>IF(ISNA(VLOOKUP(A35,'Données projet'!$A$35:$I$55,5,0)),0%,VLOOKUP(A35,'Données projet'!$A$35:$I$55,5,0)*VLOOKUP('Données projet'!$B$9,Paramètres!$A$1:$I$89,7,0))</f>
        <v>0.36000000000000004</v>
      </c>
      <c r="X35" s="17">
        <f>IF(ISNA(VLOOKUP(A35,'Données projet'!$A$35:$I$55,6,0)),0%,VLOOKUP(A35,'Données projet'!$A$35:$I$55,6,0)*VLOOKUP('Données projet'!$B$9,Paramètres!$A$1:$I$89,7,0))</f>
        <v>4.9500000000000002E-2</v>
      </c>
      <c r="Y35" s="17">
        <f>IF(ISNA(VLOOKUP(A35,'Données projet'!$A$35:$I$55,7,0)),0%,VLOOKUP(A35,'Données projet'!$A$35:$I$55,7,0))</f>
        <v>0.09</v>
      </c>
      <c r="Z35" s="23">
        <f>EXP(-LN(2)/35)*Z34+(1-EXP(-LN(2)/35))/(LN(2)/35)*V35*W35*VLOOKUP('Données projet'!$B$9,Paramètres!$A$1:$I$89,3,0)*0.475*44/12</f>
        <v>41.470552172243387</v>
      </c>
      <c r="AA35" s="23">
        <f>EXP(-LN(2)/25)*AA34+(1-EXP(-LN(2)/25))/(LN(2)/25)*Calculateur!V35*Calculateur!X35*VLOOKUP('Données projet'!$B$9,Paramètres!$A$1:$I$89,3,0)*0.475*44/12</f>
        <v>15.259862417672378</v>
      </c>
      <c r="AB35" s="23">
        <f>EXP(-LN(2)/2)*AB34+(1-EXP(-LN(2)/2))/(LN(2)/2)*V35*Y35*VLOOKUP('Données projet'!$B$9,Paramètres!$A$1:$I$89,3,0)*0.475*44/12</f>
        <v>5.4450376184458529</v>
      </c>
      <c r="AC35" s="24">
        <f t="shared" si="3"/>
        <v>62.175452208361619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18.811538461538461</v>
      </c>
      <c r="N36" s="14">
        <f>IF('Données projet'!$A$36&gt;35,N35+M36-V35,IF(A36&lt;'Données projet'!$A$36,$K$205^A36,IF(A36='Données projet'!$A$36,'Données projet'!$B$36,N35+M36-V35)))</f>
        <v>278.15153846153851</v>
      </c>
      <c r="O36" s="14">
        <f>N36*VLOOKUP('Données projet'!$B$9,Paramètres!$A$1:$I$89,3,0)*VLOOKUP('Données projet'!$B$9,Paramètres!$A$1:$I$89,5,0)</f>
        <v>166.33462000000006</v>
      </c>
      <c r="P36" s="14">
        <f t="shared" si="33"/>
        <v>42.26806189712719</v>
      </c>
      <c r="Q36" s="22">
        <f t="shared" si="53"/>
        <v>363.31633763749659</v>
      </c>
      <c r="R36" s="62">
        <f t="shared" si="0"/>
        <v>656.6496709708299</v>
      </c>
      <c r="S36" s="62">
        <f ca="1">AVERAGE(OFFSET($R$3,0,0,'Données projet'!$E$9+1,1))-AVERAGE(OFFSET($H$3,0,0,'Données projet'!$E$9+1,1))</f>
        <v>234.60993819620847</v>
      </c>
      <c r="T36" s="62">
        <f t="shared" si="34"/>
        <v>346.26896655159095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40.657339938684892</v>
      </c>
      <c r="AA36" s="23">
        <f>EXP(-LN(2)/25)*AA35+(1-EXP(-LN(2)/25))/(LN(2)/25)*Calculateur!V36*Calculateur!X36*VLOOKUP('Données projet'!$B$9,Paramètres!$A$1:$I$89,3,0)*0.475*44/12</f>
        <v>14.842580677379839</v>
      </c>
      <c r="AB36" s="23">
        <f>EXP(-LN(2)/2)*AB35+(1-EXP(-LN(2)/2))/(LN(2)/2)*V36*Y36*VLOOKUP('Données projet'!$B$9,Paramètres!$A$1:$I$89,3,0)*0.475*44/12</f>
        <v>3.8502230238189119</v>
      </c>
      <c r="AC36" s="24">
        <f t="shared" si="3"/>
        <v>59.35014363988364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18.811538461538461</v>
      </c>
      <c r="N37" s="14">
        <f>IF('Données projet'!$A$36&gt;35,N36+M37-V36,IF(A37&lt;'Données projet'!$A$36,$K$205^A37,IF(A37='Données projet'!$A$36,'Données projet'!$B$36,N36+M37-V36)))</f>
        <v>296.96307692307698</v>
      </c>
      <c r="O37" s="14">
        <f>N37*VLOOKUP('Données projet'!$B$9,Paramètres!$A$1:$I$89,3,0)*VLOOKUP('Données projet'!$B$9,Paramètres!$A$1:$I$89,5,0)</f>
        <v>177.58392000000006</v>
      </c>
      <c r="P37" s="14">
        <f t="shared" si="33"/>
        <v>44.784230847088935</v>
      </c>
      <c r="Q37" s="22">
        <f t="shared" si="53"/>
        <v>387.29119605868004</v>
      </c>
      <c r="R37" s="62">
        <f t="shared" si="0"/>
        <v>680.6245293920133</v>
      </c>
      <c r="S37" s="62">
        <f ca="1">AVERAGE(OFFSET($R$3,0,0,'Données projet'!$E$9+1,1))-AVERAGE(OFFSET($H$3,0,0,'Données projet'!$E$9+1,1))</f>
        <v>234.60993819620847</v>
      </c>
      <c r="T37" s="62">
        <f t="shared" si="34"/>
        <v>346.26896655159095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39.860074301015992</v>
      </c>
      <c r="AA37" s="23">
        <f>EXP(-LN(2)/25)*AA36+(1-EXP(-LN(2)/25))/(LN(2)/25)*Calculateur!V37*Calculateur!X37*VLOOKUP('Données projet'!$B$9,Paramètres!$A$1:$I$89,3,0)*0.475*44/12</f>
        <v>14.436709528219493</v>
      </c>
      <c r="AB37" s="23">
        <f>EXP(-LN(2)/2)*AB36+(1-EXP(-LN(2)/2))/(LN(2)/2)*V37*Y37*VLOOKUP('Données projet'!$B$9,Paramètres!$A$1:$I$89,3,0)*0.475*44/12</f>
        <v>2.7225188092229269</v>
      </c>
      <c r="AC37" s="24">
        <f t="shared" si="3"/>
        <v>57.019302638458413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18.811538461538461</v>
      </c>
      <c r="N38" s="14">
        <f>IF('Données projet'!$A$36&gt;35,N37+M38-V37,IF(A38&lt;'Données projet'!$A$36,$K$205^A38,IF(A38='Données projet'!$A$36,'Données projet'!$B$36,N37+M38-V37)))</f>
        <v>315.77461538461546</v>
      </c>
      <c r="O38" s="14">
        <f>N38*VLOOKUP('Données projet'!$B$9,Paramètres!$A$1:$I$89,3,0)*VLOOKUP('Données projet'!$B$9,Paramètres!$A$1:$I$89,5,0)</f>
        <v>188.83322000000004</v>
      </c>
      <c r="P38" s="14">
        <f t="shared" si="33"/>
        <v>47.281901952869688</v>
      </c>
      <c r="Q38" s="22">
        <f t="shared" si="53"/>
        <v>411.23383740124814</v>
      </c>
      <c r="R38" s="62">
        <f t="shared" si="0"/>
        <v>704.5671707345814</v>
      </c>
      <c r="S38" s="62">
        <f ca="1">AVERAGE(OFFSET($R$3,0,0,'Données projet'!$E$9+1,1))-AVERAGE(OFFSET($H$3,0,0,'Données projet'!$E$9+1,1))</f>
        <v>234.60993819620847</v>
      </c>
      <c r="T38" s="62">
        <f t="shared" si="34"/>
        <v>346.26896655159095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39.078442556217759</v>
      </c>
      <c r="AA38" s="23">
        <f>EXP(-LN(2)/25)*AA37+(1-EXP(-LN(2)/25))/(LN(2)/25)*Calculateur!V38*Calculateur!X38*VLOOKUP('Données projet'!$B$9,Paramètres!$A$1:$I$89,3,0)*0.475*44/12</f>
        <v>14.041936946976772</v>
      </c>
      <c r="AB38" s="23">
        <f>EXP(-LN(2)/2)*AB37+(1-EXP(-LN(2)/2))/(LN(2)/2)*V38*Y38*VLOOKUP('Données projet'!$B$9,Paramètres!$A$1:$I$89,3,0)*0.475*44/12</f>
        <v>1.9251115119094562</v>
      </c>
      <c r="AC38" s="24">
        <f t="shared" si="3"/>
        <v>55.045491015103984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18.811538461538461</v>
      </c>
      <c r="N39" s="14">
        <f>IF('Données projet'!$A$36&gt;35,N38+M39-V38,IF(A39&lt;'Données projet'!$A$36,$K$205^A39,IF(A39='Données projet'!$A$36,'Données projet'!$B$36,N38+M39-V38)))</f>
        <v>334.58615384615393</v>
      </c>
      <c r="O39" s="14">
        <f>N39*VLOOKUP('Données projet'!$B$9,Paramètres!$A$1:$I$89,3,0)*VLOOKUP('Données projet'!$B$9,Paramètres!$A$1:$I$89,5,0)</f>
        <v>200.08252000000007</v>
      </c>
      <c r="P39" s="14">
        <f t="shared" si="33"/>
        <v>49.762302688326976</v>
      </c>
      <c r="Q39" s="22">
        <f t="shared" si="53"/>
        <v>435.14639951550294</v>
      </c>
      <c r="R39" s="62">
        <f t="shared" si="0"/>
        <v>728.47973284883619</v>
      </c>
      <c r="S39" s="62">
        <f ca="1">AVERAGE(OFFSET($R$3,0,0,'Données projet'!$E$9+1,1))-AVERAGE(OFFSET($H$3,0,0,'Données projet'!$E$9+1,1))</f>
        <v>234.60993819620847</v>
      </c>
      <c r="T39" s="62">
        <f t="shared" si="34"/>
        <v>346.26896655159095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38.312138133186728</v>
      </c>
      <c r="AA39" s="23">
        <f>EXP(-LN(2)/25)*AA38+(1-EXP(-LN(2)/25))/(LN(2)/25)*Calculateur!V39*Calculateur!X39*VLOOKUP('Données projet'!$B$9,Paramètres!$A$1:$I$89,3,0)*0.475*44/12</f>
        <v>13.657959442728322</v>
      </c>
      <c r="AB39" s="23">
        <f>EXP(-LN(2)/2)*AB38+(1-EXP(-LN(2)/2))/(LN(2)/2)*V39*Y39*VLOOKUP('Données projet'!$B$9,Paramètres!$A$1:$I$89,3,0)*0.475*44/12</f>
        <v>1.3612594046114637</v>
      </c>
      <c r="AC39" s="24">
        <f t="shared" si="3"/>
        <v>53.331356980526515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18.811538461538461</v>
      </c>
      <c r="N40" s="14">
        <f>IF('Données projet'!$A$36&gt;35,N39+M40-V39,IF(A40&lt;'Données projet'!$A$36,$K$205^A40,IF(A40='Données projet'!$A$36,'Données projet'!$B$36,N39+M40-V39)))</f>
        <v>353.39769230769241</v>
      </c>
      <c r="O40" s="14">
        <f>N40*VLOOKUP('Données projet'!$B$9,Paramètres!$A$1:$I$89,3,0)*VLOOKUP('Données projet'!$B$9,Paramètres!$A$1:$I$89,5,0)</f>
        <v>211.33182000000008</v>
      </c>
      <c r="P40" s="14">
        <f t="shared" si="33"/>
        <v>52.226514706347821</v>
      </c>
      <c r="Q40" s="22">
        <f t="shared" si="53"/>
        <v>459.03076628022262</v>
      </c>
      <c r="R40" s="62">
        <f t="shared" si="0"/>
        <v>752.36409961355594</v>
      </c>
      <c r="S40" s="62">
        <f ca="1">AVERAGE(OFFSET($R$3,0,0,'Données projet'!$E$9+1,1))-AVERAGE(OFFSET($H$3,0,0,'Données projet'!$E$9+1,1))</f>
        <v>234.60993819620847</v>
      </c>
      <c r="T40" s="62">
        <f t="shared" si="34"/>
        <v>346.26896655159095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37.56086047249179</v>
      </c>
      <c r="AA40" s="23">
        <f>EXP(-LN(2)/25)*AA39+(1-EXP(-LN(2)/25))/(LN(2)/25)*Calculateur!V40*Calculateur!X40*VLOOKUP('Données projet'!$B$9,Paramètres!$A$1:$I$89,3,0)*0.475*44/12</f>
        <v>13.284481823526043</v>
      </c>
      <c r="AB40" s="23">
        <f>EXP(-LN(2)/2)*AB39+(1-EXP(-LN(2)/2))/(LN(2)/2)*V40*Y40*VLOOKUP('Données projet'!$B$9,Paramètres!$A$1:$I$89,3,0)*0.475*44/12</f>
        <v>0.96255575595472831</v>
      </c>
      <c r="AC40" s="24">
        <f t="shared" si="3"/>
        <v>51.807898051972565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18.811538461538461</v>
      </c>
      <c r="N41" s="14">
        <f>IF('Données projet'!$A$36&gt;35,N40+M41-V40,IF(A41&lt;'Données projet'!$A$36,$K$205^A41,IF(A41='Données projet'!$A$36,'Données projet'!$B$36,N40+M41-V40)))</f>
        <v>372.20923076923089</v>
      </c>
      <c r="O41" s="14">
        <f>N41*VLOOKUP('Données projet'!$B$9,Paramètres!$A$1:$I$89,3,0)*VLOOKUP('Données projet'!$B$9,Paramètres!$A$1:$I$89,5,0)</f>
        <v>222.58112000000008</v>
      </c>
      <c r="P41" s="14">
        <f t="shared" si="33"/>
        <v>54.675498002213622</v>
      </c>
      <c r="Q41" s="22">
        <f t="shared" si="53"/>
        <v>482.88860968718888</v>
      </c>
      <c r="R41" s="62">
        <f t="shared" si="0"/>
        <v>776.22194302052219</v>
      </c>
      <c r="S41" s="62">
        <f ca="1">AVERAGE(OFFSET($R$3,0,0,'Données projet'!$E$9+1,1))-AVERAGE(OFFSET($H$3,0,0,'Données projet'!$E$9+1,1))</f>
        <v>234.60993819620847</v>
      </c>
      <c r="T41" s="62">
        <f t="shared" si="34"/>
        <v>346.26896655159095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36.824314908488951</v>
      </c>
      <c r="AA41" s="23">
        <f>EXP(-LN(2)/25)*AA40+(1-EXP(-LN(2)/25))/(LN(2)/25)*Calculateur!V41*Calculateur!X41*VLOOKUP('Données projet'!$B$9,Paramètres!$A$1:$I$89,3,0)*0.475*44/12</f>
        <v>12.921216969461186</v>
      </c>
      <c r="AB41" s="23">
        <f>EXP(-LN(2)/2)*AB40+(1-EXP(-LN(2)/2))/(LN(2)/2)*V41*Y41*VLOOKUP('Données projet'!$B$9,Paramètres!$A$1:$I$89,3,0)*0.475*44/12</f>
        <v>0.68062970230573194</v>
      </c>
      <c r="AC41" s="24">
        <f t="shared" si="3"/>
        <v>50.426161580255865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18.811538461538461</v>
      </c>
      <c r="N42" s="14">
        <f>IF('Données projet'!$A$36&gt;35,N41+M42-V41,IF(A42&lt;'Données projet'!$A$36,$K$205^A42,IF(A42='Données projet'!$A$36,'Données projet'!$B$36,N41+M42-V41)))</f>
        <v>391.02076923076936</v>
      </c>
      <c r="O42" s="14">
        <f>N42*VLOOKUP('Données projet'!$B$9,Paramètres!$A$1:$I$89,3,0)*VLOOKUP('Données projet'!$B$9,Paramètres!$A$1:$I$89,5,0)</f>
        <v>233.83042000000009</v>
      </c>
      <c r="P42" s="14">
        <f t="shared" si="33"/>
        <v>57.11011005315418</v>
      </c>
      <c r="Q42" s="22">
        <f t="shared" si="53"/>
        <v>506.72142317591027</v>
      </c>
      <c r="R42" s="62">
        <f t="shared" si="0"/>
        <v>800.05475650924359</v>
      </c>
      <c r="S42" s="62">
        <f ca="1">AVERAGE(OFFSET($R$3,0,0,'Données projet'!$E$9+1,1))-AVERAGE(OFFSET($H$3,0,0,'Données projet'!$E$9+1,1))</f>
        <v>234.60993819620847</v>
      </c>
      <c r="T42" s="62">
        <f t="shared" si="34"/>
        <v>346.26896655159095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36.102212553747776</v>
      </c>
      <c r="AA42" s="23">
        <f>EXP(-LN(2)/25)*AA41+(1-EXP(-LN(2)/25))/(LN(2)/25)*Calculateur!V42*Calculateur!X42*VLOOKUP('Données projet'!$B$9,Paramètres!$A$1:$I$89,3,0)*0.475*44/12</f>
        <v>12.567885611934001</v>
      </c>
      <c r="AB42" s="23">
        <f>EXP(-LN(2)/2)*AB41+(1-EXP(-LN(2)/2))/(LN(2)/2)*V42*Y42*VLOOKUP('Données projet'!$B$9,Paramètres!$A$1:$I$89,3,0)*0.475*44/12</f>
        <v>0.48127787797736421</v>
      </c>
      <c r="AC42" s="24">
        <f t="shared" si="3"/>
        <v>49.151376043659141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18.811538461538461</v>
      </c>
      <c r="N43" s="14">
        <f>IF('Données projet'!$A$36&gt;35,N42+M43-V42,IF(A43&lt;'Données projet'!$A$36,$K$205^A43,IF(A43='Données projet'!$A$36,'Données projet'!$B$36,N42+M43-V42)))</f>
        <v>409.83230769230784</v>
      </c>
      <c r="O43" s="14">
        <f>N43*VLOOKUP('Données projet'!$B$9,Paramètres!$A$1:$I$89,3,0)*VLOOKUP('Données projet'!$B$9,Paramètres!$A$1:$I$89,5,0)</f>
        <v>245.07972000000012</v>
      </c>
      <c r="P43" s="14">
        <f t="shared" si="33"/>
        <v>59.531121170362454</v>
      </c>
      <c r="Q43" s="22">
        <f t="shared" si="53"/>
        <v>530.53054837171476</v>
      </c>
      <c r="R43" s="62">
        <f t="shared" si="0"/>
        <v>823.86388170504802</v>
      </c>
      <c r="S43" s="62">
        <f ca="1">AVERAGE(OFFSET($R$3,0,0,'Données projet'!$E$9+1,1))-AVERAGE(OFFSET($H$3,0,0,'Données projet'!$E$9+1,1))</f>
        <v>234.60993819620847</v>
      </c>
      <c r="T43" s="62">
        <f t="shared" si="34"/>
        <v>346.26896655159095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35.394270185744126</v>
      </c>
      <c r="AA43" s="23">
        <f>EXP(-LN(2)/25)*AA42+(1-EXP(-LN(2)/25))/(LN(2)/25)*Calculateur!V43*Calculateur!X43*VLOOKUP('Données projet'!$B$9,Paramètres!$A$1:$I$89,3,0)*0.475*44/12</f>
        <v>12.224216118959285</v>
      </c>
      <c r="AB43" s="23">
        <f>EXP(-LN(2)/2)*AB42+(1-EXP(-LN(2)/2))/(LN(2)/2)*V43*Y43*VLOOKUP('Données projet'!$B$9,Paramètres!$A$1:$I$89,3,0)*0.475*44/12</f>
        <v>0.34031485115286603</v>
      </c>
      <c r="AC43" s="24">
        <f t="shared" si="3"/>
        <v>47.958801155856278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18.811538461538461</v>
      </c>
      <c r="N44" s="14">
        <f>IF('Données projet'!$A$36&gt;35,N43+M44-V43,IF(A44&lt;'Données projet'!$A$36,$K$205^A44,IF(A44='Données projet'!$A$36,'Données projet'!$B$36,N43+M44-V43)))</f>
        <v>428.64384615384631</v>
      </c>
      <c r="O44" s="14">
        <f>N44*VLOOKUP('Données projet'!$B$9,Paramètres!$A$1:$I$89,3,0)*VLOOKUP('Données projet'!$B$9,Paramètres!$A$1:$I$89,5,0)</f>
        <v>256.32902000000013</v>
      </c>
      <c r="P44" s="14">
        <f t="shared" si="33"/>
        <v>61.939226952630833</v>
      </c>
      <c r="Q44" s="22">
        <f t="shared" si="53"/>
        <v>554.31719677583226</v>
      </c>
      <c r="R44" s="62">
        <f t="shared" si="0"/>
        <v>847.65053010916563</v>
      </c>
      <c r="S44" s="62">
        <f ca="1">AVERAGE(OFFSET($R$3,0,0,'Données projet'!$E$9+1,1))-AVERAGE(OFFSET($H$3,0,0,'Données projet'!$E$9+1,1))</f>
        <v>234.60993819620847</v>
      </c>
      <c r="T44" s="62">
        <f t="shared" si="34"/>
        <v>346.26896655159095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34.700210135774824</v>
      </c>
      <c r="AA44" s="23">
        <f>EXP(-LN(2)/25)*AA43+(1-EXP(-LN(2)/25))/(LN(2)/25)*Calculateur!V44*Calculateur!X44*VLOOKUP('Données projet'!$B$9,Paramètres!$A$1:$I$89,3,0)*0.475*44/12</f>
        <v>11.889944286342757</v>
      </c>
      <c r="AB44" s="23">
        <f>EXP(-LN(2)/2)*AB43+(1-EXP(-LN(2)/2))/(LN(2)/2)*V44*Y44*VLOOKUP('Données projet'!$B$9,Paramètres!$A$1:$I$89,3,0)*0.475*44/12</f>
        <v>0.24063893898868213</v>
      </c>
      <c r="AC44" s="24">
        <f t="shared" si="3"/>
        <v>46.830793361106259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18.811538461538461</v>
      </c>
      <c r="N45" s="14">
        <f>IF('Données projet'!$A$36&gt;35,N44+M45-V44,IF(A45&lt;'Données projet'!$A$36,$K$205^A45,IF(A45='Données projet'!$A$36,'Données projet'!$B$36,N44+M45-V44)))</f>
        <v>447.45538461538479</v>
      </c>
      <c r="O45" s="14">
        <f>N45*VLOOKUP('Données projet'!$B$9,Paramètres!$A$1:$I$89,3,0)*VLOOKUP('Données projet'!$B$9,Paramètres!$A$1:$I$89,5,0)</f>
        <v>267.57832000000013</v>
      </c>
      <c r="P45" s="14">
        <f t="shared" si="33"/>
        <v>64.335058492109823</v>
      </c>
      <c r="Q45" s="22">
        <f t="shared" si="53"/>
        <v>578.08246754042477</v>
      </c>
      <c r="R45" s="62">
        <f t="shared" si="0"/>
        <v>871.41580087375814</v>
      </c>
      <c r="S45" s="62">
        <f ca="1">AVERAGE(OFFSET($R$3,0,0,'Données projet'!$E$9+1,1))-AVERAGE(OFFSET($H$3,0,0,'Données projet'!$E$9+1,1))</f>
        <v>234.60993819620847</v>
      </c>
      <c r="T45" s="62">
        <f t="shared" si="34"/>
        <v>346.26896655159095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34.019760180050589</v>
      </c>
      <c r="AA45" s="23">
        <f>EXP(-LN(2)/25)*AA44+(1-EXP(-LN(2)/25))/(LN(2)/25)*Calculateur!V45*Calculateur!X45*VLOOKUP('Données projet'!$B$9,Paramètres!$A$1:$I$89,3,0)*0.475*44/12</f>
        <v>11.56481313456772</v>
      </c>
      <c r="AB45" s="23">
        <f>EXP(-LN(2)/2)*AB44+(1-EXP(-LN(2)/2))/(LN(2)/2)*V45*Y45*VLOOKUP('Données projet'!$B$9,Paramètres!$A$1:$I$89,3,0)*0.475*44/12</f>
        <v>0.17015742557643304</v>
      </c>
      <c r="AC45" s="24">
        <f t="shared" si="3"/>
        <v>45.754730740194745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18.811538461538461</v>
      </c>
      <c r="N46" s="14">
        <f>IF('Données projet'!$A$36&gt;35,N45+M46-V45,IF(A46&lt;'Données projet'!$A$36,$K$205^A46,IF(A46='Données projet'!$A$36,'Données projet'!$B$36,N45+M46-V45)))</f>
        <v>466.26692307692326</v>
      </c>
      <c r="O46" s="14">
        <f>N46*VLOOKUP('Données projet'!$B$9,Paramètres!$A$1:$I$89,3,0)*VLOOKUP('Données projet'!$B$9,Paramètres!$A$1:$I$89,5,0)</f>
        <v>278.82762000000014</v>
      </c>
      <c r="P46" s="14">
        <f t="shared" si="33"/>
        <v>66.719190815445643</v>
      </c>
      <c r="Q46" s="22">
        <f t="shared" si="53"/>
        <v>601.82736217023478</v>
      </c>
      <c r="R46" s="62">
        <f t="shared" si="0"/>
        <v>895.16069550356815</v>
      </c>
      <c r="S46" s="62">
        <f ca="1">AVERAGE(OFFSET($R$3,0,0,'Données projet'!$E$9+1,1))-AVERAGE(OFFSET($H$3,0,0,'Données projet'!$E$9+1,1))</f>
        <v>234.60993819620847</v>
      </c>
      <c r="T46" s="62">
        <f t="shared" si="34"/>
        <v>346.26896655159095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33.352653432924612</v>
      </c>
      <c r="AA46" s="23">
        <f>EXP(-LN(2)/25)*AA45+(1-EXP(-LN(2)/25))/(LN(2)/25)*Calculateur!V46*Calculateur!X46*VLOOKUP('Données projet'!$B$9,Paramètres!$A$1:$I$89,3,0)*0.475*44/12</f>
        <v>11.248572711235875</v>
      </c>
      <c r="AB46" s="23">
        <f>EXP(-LN(2)/2)*AB45+(1-EXP(-LN(2)/2))/(LN(2)/2)*V46*Y46*VLOOKUP('Données projet'!$B$9,Paramètres!$A$1:$I$89,3,0)*0.475*44/12</f>
        <v>0.12031946949434109</v>
      </c>
      <c r="AC46" s="24">
        <f t="shared" si="3"/>
        <v>44.721545613654826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18.811538461538461</v>
      </c>
      <c r="N47" s="14">
        <f>IF('Données projet'!$A$36&gt;35,N46+M47-V46,IF(A47&lt;'Données projet'!$A$36,$K$205^A47,IF(A47='Données projet'!$A$36,'Données projet'!$B$36,N46+M47-V46)))</f>
        <v>485.07846153846174</v>
      </c>
      <c r="O47" s="14">
        <f>N47*VLOOKUP('Données projet'!$B$9,Paramètres!$A$1:$I$89,3,0)*VLOOKUP('Données projet'!$B$9,Paramètres!$A$1:$I$89,5,0)</f>
        <v>290.07692000000014</v>
      </c>
      <c r="P47" s="14">
        <f t="shared" si="33"/>
        <v>69.092149924334223</v>
      </c>
      <c r="Q47" s="22">
        <f t="shared" si="53"/>
        <v>625.55279678488239</v>
      </c>
      <c r="R47" s="62">
        <f t="shared" si="0"/>
        <v>918.88613011821576</v>
      </c>
      <c r="S47" s="62">
        <f ca="1">AVERAGE(OFFSET($R$3,0,0,'Données projet'!$E$9+1,1))-AVERAGE(OFFSET($H$3,0,0,'Données projet'!$E$9+1,1))</f>
        <v>234.60993819620847</v>
      </c>
      <c r="T47" s="62">
        <f t="shared" si="34"/>
        <v>346.26896655159095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32.698628242214838</v>
      </c>
      <c r="AA47" s="23">
        <f>EXP(-LN(2)/25)*AA46+(1-EXP(-LN(2)/25))/(LN(2)/25)*Calculateur!V47*Calculateur!X47*VLOOKUP('Données projet'!$B$9,Paramètres!$A$1:$I$89,3,0)*0.475*44/12</f>
        <v>10.940979898910401</v>
      </c>
      <c r="AB47" s="23">
        <f>EXP(-LN(2)/2)*AB46+(1-EXP(-LN(2)/2))/(LN(2)/2)*V47*Y47*VLOOKUP('Données projet'!$B$9,Paramètres!$A$1:$I$89,3,0)*0.475*44/12</f>
        <v>8.5078712788216534E-2</v>
      </c>
      <c r="AC47" s="24">
        <f t="shared" si="3"/>
        <v>43.724686853913454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503.89</v>
      </c>
      <c r="L48" s="13">
        <f>VLOOKUP(A48,'Données projet'!$A$35:$I$55,9,0)</f>
        <v>18.811538461538461</v>
      </c>
      <c r="M48" s="13">
        <f t="array" ref="M48">INDEX(L:L,MIN(IF(ISNUMBER(L48:L244),ROW(L48:L244),"")))</f>
        <v>18.811538461538461</v>
      </c>
      <c r="N48" s="14">
        <f>IF('Données projet'!$A$36&gt;35,N47+M48-V47,IF(A48&lt;'Données projet'!$A$36,$K$205^A48,IF(A48='Données projet'!$A$36,'Données projet'!$B$36,N47+M48-V47)))</f>
        <v>503.89000000000021</v>
      </c>
      <c r="O48" s="14">
        <f>N48*VLOOKUP('Données projet'!$B$9,Paramètres!$A$1:$I$89,3,0)*VLOOKUP('Données projet'!$B$9,Paramètres!$A$1:$I$89,5,0)</f>
        <v>301.32622000000015</v>
      </c>
      <c r="P48" s="14">
        <f t="shared" si="33"/>
        <v>71.45441871320989</v>
      </c>
      <c r="Q48" s="22">
        <f t="shared" si="53"/>
        <v>649.25961242550738</v>
      </c>
      <c r="R48" s="62">
        <f t="shared" si="0"/>
        <v>942.59294575884064</v>
      </c>
      <c r="S48" s="62">
        <f ca="1">AVERAGE(OFFSET($R$3,0,0,'Données projet'!$E$9+1,1))-AVERAGE(OFFSET($H$3,0,0,'Données projet'!$E$9+1,1))</f>
        <v>234.60993819620847</v>
      </c>
      <c r="T48" s="62">
        <f t="shared" si="34"/>
        <v>346.26896655159095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503.89</v>
      </c>
      <c r="W48" s="17">
        <f>IF(ISNA(VLOOKUP(A48,'Données projet'!$A$35:$I$55,5,0)),0%,VLOOKUP(A48,'Données projet'!$A$35:$I$55,5,0)*VLOOKUP('Données projet'!$B$9,Paramètres!$A$1:$I$89,7,0))</f>
        <v>0.36000000000000004</v>
      </c>
      <c r="X48" s="17">
        <f>IF(ISNA(VLOOKUP(A48,'Données projet'!$A$35:$I$55,6,0)),0%,VLOOKUP(A48,'Données projet'!$A$35:$I$55,6,0)*VLOOKUP('Données projet'!$B$9,Paramètres!$A$1:$I$89,7,0))</f>
        <v>4.9500000000000002E-2</v>
      </c>
      <c r="Y48" s="17">
        <f>IF(ISNA(VLOOKUP(A48,'Données projet'!$A$35:$I$55,7,0)),0%,VLOOKUP(A48,'Données projet'!$A$35:$I$55,7,0))</f>
        <v>0.09</v>
      </c>
      <c r="Z48" s="23">
        <f>EXP(-LN(2)/35)*Z47+(1-EXP(-LN(2)/35))/(LN(2)/35)*V48*W48*VLOOKUP('Données projet'!$B$9,Paramètres!$A$1:$I$89,3,0)*0.475*44/12</f>
        <v>175.95974314640276</v>
      </c>
      <c r="AA48" s="23">
        <f>EXP(-LN(2)/25)*AA47+(1-EXP(-LN(2)/25))/(LN(2)/25)*Calculateur!V48*Calculateur!X48*VLOOKUP('Données projet'!$B$9,Paramètres!$A$1:$I$89,3,0)*0.475*44/12</f>
        <v>30.350459290187054</v>
      </c>
      <c r="AB48" s="23">
        <f>EXP(-LN(2)/2)*AB47+(1-EXP(-LN(2)/2))/(LN(2)/2)*V48*Y48*VLOOKUP('Données projet'!$B$9,Paramètres!$A$1:$I$89,3,0)*0.475*44/12</f>
        <v>30.765574788548047</v>
      </c>
      <c r="AC48" s="24">
        <f t="shared" si="3"/>
        <v>237.07577722513784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2.2737367544323206E-13</v>
      </c>
      <c r="O49" s="14">
        <f>N49*VLOOKUP('Données projet'!$B$9,Paramètres!$A$1:$I$89,3,0)*VLOOKUP('Données projet'!$B$9,Paramètres!$A$1:$I$89,5,0)</f>
        <v>1.3596945791505279E-13</v>
      </c>
      <c r="P49" s="14">
        <f t="shared" si="33"/>
        <v>1.9708830566360721E-12</v>
      </c>
      <c r="Q49" s="22">
        <f t="shared" si="53"/>
        <v>3.669434796176543E-12</v>
      </c>
      <c r="R49" s="62">
        <f t="shared" si="0"/>
        <v>293.33333333333701</v>
      </c>
      <c r="S49" s="62">
        <f ca="1">AVERAGE(OFFSET($R$3,0,0,'Données projet'!$E$9+1,1))-AVERAGE(OFFSET($H$3,0,0,'Données projet'!$E$9+1,1))</f>
        <v>234.60993819620847</v>
      </c>
      <c r="T49" s="62">
        <f t="shared" si="34"/>
        <v>346.26896655159095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172.50927990814768</v>
      </c>
      <c r="AA49" s="23">
        <f>EXP(-LN(2)/25)*AA48+(1-EXP(-LN(2)/25))/(LN(2)/25)*Calculateur!V49*Calculateur!X49*VLOOKUP('Données projet'!$B$9,Paramètres!$A$1:$I$89,3,0)*0.475*44/12</f>
        <v>29.520524384835603</v>
      </c>
      <c r="AB49" s="23">
        <f>EXP(-LN(2)/2)*AB48+(1-EXP(-LN(2)/2))/(LN(2)/2)*V49*Y49*VLOOKUP('Données projet'!$B$9,Paramètres!$A$1:$I$89,3,0)*0.475*44/12</f>
        <v>21.754546560084208</v>
      </c>
      <c r="AC49" s="24">
        <f t="shared" si="3"/>
        <v>223.78435085306748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2.2737367544323206E-13</v>
      </c>
      <c r="O50" s="14">
        <f>N50*VLOOKUP('Données projet'!$B$9,Paramètres!$A$1:$I$89,3,0)*VLOOKUP('Données projet'!$B$9,Paramètres!$A$1:$I$89,5,0)</f>
        <v>1.3596945791505279E-13</v>
      </c>
      <c r="P50" s="14">
        <f t="shared" si="33"/>
        <v>1.9708830566360721E-12</v>
      </c>
      <c r="Q50" s="22">
        <f t="shared" si="53"/>
        <v>3.669434796176543E-12</v>
      </c>
      <c r="R50" s="62">
        <f t="shared" si="0"/>
        <v>293.33333333333701</v>
      </c>
      <c r="S50" s="62">
        <f ca="1">AVERAGE(OFFSET($R$3,0,0,'Données projet'!$E$9+1,1))-AVERAGE(OFFSET($H$3,0,0,'Données projet'!$E$9+1,1))</f>
        <v>234.60993819620847</v>
      </c>
      <c r="T50" s="62">
        <f t="shared" si="34"/>
        <v>346.26896655159095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169.12647814942</v>
      </c>
      <c r="AA50" s="23">
        <f>EXP(-LN(2)/25)*AA49+(1-EXP(-LN(2)/25))/(LN(2)/25)*Calculateur!V50*Calculateur!X50*VLOOKUP('Données projet'!$B$9,Paramètres!$A$1:$I$89,3,0)*0.475*44/12</f>
        <v>28.713284093115366</v>
      </c>
      <c r="AB50" s="23">
        <f>EXP(-LN(2)/2)*AB49+(1-EXP(-LN(2)/2))/(LN(2)/2)*V50*Y50*VLOOKUP('Données projet'!$B$9,Paramètres!$A$1:$I$89,3,0)*0.475*44/12</f>
        <v>15.382787394274025</v>
      </c>
      <c r="AC50" s="24">
        <f t="shared" si="3"/>
        <v>213.22254963680939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2.2737367544323206E-13</v>
      </c>
      <c r="O51" s="14">
        <f>N51*VLOOKUP('Données projet'!$B$9,Paramètres!$A$1:$I$89,3,0)*VLOOKUP('Données projet'!$B$9,Paramètres!$A$1:$I$89,5,0)</f>
        <v>1.3596945791505279E-13</v>
      </c>
      <c r="P51" s="14">
        <f t="shared" si="33"/>
        <v>1.9708830566360721E-12</v>
      </c>
      <c r="Q51" s="22">
        <f t="shared" si="53"/>
        <v>3.669434796176543E-12</v>
      </c>
      <c r="R51" s="62">
        <f t="shared" si="0"/>
        <v>293.33333333333701</v>
      </c>
      <c r="S51" s="62">
        <f ca="1">AVERAGE(OFFSET($R$3,0,0,'Données projet'!$E$9+1,1))-AVERAGE(OFFSET($H$3,0,0,'Données projet'!$E$9+1,1))</f>
        <v>234.60993819620847</v>
      </c>
      <c r="T51" s="62">
        <f t="shared" si="34"/>
        <v>346.26896655159095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165.81001106987563</v>
      </c>
      <c r="AA51" s="23">
        <f>EXP(-LN(2)/25)*AA50+(1-EXP(-LN(2)/25))/(LN(2)/25)*Calculateur!V51*Calculateur!X51*VLOOKUP('Données projet'!$B$9,Paramètres!$A$1:$I$89,3,0)*0.475*44/12</f>
        <v>27.92811782962314</v>
      </c>
      <c r="AB51" s="23">
        <f>EXP(-LN(2)/2)*AB50+(1-EXP(-LN(2)/2))/(LN(2)/2)*V51*Y51*VLOOKUP('Données projet'!$B$9,Paramètres!$A$1:$I$89,3,0)*0.475*44/12</f>
        <v>10.877273280042106</v>
      </c>
      <c r="AC51" s="24">
        <f t="shared" si="3"/>
        <v>204.61540217954089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2.2737367544323206E-13</v>
      </c>
      <c r="O52" s="14">
        <f>N52*VLOOKUP('Données projet'!$B$9,Paramètres!$A$1:$I$89,3,0)*VLOOKUP('Données projet'!$B$9,Paramètres!$A$1:$I$89,5,0)</f>
        <v>1.3596945791505279E-13</v>
      </c>
      <c r="P52" s="14">
        <f t="shared" si="33"/>
        <v>1.9708830566360721E-12</v>
      </c>
      <c r="Q52" s="22">
        <f t="shared" si="53"/>
        <v>3.669434796176543E-12</v>
      </c>
      <c r="R52" s="62">
        <f t="shared" si="0"/>
        <v>293.33333333333701</v>
      </c>
      <c r="S52" s="62">
        <f ca="1">AVERAGE(OFFSET($R$3,0,0,'Données projet'!$E$9+1,1))-AVERAGE(OFFSET($H$3,0,0,'Données projet'!$E$9+1,1))</f>
        <v>234.60993819620847</v>
      </c>
      <c r="T52" s="62">
        <f t="shared" si="34"/>
        <v>346.26896655159095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162.55857788691594</v>
      </c>
      <c r="AA52" s="23">
        <f>EXP(-LN(2)/25)*AA51+(1-EXP(-LN(2)/25))/(LN(2)/25)*Calculateur!V52*Calculateur!X52*VLOOKUP('Données projet'!$B$9,Paramètres!$A$1:$I$89,3,0)*0.475*44/12</f>
        <v>27.164421978896211</v>
      </c>
      <c r="AB52" s="23">
        <f>EXP(-LN(2)/2)*AB51+(1-EXP(-LN(2)/2))/(LN(2)/2)*V52*Y52*VLOOKUP('Données projet'!$B$9,Paramètres!$A$1:$I$89,3,0)*0.475*44/12</f>
        <v>7.6913936971370136</v>
      </c>
      <c r="AC52" s="24">
        <f t="shared" si="3"/>
        <v>197.41439356294916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2.2737367544323206E-13</v>
      </c>
      <c r="O53" s="14">
        <f>N53*VLOOKUP('Données projet'!$B$9,Paramètres!$A$1:$I$89,3,0)*VLOOKUP('Données projet'!$B$9,Paramètres!$A$1:$I$89,5,0)</f>
        <v>1.3596945791505279E-13</v>
      </c>
      <c r="P53" s="14">
        <f t="shared" si="33"/>
        <v>1.9708830566360721E-12</v>
      </c>
      <c r="Q53" s="22">
        <f t="shared" si="53"/>
        <v>3.669434796176543E-12</v>
      </c>
      <c r="R53" s="62">
        <f t="shared" si="0"/>
        <v>293.33333333333701</v>
      </c>
      <c r="S53" s="62">
        <f ca="1">AVERAGE(OFFSET($R$3,0,0,'Données projet'!$E$9+1,1))-AVERAGE(OFFSET($H$3,0,0,'Données projet'!$E$9+1,1))</f>
        <v>234.60993819620847</v>
      </c>
      <c r="T53" s="62">
        <f t="shared" si="34"/>
        <v>346.26896655159095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159.37090332549568</v>
      </c>
      <c r="AA53" s="23">
        <f>EXP(-LN(2)/25)*AA52+(1-EXP(-LN(2)/25))/(LN(2)/25)*Calculateur!V53*Calculateur!X53*VLOOKUP('Données projet'!$B$9,Paramètres!$A$1:$I$89,3,0)*0.475*44/12</f>
        <v>26.421609431368427</v>
      </c>
      <c r="AB53" s="23">
        <f>EXP(-LN(2)/2)*AB52+(1-EXP(-LN(2)/2))/(LN(2)/2)*V53*Y53*VLOOKUP('Données projet'!$B$9,Paramètres!$A$1:$I$89,3,0)*0.475*44/12</f>
        <v>5.4386366400210537</v>
      </c>
      <c r="AC53" s="24">
        <f t="shared" si="3"/>
        <v>191.23114939688517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2.2737367544323206E-13</v>
      </c>
      <c r="O54" s="14">
        <f>N54*VLOOKUP('Données projet'!$B$9,Paramètres!$A$1:$I$89,3,0)*VLOOKUP('Données projet'!$B$9,Paramètres!$A$1:$I$89,5,0)</f>
        <v>1.3596945791505279E-13</v>
      </c>
      <c r="P54" s="14">
        <f t="shared" si="33"/>
        <v>1.9708830566360721E-12</v>
      </c>
      <c r="Q54" s="22">
        <f t="shared" si="53"/>
        <v>3.669434796176543E-12</v>
      </c>
      <c r="R54" s="62">
        <f t="shared" si="0"/>
        <v>293.33333333333701</v>
      </c>
      <c r="S54" s="62">
        <f ca="1">AVERAGE(OFFSET($R$3,0,0,'Données projet'!$E$9+1,1))-AVERAGE(OFFSET($H$3,0,0,'Données projet'!$E$9+1,1))</f>
        <v>234.60993819620847</v>
      </c>
      <c r="T54" s="62">
        <f t="shared" si="34"/>
        <v>346.26896655159095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156.24573711793536</v>
      </c>
      <c r="AA54" s="23">
        <f>EXP(-LN(2)/25)*AA53+(1-EXP(-LN(2)/25))/(LN(2)/25)*Calculateur!V54*Calculateur!X54*VLOOKUP('Données projet'!$B$9,Paramètres!$A$1:$I$89,3,0)*0.475*44/12</f>
        <v>25.699109132015604</v>
      </c>
      <c r="AB54" s="23">
        <f>EXP(-LN(2)/2)*AB53+(1-EXP(-LN(2)/2))/(LN(2)/2)*V54*Y54*VLOOKUP('Données projet'!$B$9,Paramètres!$A$1:$I$89,3,0)*0.475*44/12</f>
        <v>3.8456968485685077</v>
      </c>
      <c r="AC54" s="24">
        <f t="shared" si="3"/>
        <v>185.79054309851946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2.2737367544323206E-13</v>
      </c>
      <c r="O55" s="14">
        <f>N55*VLOOKUP('Données projet'!$B$9,Paramètres!$A$1:$I$89,3,0)*VLOOKUP('Données projet'!$B$9,Paramètres!$A$1:$I$89,5,0)</f>
        <v>1.3596945791505279E-13</v>
      </c>
      <c r="P55" s="14">
        <f t="shared" si="33"/>
        <v>1.9708830566360721E-12</v>
      </c>
      <c r="Q55" s="22">
        <f t="shared" si="53"/>
        <v>3.669434796176543E-12</v>
      </c>
      <c r="R55" s="62">
        <f t="shared" si="0"/>
        <v>293.33333333333701</v>
      </c>
      <c r="S55" s="62">
        <f ca="1">AVERAGE(OFFSET($R$3,0,0,'Données projet'!$E$9+1,1))-AVERAGE(OFFSET($H$3,0,0,'Données projet'!$E$9+1,1))</f>
        <v>234.60993819620847</v>
      </c>
      <c r="T55" s="62">
        <f t="shared" si="34"/>
        <v>346.26896655159095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153.18185351354214</v>
      </c>
      <c r="AA55" s="23">
        <f>EXP(-LN(2)/25)*AA54+(1-EXP(-LN(2)/25))/(LN(2)/25)*Calculateur!V55*Calculateur!X55*VLOOKUP('Données projet'!$B$9,Paramètres!$A$1:$I$89,3,0)*0.475*44/12</f>
        <v>24.996365641343225</v>
      </c>
      <c r="AB55" s="23">
        <f>EXP(-LN(2)/2)*AB54+(1-EXP(-LN(2)/2))/(LN(2)/2)*V55*Y55*VLOOKUP('Données projet'!$B$9,Paramètres!$A$1:$I$89,3,0)*0.475*44/12</f>
        <v>2.7193183200105273</v>
      </c>
      <c r="AC55" s="24">
        <f t="shared" si="3"/>
        <v>180.8975374748959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2.2737367544323206E-13</v>
      </c>
      <c r="O56" s="14">
        <f>N56*VLOOKUP('Données projet'!$B$9,Paramètres!$A$1:$I$89,3,0)*VLOOKUP('Données projet'!$B$9,Paramètres!$A$1:$I$89,5,0)</f>
        <v>1.3596945791505279E-13</v>
      </c>
      <c r="P56" s="14">
        <f t="shared" si="33"/>
        <v>1.9708830566360721E-12</v>
      </c>
      <c r="Q56" s="22">
        <f t="shared" si="53"/>
        <v>3.669434796176543E-12</v>
      </c>
      <c r="R56" s="62">
        <f t="shared" si="0"/>
        <v>293.33333333333701</v>
      </c>
      <c r="S56" s="62">
        <f ca="1">AVERAGE(OFFSET($R$3,0,0,'Données projet'!$E$9+1,1))-AVERAGE(OFFSET($H$3,0,0,'Données projet'!$E$9+1,1))</f>
        <v>234.60993819620847</v>
      </c>
      <c r="T56" s="62">
        <f t="shared" si="34"/>
        <v>346.26896655159095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150.17805079784659</v>
      </c>
      <c r="AA56" s="23">
        <f>EXP(-LN(2)/25)*AA55+(1-EXP(-LN(2)/25))/(LN(2)/25)*Calculateur!V56*Calculateur!X56*VLOOKUP('Données projet'!$B$9,Paramètres!$A$1:$I$89,3,0)*0.475*44/12</f>
        <v>24.312838708378955</v>
      </c>
      <c r="AB56" s="23">
        <f>EXP(-LN(2)/2)*AB55+(1-EXP(-LN(2)/2))/(LN(2)/2)*V56*Y56*VLOOKUP('Données projet'!$B$9,Paramètres!$A$1:$I$89,3,0)*0.475*44/12</f>
        <v>1.9228484242842541</v>
      </c>
      <c r="AC56" s="24">
        <f t="shared" si="3"/>
        <v>176.4137379305098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2.2737367544323206E-13</v>
      </c>
      <c r="O57" s="14">
        <f>N57*VLOOKUP('Données projet'!$B$9,Paramètres!$A$1:$I$89,3,0)*VLOOKUP('Données projet'!$B$9,Paramètres!$A$1:$I$89,5,0)</f>
        <v>1.3596945791505279E-13</v>
      </c>
      <c r="P57" s="14">
        <f t="shared" si="33"/>
        <v>1.9708830566360721E-12</v>
      </c>
      <c r="Q57" s="22">
        <f t="shared" si="53"/>
        <v>3.669434796176543E-12</v>
      </c>
      <c r="R57" s="62">
        <f t="shared" si="0"/>
        <v>293.33333333333701</v>
      </c>
      <c r="S57" s="62">
        <f ca="1">AVERAGE(OFFSET($R$3,0,0,'Données projet'!$E$9+1,1))-AVERAGE(OFFSET($H$3,0,0,'Données projet'!$E$9+1,1))</f>
        <v>234.60993819620847</v>
      </c>
      <c r="T57" s="62">
        <f t="shared" si="34"/>
        <v>346.26896655159095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147.23315082126712</v>
      </c>
      <c r="AA57" s="23">
        <f>EXP(-LN(2)/25)*AA56+(1-EXP(-LN(2)/25))/(LN(2)/25)*Calculateur!V57*Calculateur!X57*VLOOKUP('Données projet'!$B$9,Paramètres!$A$1:$I$89,3,0)*0.475*44/12</f>
        <v>23.648002855341712</v>
      </c>
      <c r="AB57" s="23">
        <f>EXP(-LN(2)/2)*AB56+(1-EXP(-LN(2)/2))/(LN(2)/2)*V57*Y57*VLOOKUP('Données projet'!$B$9,Paramètres!$A$1:$I$89,3,0)*0.475*44/12</f>
        <v>1.3596591600052639</v>
      </c>
      <c r="AC57" s="24">
        <f t="shared" si="3"/>
        <v>172.24081283661408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2.2737367544323206E-13</v>
      </c>
      <c r="O58" s="14">
        <f>N58*VLOOKUP('Données projet'!$B$9,Paramètres!$A$1:$I$89,3,0)*VLOOKUP('Données projet'!$B$9,Paramètres!$A$1:$I$89,5,0)</f>
        <v>1.3596945791505279E-13</v>
      </c>
      <c r="P58" s="14">
        <f t="shared" si="33"/>
        <v>1.9708830566360721E-12</v>
      </c>
      <c r="Q58" s="22">
        <f t="shared" si="53"/>
        <v>3.669434796176543E-12</v>
      </c>
      <c r="R58" s="62">
        <f t="shared" si="0"/>
        <v>293.33333333333701</v>
      </c>
      <c r="S58" s="62">
        <f ca="1">AVERAGE(OFFSET($R$3,0,0,'Données projet'!$E$9+1,1))-AVERAGE(OFFSET($H$3,0,0,'Données projet'!$E$9+1,1))</f>
        <v>234.60993819620847</v>
      </c>
      <c r="T58" s="62">
        <f t="shared" si="34"/>
        <v>346.26896655159095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144.34599853701673</v>
      </c>
      <c r="AA58" s="23">
        <f>EXP(-LN(2)/25)*AA57+(1-EXP(-LN(2)/25))/(LN(2)/25)*Calculateur!V58*Calculateur!X58*VLOOKUP('Données projet'!$B$9,Paramètres!$A$1:$I$89,3,0)*0.475*44/12</f>
        <v>23.001346973667971</v>
      </c>
      <c r="AB58" s="23">
        <f>EXP(-LN(2)/2)*AB57+(1-EXP(-LN(2)/2))/(LN(2)/2)*V58*Y58*VLOOKUP('Données projet'!$B$9,Paramètres!$A$1:$I$89,3,0)*0.475*44/12</f>
        <v>0.96142421214212725</v>
      </c>
      <c r="AC58" s="24">
        <f t="shared" si="3"/>
        <v>168.30876972282684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2.2737367544323206E-13</v>
      </c>
      <c r="O59" s="14">
        <f>N59*VLOOKUP('Données projet'!$B$9,Paramètres!$A$1:$I$89,3,0)*VLOOKUP('Données projet'!$B$9,Paramètres!$A$1:$I$89,5,0)</f>
        <v>1.3596945791505279E-13</v>
      </c>
      <c r="P59" s="14">
        <f t="shared" si="33"/>
        <v>1.9708830566360721E-12</v>
      </c>
      <c r="Q59" s="22">
        <f t="shared" si="53"/>
        <v>3.669434796176543E-12</v>
      </c>
      <c r="R59" s="62">
        <f t="shared" si="0"/>
        <v>293.33333333333701</v>
      </c>
      <c r="S59" s="62">
        <f ca="1">AVERAGE(OFFSET($R$3,0,0,'Données projet'!$E$9+1,1))-AVERAGE(OFFSET($H$3,0,0,'Données projet'!$E$9+1,1))</f>
        <v>234.60993819620847</v>
      </c>
      <c r="T59" s="62">
        <f t="shared" si="34"/>
        <v>346.26896655159095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141.51546154807147</v>
      </c>
      <c r="AA59" s="23">
        <f>EXP(-LN(2)/25)*AA58+(1-EXP(-LN(2)/25))/(LN(2)/25)*Calculateur!V59*Calculateur!X59*VLOOKUP('Données projet'!$B$9,Paramètres!$A$1:$I$89,3,0)*0.475*44/12</f>
        <v>22.372373931084752</v>
      </c>
      <c r="AB59" s="23">
        <f>EXP(-LN(2)/2)*AB58+(1-EXP(-LN(2)/2))/(LN(2)/2)*V59*Y59*VLOOKUP('Données projet'!$B$9,Paramètres!$A$1:$I$89,3,0)*0.475*44/12</f>
        <v>0.67982958000263205</v>
      </c>
      <c r="AC59" s="24">
        <f t="shared" si="3"/>
        <v>164.56766505915886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2.2737367544323206E-13</v>
      </c>
      <c r="O60" s="14">
        <f>N60*VLOOKUP('Données projet'!$B$9,Paramètres!$A$1:$I$89,3,0)*VLOOKUP('Données projet'!$B$9,Paramètres!$A$1:$I$89,5,0)</f>
        <v>1.3596945791505279E-13</v>
      </c>
      <c r="P60" s="14">
        <f t="shared" si="33"/>
        <v>1.9708830566360721E-12</v>
      </c>
      <c r="Q60" s="22">
        <f t="shared" si="53"/>
        <v>3.669434796176543E-12</v>
      </c>
      <c r="R60" s="62">
        <f t="shared" si="0"/>
        <v>293.33333333333701</v>
      </c>
      <c r="S60" s="62">
        <f ca="1">AVERAGE(OFFSET($R$3,0,0,'Données projet'!$E$9+1,1))-AVERAGE(OFFSET($H$3,0,0,'Données projet'!$E$9+1,1))</f>
        <v>234.60993819620847</v>
      </c>
      <c r="T60" s="62">
        <f t="shared" si="34"/>
        <v>346.26896655159095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138.74042966302235</v>
      </c>
      <c r="AA60" s="23">
        <f>EXP(-LN(2)/25)*AA59+(1-EXP(-LN(2)/25))/(LN(2)/25)*Calculateur!V60*Calculateur!X60*VLOOKUP('Données projet'!$B$9,Paramètres!$A$1:$I$89,3,0)*0.475*44/12</f>
        <v>21.760600189427226</v>
      </c>
      <c r="AB60" s="23">
        <f>EXP(-LN(2)/2)*AB59+(1-EXP(-LN(2)/2))/(LN(2)/2)*V60*Y60*VLOOKUP('Données projet'!$B$9,Paramètres!$A$1:$I$89,3,0)*0.475*44/12</f>
        <v>0.48071210607106368</v>
      </c>
      <c r="AC60" s="24">
        <f t="shared" si="3"/>
        <v>160.98174195852064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2.2737367544323206E-13</v>
      </c>
      <c r="O61" s="14">
        <f>N61*VLOOKUP('Données projet'!$B$9,Paramètres!$A$1:$I$89,3,0)*VLOOKUP('Données projet'!$B$9,Paramètres!$A$1:$I$89,5,0)</f>
        <v>1.3596945791505279E-13</v>
      </c>
      <c r="P61" s="14">
        <f t="shared" si="33"/>
        <v>1.9708830566360721E-12</v>
      </c>
      <c r="Q61" s="22">
        <f t="shared" si="53"/>
        <v>3.669434796176543E-12</v>
      </c>
      <c r="R61" s="62">
        <f t="shared" si="0"/>
        <v>293.33333333333701</v>
      </c>
      <c r="S61" s="62">
        <f ca="1">AVERAGE(OFFSET($R$3,0,0,'Données projet'!$E$9+1,1))-AVERAGE(OFFSET($H$3,0,0,'Données projet'!$E$9+1,1))</f>
        <v>234.60993819620847</v>
      </c>
      <c r="T61" s="62">
        <f t="shared" si="34"/>
        <v>346.26896655159095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136.01981446063672</v>
      </c>
      <c r="AA61" s="23">
        <f>EXP(-LN(2)/25)*AA60+(1-EXP(-LN(2)/25))/(LN(2)/25)*Calculateur!V61*Calculateur!X61*VLOOKUP('Données projet'!$B$9,Paramètres!$A$1:$I$89,3,0)*0.475*44/12</f>
        <v>21.165555432907109</v>
      </c>
      <c r="AB61" s="23">
        <f>EXP(-LN(2)/2)*AB60+(1-EXP(-LN(2)/2))/(LN(2)/2)*V61*Y61*VLOOKUP('Données projet'!$B$9,Paramètres!$A$1:$I$89,3,0)*0.475*44/12</f>
        <v>0.33991479000131608</v>
      </c>
      <c r="AC61" s="24">
        <f t="shared" si="3"/>
        <v>157.52528468354512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2.2737367544323206E-13</v>
      </c>
      <c r="O62" s="14">
        <f>N62*VLOOKUP('Données projet'!$B$9,Paramètres!$A$1:$I$89,3,0)*VLOOKUP('Données projet'!$B$9,Paramètres!$A$1:$I$89,5,0)</f>
        <v>1.3596945791505279E-13</v>
      </c>
      <c r="P62" s="14">
        <f t="shared" si="33"/>
        <v>1.9708830566360721E-12</v>
      </c>
      <c r="Q62" s="22">
        <f t="shared" si="53"/>
        <v>3.669434796176543E-12</v>
      </c>
      <c r="R62" s="62">
        <f t="shared" si="0"/>
        <v>293.33333333333701</v>
      </c>
      <c r="S62" s="62">
        <f ca="1">AVERAGE(OFFSET($R$3,0,0,'Données projet'!$E$9+1,1))-AVERAGE(OFFSET($H$3,0,0,'Données projet'!$E$9+1,1))</f>
        <v>234.60993819620847</v>
      </c>
      <c r="T62" s="62">
        <f t="shared" si="34"/>
        <v>346.26896655159095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133.35254886295846</v>
      </c>
      <c r="AA62" s="23">
        <f>EXP(-LN(2)/25)*AA61+(1-EXP(-LN(2)/25))/(LN(2)/25)*Calculateur!V62*Calculateur!X62*VLOOKUP('Données projet'!$B$9,Paramètres!$A$1:$I$89,3,0)*0.475*44/12</f>
        <v>20.586782206546079</v>
      </c>
      <c r="AB62" s="23">
        <f>EXP(-LN(2)/2)*AB61+(1-EXP(-LN(2)/2))/(LN(2)/2)*V62*Y62*VLOOKUP('Données projet'!$B$9,Paramètres!$A$1:$I$89,3,0)*0.475*44/12</f>
        <v>0.24035605303553187</v>
      </c>
      <c r="AC62" s="24">
        <f t="shared" si="3"/>
        <v>154.17968712254006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2.2737367544323206E-13</v>
      </c>
      <c r="O63" s="14">
        <f>N63*VLOOKUP('Données projet'!$B$9,Paramètres!$A$1:$I$89,3,0)*VLOOKUP('Données projet'!$B$9,Paramètres!$A$1:$I$89,5,0)</f>
        <v>1.3596945791505279E-13</v>
      </c>
      <c r="P63" s="14">
        <f t="shared" si="33"/>
        <v>1.9708830566360721E-12</v>
      </c>
      <c r="Q63" s="22">
        <f t="shared" si="53"/>
        <v>3.669434796176543E-12</v>
      </c>
      <c r="R63" s="62">
        <f t="shared" si="0"/>
        <v>293.33333333333701</v>
      </c>
      <c r="S63" s="62">
        <f ca="1">AVERAGE(OFFSET($R$3,0,0,'Données projet'!$E$9+1,1))-AVERAGE(OFFSET($H$3,0,0,'Données projet'!$E$9+1,1))</f>
        <v>234.60993819620847</v>
      </c>
      <c r="T63" s="62">
        <f t="shared" si="34"/>
        <v>346.26896655159095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130.73758671677928</v>
      </c>
      <c r="AA63" s="23">
        <f>EXP(-LN(2)/25)*AA62+(1-EXP(-LN(2)/25))/(LN(2)/25)*Calculateur!V63*Calculateur!X63*VLOOKUP('Données projet'!$B$9,Paramètres!$A$1:$I$89,3,0)*0.475*44/12</f>
        <v>20.023835564496252</v>
      </c>
      <c r="AB63" s="23">
        <f>EXP(-LN(2)/2)*AB62+(1-EXP(-LN(2)/2))/(LN(2)/2)*V63*Y63*VLOOKUP('Données projet'!$B$9,Paramètres!$A$1:$I$89,3,0)*0.475*44/12</f>
        <v>0.16995739500065807</v>
      </c>
      <c r="AC63" s="24">
        <f t="shared" si="3"/>
        <v>150.93137967627621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2.2737367544323206E-13</v>
      </c>
      <c r="O64" s="14">
        <f>N64*VLOOKUP('Données projet'!$B$9,Paramètres!$A$1:$I$89,3,0)*VLOOKUP('Données projet'!$B$9,Paramètres!$A$1:$I$89,5,0)</f>
        <v>1.3596945791505279E-13</v>
      </c>
      <c r="P64" s="14">
        <f t="shared" si="33"/>
        <v>1.9708830566360721E-12</v>
      </c>
      <c r="Q64" s="22">
        <f t="shared" si="53"/>
        <v>3.669434796176543E-12</v>
      </c>
      <c r="R64" s="62">
        <f t="shared" si="0"/>
        <v>293.33333333333701</v>
      </c>
      <c r="S64" s="62">
        <f ca="1">AVERAGE(OFFSET($R$3,0,0,'Données projet'!$E$9+1,1))-AVERAGE(OFFSET($H$3,0,0,'Données projet'!$E$9+1,1))</f>
        <v>234.60993819620847</v>
      </c>
      <c r="T64" s="62">
        <f t="shared" si="34"/>
        <v>346.26896655159095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128.17390238331726</v>
      </c>
      <c r="AA64" s="23">
        <f>EXP(-LN(2)/25)*AA63+(1-EXP(-LN(2)/25))/(LN(2)/25)*Calculateur!V64*Calculateur!X64*VLOOKUP('Données projet'!$B$9,Paramètres!$A$1:$I$89,3,0)*0.475*44/12</f>
        <v>19.476282727977356</v>
      </c>
      <c r="AB64" s="23">
        <f>EXP(-LN(2)/2)*AB63+(1-EXP(-LN(2)/2))/(LN(2)/2)*V64*Y64*VLOOKUP('Données projet'!$B$9,Paramètres!$A$1:$I$89,3,0)*0.475*44/12</f>
        <v>0.12017802651776596</v>
      </c>
      <c r="AC64" s="24">
        <f t="shared" si="3"/>
        <v>147.77036313781238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2.2737367544323206E-13</v>
      </c>
      <c r="O65" s="14">
        <f>N65*VLOOKUP('Données projet'!$B$9,Paramètres!$A$1:$I$89,3,0)*VLOOKUP('Données projet'!$B$9,Paramètres!$A$1:$I$89,5,0)</f>
        <v>1.3596945791505279E-13</v>
      </c>
      <c r="P65" s="14">
        <f t="shared" si="33"/>
        <v>1.9708830566360721E-12</v>
      </c>
      <c r="Q65" s="22">
        <f t="shared" si="53"/>
        <v>3.669434796176543E-12</v>
      </c>
      <c r="R65" s="62">
        <f t="shared" si="0"/>
        <v>293.33333333333701</v>
      </c>
      <c r="S65" s="62">
        <f ca="1">AVERAGE(OFFSET($R$3,0,0,'Données projet'!$E$9+1,1))-AVERAGE(OFFSET($H$3,0,0,'Données projet'!$E$9+1,1))</f>
        <v>234.60993819620847</v>
      </c>
      <c r="T65" s="62">
        <f t="shared" si="34"/>
        <v>346.26896655159095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125.66049033594139</v>
      </c>
      <c r="AA65" s="23">
        <f>EXP(-LN(2)/25)*AA64+(1-EXP(-LN(2)/25))/(LN(2)/25)*Calculateur!V65*Calculateur!X65*VLOOKUP('Données projet'!$B$9,Paramètres!$A$1:$I$89,3,0)*0.475*44/12</f>
        <v>18.943702752567621</v>
      </c>
      <c r="AB65" s="23">
        <f>EXP(-LN(2)/2)*AB64+(1-EXP(-LN(2)/2))/(LN(2)/2)*V65*Y65*VLOOKUP('Données projet'!$B$9,Paramètres!$A$1:$I$89,3,0)*0.475*44/12</f>
        <v>8.4978697500329048E-2</v>
      </c>
      <c r="AC65" s="24">
        <f t="shared" si="3"/>
        <v>144.68917178600935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2.2737367544323206E-13</v>
      </c>
      <c r="O66" s="14">
        <f>N66*VLOOKUP('Données projet'!$B$9,Paramètres!$A$1:$I$89,3,0)*VLOOKUP('Données projet'!$B$9,Paramètres!$A$1:$I$89,5,0)</f>
        <v>1.3596945791505279E-13</v>
      </c>
      <c r="P66" s="14">
        <f t="shared" si="33"/>
        <v>1.9708830566360721E-12</v>
      </c>
      <c r="Q66" s="22">
        <f t="shared" si="53"/>
        <v>3.669434796176543E-12</v>
      </c>
      <c r="R66" s="62">
        <f t="shared" si="0"/>
        <v>293.33333333333701</v>
      </c>
      <c r="S66" s="62">
        <f ca="1">AVERAGE(OFFSET($R$3,0,0,'Données projet'!$E$9+1,1))-AVERAGE(OFFSET($H$3,0,0,'Données projet'!$E$9+1,1))</f>
        <v>234.60993819620847</v>
      </c>
      <c r="T66" s="62">
        <f t="shared" si="34"/>
        <v>346.26896655159095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123.19636476578458</v>
      </c>
      <c r="AA66" s="23">
        <f>EXP(-LN(2)/25)*AA65+(1-EXP(-LN(2)/25))/(LN(2)/25)*Calculateur!V66*Calculateur!X66*VLOOKUP('Données projet'!$B$9,Paramètres!$A$1:$I$89,3,0)*0.475*44/12</f>
        <v>18.425686204592626</v>
      </c>
      <c r="AB66" s="23">
        <f>EXP(-LN(2)/2)*AB65+(1-EXP(-LN(2)/2))/(LN(2)/2)*V66*Y66*VLOOKUP('Données projet'!$B$9,Paramètres!$A$1:$I$89,3,0)*0.475*44/12</f>
        <v>6.0089013258882988E-2</v>
      </c>
      <c r="AC66" s="24">
        <f t="shared" si="3"/>
        <v>141.68213998363609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2.2737367544323206E-13</v>
      </c>
      <c r="O67" s="14">
        <f>N67*VLOOKUP('Données projet'!$B$9,Paramètres!$A$1:$I$89,3,0)*VLOOKUP('Données projet'!$B$9,Paramètres!$A$1:$I$89,5,0)</f>
        <v>1.3596945791505279E-13</v>
      </c>
      <c r="P67" s="14">
        <f t="shared" si="33"/>
        <v>1.9708830566360721E-12</v>
      </c>
      <c r="Q67" s="22">
        <f t="shared" ref="Q67:Q98" si="54">(O67+P67)*0.475*44/12</f>
        <v>3.669434796176543E-12</v>
      </c>
      <c r="R67" s="62">
        <f t="shared" ref="R67:R130" si="55">Q67+(I67+J67)*44/12</f>
        <v>293.33333333333701</v>
      </c>
      <c r="S67" s="62">
        <f ca="1">AVERAGE(OFFSET($R$3,0,0,'Données projet'!$E$9+1,1))-AVERAGE(OFFSET($H$3,0,0,'Données projet'!$E$9+1,1))</f>
        <v>234.60993819620847</v>
      </c>
      <c r="T67" s="62">
        <f t="shared" si="34"/>
        <v>346.26896655159095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120.78055919509036</v>
      </c>
      <c r="AA67" s="23">
        <f>EXP(-LN(2)/25)*AA66+(1-EXP(-LN(2)/25))/(LN(2)/25)*Calculateur!V67*Calculateur!X67*VLOOKUP('Données projet'!$B$9,Paramètres!$A$1:$I$89,3,0)*0.475*44/12</f>
        <v>17.921834846363314</v>
      </c>
      <c r="AB67" s="23">
        <f>EXP(-LN(2)/2)*AB66+(1-EXP(-LN(2)/2))/(LN(2)/2)*V67*Y67*VLOOKUP('Données projet'!$B$9,Paramètres!$A$1:$I$89,3,0)*0.475*44/12</f>
        <v>4.2489348750164531E-2</v>
      </c>
      <c r="AC67" s="24">
        <f t="shared" si="3"/>
        <v>138.74488339020385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2.2737367544323206E-13</v>
      </c>
      <c r="O68" s="14">
        <f>N68*VLOOKUP('Données projet'!$B$9,Paramètres!$A$1:$I$89,3,0)*VLOOKUP('Données projet'!$B$9,Paramètres!$A$1:$I$89,5,0)</f>
        <v>1.3596945791505279E-13</v>
      </c>
      <c r="P68" s="14">
        <f t="shared" si="33"/>
        <v>1.9708830566360721E-12</v>
      </c>
      <c r="Q68" s="22">
        <f t="shared" si="54"/>
        <v>3.669434796176543E-12</v>
      </c>
      <c r="R68" s="62">
        <f t="shared" si="55"/>
        <v>293.33333333333701</v>
      </c>
      <c r="S68" s="62">
        <f ca="1">AVERAGE(OFFSET($R$3,0,0,'Données projet'!$E$9+1,1))-AVERAGE(OFFSET($H$3,0,0,'Données projet'!$E$9+1,1))</f>
        <v>234.60993819620847</v>
      </c>
      <c r="T68" s="62">
        <f t="shared" si="34"/>
        <v>346.26896655159095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118.41212609814156</v>
      </c>
      <c r="AA68" s="23">
        <f>EXP(-LN(2)/25)*AA67+(1-EXP(-LN(2)/25))/(LN(2)/25)*Calculateur!V68*Calculateur!X68*VLOOKUP('Données projet'!$B$9,Paramètres!$A$1:$I$89,3,0)*0.475*44/12</f>
        <v>17.431761330021175</v>
      </c>
      <c r="AB68" s="23">
        <f>EXP(-LN(2)/2)*AB67+(1-EXP(-LN(2)/2))/(LN(2)/2)*V68*Y68*VLOOKUP('Données projet'!$B$9,Paramètres!$A$1:$I$89,3,0)*0.475*44/12</f>
        <v>3.0044506629441501E-2</v>
      </c>
      <c r="AC68" s="24">
        <f t="shared" ref="AC68:AC131" si="57">SUM(Z68:AB68)</f>
        <v>135.87393193479218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2.2737367544323206E-13</v>
      </c>
      <c r="O69" s="14">
        <f>N69*VLOOKUP('Données projet'!$B$9,Paramètres!$A$1:$I$89,3,0)*VLOOKUP('Données projet'!$B$9,Paramètres!$A$1:$I$89,5,0)</f>
        <v>1.3596945791505279E-13</v>
      </c>
      <c r="P69" s="14">
        <f t="shared" ref="P69:P132" si="87">EXP(-1.0587+0.8836*LN(O69)+0.284)</f>
        <v>1.9708830566360721E-12</v>
      </c>
      <c r="Q69" s="22">
        <f t="shared" si="54"/>
        <v>3.669434796176543E-12</v>
      </c>
      <c r="R69" s="62">
        <f t="shared" si="55"/>
        <v>293.33333333333701</v>
      </c>
      <c r="S69" s="62">
        <f ca="1">AVERAGE(OFFSET($R$3,0,0,'Données projet'!$E$9+1,1))-AVERAGE(OFFSET($H$3,0,0,'Données projet'!$E$9+1,1))</f>
        <v>234.60993819620847</v>
      </c>
      <c r="T69" s="62">
        <f t="shared" ref="T69:T132" si="88">$T$3</f>
        <v>346.26896655159095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116.09013652962237</v>
      </c>
      <c r="AA69" s="23">
        <f>EXP(-LN(2)/25)*AA68+(1-EXP(-LN(2)/25))/(LN(2)/25)*Calculateur!V69*Calculateur!X69*VLOOKUP('Données projet'!$B$9,Paramètres!$A$1:$I$89,3,0)*0.475*44/12</f>
        <v>16.955088899755257</v>
      </c>
      <c r="AB69" s="23">
        <f>EXP(-LN(2)/2)*AB68+(1-EXP(-LN(2)/2))/(LN(2)/2)*V69*Y69*VLOOKUP('Données projet'!$B$9,Paramètres!$A$1:$I$89,3,0)*0.475*44/12</f>
        <v>2.1244674375082269E-2</v>
      </c>
      <c r="AC69" s="24">
        <f t="shared" si="57"/>
        <v>133.06647010375272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2.2737367544323206E-13</v>
      </c>
      <c r="O70" s="14">
        <f>N70*VLOOKUP('Données projet'!$B$9,Paramètres!$A$1:$I$89,3,0)*VLOOKUP('Données projet'!$B$9,Paramètres!$A$1:$I$89,5,0)</f>
        <v>1.3596945791505279E-13</v>
      </c>
      <c r="P70" s="14">
        <f t="shared" si="87"/>
        <v>1.9708830566360721E-12</v>
      </c>
      <c r="Q70" s="22">
        <f t="shared" si="54"/>
        <v>3.669434796176543E-12</v>
      </c>
      <c r="R70" s="62">
        <f t="shared" si="55"/>
        <v>293.33333333333701</v>
      </c>
      <c r="S70" s="62">
        <f ca="1">AVERAGE(OFFSET($R$3,0,0,'Données projet'!$E$9+1,1))-AVERAGE(OFFSET($H$3,0,0,'Données projet'!$E$9+1,1))</f>
        <v>234.60993819620847</v>
      </c>
      <c r="T70" s="62">
        <f t="shared" si="88"/>
        <v>346.26896655159095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113.81367976026804</v>
      </c>
      <c r="AA70" s="23">
        <f>EXP(-LN(2)/25)*AA69+(1-EXP(-LN(2)/25))/(LN(2)/25)*Calculateur!V70*Calculateur!X70*VLOOKUP('Données projet'!$B$9,Paramètres!$A$1:$I$89,3,0)*0.475*44/12</f>
        <v>16.491451102162074</v>
      </c>
      <c r="AB70" s="23">
        <f>EXP(-LN(2)/2)*AB69+(1-EXP(-LN(2)/2))/(LN(2)/2)*V70*Y70*VLOOKUP('Données projet'!$B$9,Paramètres!$A$1:$I$89,3,0)*0.475*44/12</f>
        <v>1.5022253314720752E-2</v>
      </c>
      <c r="AC70" s="24">
        <f t="shared" si="57"/>
        <v>130.32015311574486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2.2737367544323206E-13</v>
      </c>
      <c r="O71" s="14">
        <f>N71*VLOOKUP('Données projet'!$B$9,Paramètres!$A$1:$I$89,3,0)*VLOOKUP('Données projet'!$B$9,Paramètres!$A$1:$I$89,5,0)</f>
        <v>1.3596945791505279E-13</v>
      </c>
      <c r="P71" s="14">
        <f t="shared" si="87"/>
        <v>1.9708830566360721E-12</v>
      </c>
      <c r="Q71" s="22">
        <f t="shared" si="54"/>
        <v>3.669434796176543E-12</v>
      </c>
      <c r="R71" s="62">
        <f t="shared" si="55"/>
        <v>293.33333333333701</v>
      </c>
      <c r="S71" s="62">
        <f ca="1">AVERAGE(OFFSET($R$3,0,0,'Données projet'!$E$9+1,1))-AVERAGE(OFFSET($H$3,0,0,'Données projet'!$E$9+1,1))</f>
        <v>234.60993819620847</v>
      </c>
      <c r="T71" s="62">
        <f t="shared" si="88"/>
        <v>346.26896655159095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111.58186291965923</v>
      </c>
      <c r="AA71" s="23">
        <f>EXP(-LN(2)/25)*AA70+(1-EXP(-LN(2)/25))/(LN(2)/25)*Calculateur!V71*Calculateur!X71*VLOOKUP('Données projet'!$B$9,Paramètres!$A$1:$I$89,3,0)*0.475*44/12</f>
        <v>16.040491504525729</v>
      </c>
      <c r="AB71" s="23">
        <f>EXP(-LN(2)/2)*AB70+(1-EXP(-LN(2)/2))/(LN(2)/2)*V71*Y71*VLOOKUP('Données projet'!$B$9,Paramètres!$A$1:$I$89,3,0)*0.475*44/12</f>
        <v>1.0622337187541136E-2</v>
      </c>
      <c r="AC71" s="24">
        <f t="shared" si="57"/>
        <v>127.6329767613725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2.2737367544323206E-13</v>
      </c>
      <c r="O72" s="14">
        <f>N72*VLOOKUP('Données projet'!$B$9,Paramètres!$A$1:$I$89,3,0)*VLOOKUP('Données projet'!$B$9,Paramètres!$A$1:$I$89,5,0)</f>
        <v>1.3596945791505279E-13</v>
      </c>
      <c r="P72" s="14">
        <f t="shared" si="87"/>
        <v>1.9708830566360721E-12</v>
      </c>
      <c r="Q72" s="22">
        <f t="shared" si="54"/>
        <v>3.669434796176543E-12</v>
      </c>
      <c r="R72" s="62">
        <f t="shared" si="55"/>
        <v>293.33333333333701</v>
      </c>
      <c r="S72" s="62">
        <f ca="1">AVERAGE(OFFSET($R$3,0,0,'Données projet'!$E$9+1,1))-AVERAGE(OFFSET($H$3,0,0,'Données projet'!$E$9+1,1))</f>
        <v>234.60993819620847</v>
      </c>
      <c r="T72" s="62">
        <f t="shared" si="88"/>
        <v>346.26896655159095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109.3938106460209</v>
      </c>
      <c r="AA72" s="23">
        <f>EXP(-LN(2)/25)*AA71+(1-EXP(-LN(2)/25))/(LN(2)/25)*Calculateur!V72*Calculateur!X72*VLOOKUP('Données projet'!$B$9,Paramètres!$A$1:$I$89,3,0)*0.475*44/12</f>
        <v>15.601863420801687</v>
      </c>
      <c r="AB72" s="23">
        <f>EXP(-LN(2)/2)*AB71+(1-EXP(-LN(2)/2))/(LN(2)/2)*V72*Y72*VLOOKUP('Données projet'!$B$9,Paramètres!$A$1:$I$89,3,0)*0.475*44/12</f>
        <v>7.511126657360377E-3</v>
      </c>
      <c r="AC72" s="24">
        <f t="shared" si="57"/>
        <v>125.00318519347995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2.2737367544323206E-13</v>
      </c>
      <c r="O73" s="14">
        <f>N73*VLOOKUP('Données projet'!$B$9,Paramètres!$A$1:$I$89,3,0)*VLOOKUP('Données projet'!$B$9,Paramètres!$A$1:$I$89,5,0)</f>
        <v>1.3596945791505279E-13</v>
      </c>
      <c r="P73" s="14">
        <f t="shared" si="87"/>
        <v>1.9708830566360721E-12</v>
      </c>
      <c r="Q73" s="22">
        <f t="shared" si="54"/>
        <v>3.669434796176543E-12</v>
      </c>
      <c r="R73" s="62">
        <f t="shared" si="55"/>
        <v>293.33333333333701</v>
      </c>
      <c r="S73" s="62">
        <f ca="1">AVERAGE(OFFSET($R$3,0,0,'Données projet'!$E$9+1,1))-AVERAGE(OFFSET($H$3,0,0,'Données projet'!$E$9+1,1))</f>
        <v>234.60993819620847</v>
      </c>
      <c r="T73" s="62">
        <f t="shared" si="88"/>
        <v>346.26896655159095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107.24866474288851</v>
      </c>
      <c r="AA73" s="23">
        <f>EXP(-LN(2)/25)*AA72+(1-EXP(-LN(2)/25))/(LN(2)/25)*Calculateur!V73*Calculateur!X73*VLOOKUP('Données projet'!$B$9,Paramètres!$A$1:$I$89,3,0)*0.475*44/12</f>
        <v>15.175229645093525</v>
      </c>
      <c r="AB73" s="23">
        <f>EXP(-LN(2)/2)*AB72+(1-EXP(-LN(2)/2))/(LN(2)/2)*V73*Y73*VLOOKUP('Données projet'!$B$9,Paramètres!$A$1:$I$89,3,0)*0.475*44/12</f>
        <v>5.311168593770569E-3</v>
      </c>
      <c r="AC73" s="24">
        <f t="shared" si="57"/>
        <v>122.42920555657579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1.3596945791505279E-13</v>
      </c>
      <c r="P74" s="14">
        <f t="shared" si="87"/>
        <v>1.9708830566360721E-12</v>
      </c>
      <c r="Q74" s="22">
        <f t="shared" si="54"/>
        <v>3.669434796176543E-12</v>
      </c>
      <c r="R74" s="62">
        <f t="shared" si="55"/>
        <v>293.33333333333701</v>
      </c>
      <c r="S74" s="62">
        <f ca="1">AVERAGE(OFFSET($R$3,0,0,'Données projet'!$E$9+1,1))-AVERAGE(OFFSET($H$3,0,0,'Données projet'!$E$9+1,1))</f>
        <v>234.60993819620847</v>
      </c>
      <c r="T74" s="62">
        <f t="shared" si="88"/>
        <v>346.26896655159095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105.14558384250674</v>
      </c>
      <c r="AA74" s="23">
        <f>EXP(-LN(2)/25)*AA73+(1-EXP(-LN(2)/25))/(LN(2)/25)*Calculateur!V74*Calculateur!X74*VLOOKUP('Données projet'!$B$9,Paramètres!$A$1:$I$89,3,0)*0.475*44/12</f>
        <v>14.7602621924178</v>
      </c>
      <c r="AB74" s="23">
        <f>EXP(-LN(2)/2)*AB73+(1-EXP(-LN(2)/2))/(LN(2)/2)*V74*Y74*VLOOKUP('Données projet'!$B$9,Paramètres!$A$1:$I$89,3,0)*0.475*44/12</f>
        <v>3.7555633286801894E-3</v>
      </c>
      <c r="AC74" s="24">
        <f t="shared" si="57"/>
        <v>119.90960159825322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1.3596945791505279E-13</v>
      </c>
      <c r="P75" s="14">
        <f t="shared" si="87"/>
        <v>1.9708830566360721E-12</v>
      </c>
      <c r="Q75" s="22">
        <f t="shared" si="54"/>
        <v>3.669434796176543E-12</v>
      </c>
      <c r="R75" s="62">
        <f t="shared" si="55"/>
        <v>293.33333333333701</v>
      </c>
      <c r="S75" s="62">
        <f ca="1">AVERAGE(OFFSET($R$3,0,0,'Données projet'!$E$9+1,1))-AVERAGE(OFFSET($H$3,0,0,'Données projet'!$E$9+1,1))</f>
        <v>234.60993819620847</v>
      </c>
      <c r="T75" s="62">
        <f t="shared" si="88"/>
        <v>346.26896655159095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103.08374307582876</v>
      </c>
      <c r="AA75" s="23">
        <f>EXP(-LN(2)/25)*AA74+(1-EXP(-LN(2)/25))/(LN(2)/25)*Calculateur!V75*Calculateur!X75*VLOOKUP('Données projet'!$B$9,Paramètres!$A$1:$I$89,3,0)*0.475*44/12</f>
        <v>14.356642046557681</v>
      </c>
      <c r="AB75" s="23">
        <f>EXP(-LN(2)/2)*AB74+(1-EXP(-LN(2)/2))/(LN(2)/2)*V75*Y75*VLOOKUP('Données projet'!$B$9,Paramètres!$A$1:$I$89,3,0)*0.475*44/12</f>
        <v>2.6555842968852849E-3</v>
      </c>
      <c r="AC75" s="24">
        <f t="shared" si="57"/>
        <v>117.44304070668333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1.3596945791505279E-13</v>
      </c>
      <c r="P76" s="14">
        <f t="shared" si="87"/>
        <v>1.9708830566360721E-12</v>
      </c>
      <c r="Q76" s="22">
        <f t="shared" si="54"/>
        <v>3.669434796176543E-12</v>
      </c>
      <c r="R76" s="62">
        <f t="shared" si="55"/>
        <v>293.33333333333701</v>
      </c>
      <c r="S76" s="62">
        <f ca="1">AVERAGE(OFFSET($R$3,0,0,'Données projet'!$E$9+1,1))-AVERAGE(OFFSET($H$3,0,0,'Données projet'!$E$9+1,1))</f>
        <v>234.60993819620847</v>
      </c>
      <c r="T76" s="62">
        <f t="shared" si="88"/>
        <v>346.26896655159095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101.06233374898666</v>
      </c>
      <c r="AA76" s="23">
        <f>EXP(-LN(2)/25)*AA75+(1-EXP(-LN(2)/25))/(LN(2)/25)*Calculateur!V76*Calculateur!X76*VLOOKUP('Données projet'!$B$9,Paramètres!$A$1:$I$89,3,0)*0.475*44/12</f>
        <v>13.964058914811568</v>
      </c>
      <c r="AB76" s="23">
        <f>EXP(-LN(2)/2)*AB75+(1-EXP(-LN(2)/2))/(LN(2)/2)*V76*Y76*VLOOKUP('Données projet'!$B$9,Paramètres!$A$1:$I$89,3,0)*0.475*44/12</f>
        <v>1.8777816643400949E-3</v>
      </c>
      <c r="AC76" s="24">
        <f t="shared" si="57"/>
        <v>115.02827044546257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1.3596945791505279E-13</v>
      </c>
      <c r="P77" s="14">
        <f t="shared" si="87"/>
        <v>1.9708830566360721E-12</v>
      </c>
      <c r="Q77" s="22">
        <f t="shared" si="54"/>
        <v>3.669434796176543E-12</v>
      </c>
      <c r="R77" s="62">
        <f t="shared" si="55"/>
        <v>293.33333333333701</v>
      </c>
      <c r="S77" s="62">
        <f ca="1">AVERAGE(OFFSET($R$3,0,0,'Données projet'!$E$9+1,1))-AVERAGE(OFFSET($H$3,0,0,'Données projet'!$E$9+1,1))</f>
        <v>234.60993819620847</v>
      </c>
      <c r="T77" s="62">
        <f t="shared" si="88"/>
        <v>346.26896655159095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99.080563026105978</v>
      </c>
      <c r="AA77" s="23">
        <f>EXP(-LN(2)/25)*AA76+(1-EXP(-LN(2)/25))/(LN(2)/25)*Calculateur!V77*Calculateur!X77*VLOOKUP('Données projet'!$B$9,Paramètres!$A$1:$I$89,3,0)*0.475*44/12</f>
        <v>13.582210989448104</v>
      </c>
      <c r="AB77" s="23">
        <f>EXP(-LN(2)/2)*AB76+(1-EXP(-LN(2)/2))/(LN(2)/2)*V77*Y77*VLOOKUP('Données projet'!$B$9,Paramètres!$A$1:$I$89,3,0)*0.475*44/12</f>
        <v>1.3277921484426427E-3</v>
      </c>
      <c r="AC77" s="24">
        <f t="shared" si="57"/>
        <v>112.66410180770252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1.3596945791505279E-13</v>
      </c>
      <c r="P78" s="14">
        <f t="shared" si="87"/>
        <v>1.9708830566360721E-12</v>
      </c>
      <c r="Q78" s="22">
        <f t="shared" si="54"/>
        <v>3.669434796176543E-12</v>
      </c>
      <c r="R78" s="62">
        <f t="shared" si="55"/>
        <v>293.33333333333701</v>
      </c>
      <c r="S78" s="62">
        <f ca="1">AVERAGE(OFFSET($R$3,0,0,'Données projet'!$E$9+1,1))-AVERAGE(OFFSET($H$3,0,0,'Données projet'!$E$9+1,1))</f>
        <v>234.60993819620847</v>
      </c>
      <c r="T78" s="62">
        <f t="shared" si="88"/>
        <v>346.26896655159095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97.13765361834021</v>
      </c>
      <c r="AA78" s="23">
        <f>EXP(-LN(2)/25)*AA77+(1-EXP(-LN(2)/25))/(LN(2)/25)*Calculateur!V78*Calculateur!X78*VLOOKUP('Données projet'!$B$9,Paramètres!$A$1:$I$89,3,0)*0.475*44/12</f>
        <v>13.210804715684212</v>
      </c>
      <c r="AB78" s="23">
        <f>EXP(-LN(2)/2)*AB77+(1-EXP(-LN(2)/2))/(LN(2)/2)*V78*Y78*VLOOKUP('Données projet'!$B$9,Paramètres!$A$1:$I$89,3,0)*0.475*44/12</f>
        <v>9.3889083217004767E-4</v>
      </c>
      <c r="AC78" s="24">
        <f t="shared" si="57"/>
        <v>110.3493972248566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1.3596945791505279E-13</v>
      </c>
      <c r="P79" s="14">
        <f t="shared" si="87"/>
        <v>1.9708830566360721E-12</v>
      </c>
      <c r="Q79" s="22">
        <f t="shared" si="54"/>
        <v>3.669434796176543E-12</v>
      </c>
      <c r="R79" s="62">
        <f t="shared" si="55"/>
        <v>293.33333333333701</v>
      </c>
      <c r="S79" s="62">
        <f ca="1">AVERAGE(OFFSET($R$3,0,0,'Données projet'!$E$9+1,1))-AVERAGE(OFFSET($H$3,0,0,'Données projet'!$E$9+1,1))</f>
        <v>234.60993819620847</v>
      </c>
      <c r="T79" s="62">
        <f t="shared" si="88"/>
        <v>346.26896655159095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95.232843479002995</v>
      </c>
      <c r="AA79" s="23">
        <f>EXP(-LN(2)/25)*AA78+(1-EXP(-LN(2)/25))/(LN(2)/25)*Calculateur!V79*Calculateur!X79*VLOOKUP('Données projet'!$B$9,Paramètres!$A$1:$I$89,3,0)*0.475*44/12</f>
        <v>12.8495545660078</v>
      </c>
      <c r="AB79" s="23">
        <f>EXP(-LN(2)/2)*AB78+(1-EXP(-LN(2)/2))/(LN(2)/2)*V79*Y79*VLOOKUP('Données projet'!$B$9,Paramètres!$A$1:$I$89,3,0)*0.475*44/12</f>
        <v>6.6389607422132145E-4</v>
      </c>
      <c r="AC79" s="24">
        <f t="shared" si="57"/>
        <v>108.08306194108501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1.3596945791505279E-13</v>
      </c>
      <c r="P80" s="14">
        <f t="shared" si="87"/>
        <v>1.9708830566360721E-12</v>
      </c>
      <c r="Q80" s="22">
        <f t="shared" si="54"/>
        <v>3.669434796176543E-12</v>
      </c>
      <c r="R80" s="62">
        <f t="shared" si="55"/>
        <v>293.33333333333701</v>
      </c>
      <c r="S80" s="62">
        <f ca="1">AVERAGE(OFFSET($R$3,0,0,'Données projet'!$E$9+1,1))-AVERAGE(OFFSET($H$3,0,0,'Données projet'!$E$9+1,1))</f>
        <v>234.60993819620847</v>
      </c>
      <c r="T80" s="62">
        <f t="shared" si="88"/>
        <v>346.26896655159095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93.365385504678727</v>
      </c>
      <c r="AA80" s="23">
        <f>EXP(-LN(2)/25)*AA79+(1-EXP(-LN(2)/25))/(LN(2)/25)*Calculateur!V80*Calculateur!X80*VLOOKUP('Données projet'!$B$9,Paramètres!$A$1:$I$89,3,0)*0.475*44/12</f>
        <v>12.498182820671611</v>
      </c>
      <c r="AB80" s="23">
        <f>EXP(-LN(2)/2)*AB79+(1-EXP(-LN(2)/2))/(LN(2)/2)*V80*Y80*VLOOKUP('Données projet'!$B$9,Paramètres!$A$1:$I$89,3,0)*0.475*44/12</f>
        <v>4.6944541608502389E-4</v>
      </c>
      <c r="AC80" s="24">
        <f t="shared" si="57"/>
        <v>105.86403777076643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1.3596945791505279E-13</v>
      </c>
      <c r="P81" s="14">
        <f t="shared" si="87"/>
        <v>1.9708830566360721E-12</v>
      </c>
      <c r="Q81" s="22">
        <f t="shared" si="54"/>
        <v>3.669434796176543E-12</v>
      </c>
      <c r="R81" s="62">
        <f t="shared" si="55"/>
        <v>293.33333333333701</v>
      </c>
      <c r="S81" s="62">
        <f ca="1">AVERAGE(OFFSET($R$3,0,0,'Données projet'!$E$9+1,1))-AVERAGE(OFFSET($H$3,0,0,'Données projet'!$E$9+1,1))</f>
        <v>234.60993819620847</v>
      </c>
      <c r="T81" s="62">
        <f t="shared" si="88"/>
        <v>346.26896655159095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91.534547242194066</v>
      </c>
      <c r="AA81" s="23">
        <f>EXP(-LN(2)/25)*AA80+(1-EXP(-LN(2)/25))/(LN(2)/25)*Calculateur!V81*Calculateur!X81*VLOOKUP('Données projet'!$B$9,Paramètres!$A$1:$I$89,3,0)*0.475*44/12</f>
        <v>12.156419354189476</v>
      </c>
      <c r="AB81" s="23">
        <f>EXP(-LN(2)/2)*AB80+(1-EXP(-LN(2)/2))/(LN(2)/2)*V81*Y81*VLOOKUP('Données projet'!$B$9,Paramètres!$A$1:$I$89,3,0)*0.475*44/12</f>
        <v>3.3194803711066078E-4</v>
      </c>
      <c r="AC81" s="24">
        <f t="shared" si="57"/>
        <v>103.69129854442066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1.3596945791505279E-13</v>
      </c>
      <c r="P82" s="14">
        <f t="shared" si="87"/>
        <v>1.9708830566360721E-12</v>
      </c>
      <c r="Q82" s="22">
        <f t="shared" si="54"/>
        <v>3.669434796176543E-12</v>
      </c>
      <c r="R82" s="62">
        <f t="shared" si="55"/>
        <v>293.33333333333701</v>
      </c>
      <c r="S82" s="62">
        <f ca="1">AVERAGE(OFFSET($R$3,0,0,'Données projet'!$E$9+1,1))-AVERAGE(OFFSET($H$3,0,0,'Données projet'!$E$9+1,1))</f>
        <v>234.60993819620847</v>
      </c>
      <c r="T82" s="62">
        <f t="shared" si="88"/>
        <v>346.26896655159095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89.739610601335642</v>
      </c>
      <c r="AA82" s="23">
        <f>EXP(-LN(2)/25)*AA81+(1-EXP(-LN(2)/25))/(LN(2)/25)*Calculateur!V82*Calculateur!X82*VLOOKUP('Données projet'!$B$9,Paramètres!$A$1:$I$89,3,0)*0.475*44/12</f>
        <v>11.824001427670854</v>
      </c>
      <c r="AB82" s="23">
        <f>EXP(-LN(2)/2)*AB81+(1-EXP(-LN(2)/2))/(LN(2)/2)*V82*Y82*VLOOKUP('Données projet'!$B$9,Paramètres!$A$1:$I$89,3,0)*0.475*44/12</f>
        <v>2.3472270804251197E-4</v>
      </c>
      <c r="AC82" s="24">
        <f t="shared" si="57"/>
        <v>101.56384675171454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1.3596945791505279E-13</v>
      </c>
      <c r="P83" s="14">
        <f t="shared" si="87"/>
        <v>1.9708830566360721E-12</v>
      </c>
      <c r="Q83" s="22">
        <f t="shared" si="54"/>
        <v>3.669434796176543E-12</v>
      </c>
      <c r="R83" s="62">
        <f t="shared" si="55"/>
        <v>293.33333333333701</v>
      </c>
      <c r="S83" s="62">
        <f ca="1">AVERAGE(OFFSET($R$3,0,0,'Données projet'!$E$9+1,1))-AVERAGE(OFFSET($H$3,0,0,'Données projet'!$E$9+1,1))</f>
        <v>234.60993819620847</v>
      </c>
      <c r="T83" s="62">
        <f t="shared" si="88"/>
        <v>346.26896655159095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87.979871573201208</v>
      </c>
      <c r="AA83" s="23">
        <f>EXP(-LN(2)/25)*AA82+(1-EXP(-LN(2)/25))/(LN(2)/25)*Calculateur!V83*Calculateur!X83*VLOOKUP('Données projet'!$B$9,Paramètres!$A$1:$I$89,3,0)*0.475*44/12</f>
        <v>11.500673486833984</v>
      </c>
      <c r="AB83" s="23">
        <f>EXP(-LN(2)/2)*AB82+(1-EXP(-LN(2)/2))/(LN(2)/2)*V83*Y83*VLOOKUP('Données projet'!$B$9,Paramètres!$A$1:$I$89,3,0)*0.475*44/12</f>
        <v>1.6597401855533039E-4</v>
      </c>
      <c r="AC83" s="24">
        <f t="shared" si="57"/>
        <v>99.480711034053755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1.3596945791505279E-13</v>
      </c>
      <c r="P84" s="14">
        <f t="shared" si="87"/>
        <v>1.9708830566360721E-12</v>
      </c>
      <c r="Q84" s="22">
        <f t="shared" si="54"/>
        <v>3.669434796176543E-12</v>
      </c>
      <c r="R84" s="62">
        <f t="shared" si="55"/>
        <v>293.33333333333701</v>
      </c>
      <c r="S84" s="62">
        <f ca="1">AVERAGE(OFFSET($R$3,0,0,'Données projet'!$E$9+1,1))-AVERAGE(OFFSET($H$3,0,0,'Données projet'!$E$9+1,1))</f>
        <v>234.60993819620847</v>
      </c>
      <c r="T84" s="62">
        <f t="shared" si="88"/>
        <v>346.26896655159095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86.254639954073667</v>
      </c>
      <c r="AA84" s="23">
        <f>EXP(-LN(2)/25)*AA83+(1-EXP(-LN(2)/25))/(LN(2)/25)*Calculateur!V84*Calculateur!X84*VLOOKUP('Données projet'!$B$9,Paramètres!$A$1:$I$89,3,0)*0.475*44/12</f>
        <v>11.186186965542374</v>
      </c>
      <c r="AB84" s="23">
        <f>EXP(-LN(2)/2)*AB83+(1-EXP(-LN(2)/2))/(LN(2)/2)*V84*Y84*VLOOKUP('Données projet'!$B$9,Paramètres!$A$1:$I$89,3,0)*0.475*44/12</f>
        <v>1.1736135402125599E-4</v>
      </c>
      <c r="AC84" s="24">
        <f t="shared" si="57"/>
        <v>97.440944280970058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1.3596945791505279E-13</v>
      </c>
      <c r="P85" s="14">
        <f t="shared" si="87"/>
        <v>1.9708830566360721E-12</v>
      </c>
      <c r="Q85" s="22">
        <f t="shared" si="54"/>
        <v>3.669434796176543E-12</v>
      </c>
      <c r="R85" s="62">
        <f t="shared" si="55"/>
        <v>293.33333333333701</v>
      </c>
      <c r="S85" s="62">
        <f ca="1">AVERAGE(OFFSET($R$3,0,0,'Données projet'!$E$9+1,1))-AVERAGE(OFFSET($H$3,0,0,'Données projet'!$E$9+1,1))</f>
        <v>234.60993819620847</v>
      </c>
      <c r="T85" s="62">
        <f t="shared" si="88"/>
        <v>346.26896655159095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84.563239074709841</v>
      </c>
      <c r="AA85" s="23">
        <f>EXP(-LN(2)/25)*AA84+(1-EXP(-LN(2)/25))/(LN(2)/25)*Calculateur!V85*Calculateur!X85*VLOOKUP('Données projet'!$B$9,Paramètres!$A$1:$I$89,3,0)*0.475*44/12</f>
        <v>10.880300094713611</v>
      </c>
      <c r="AB85" s="23">
        <f>EXP(-LN(2)/2)*AB84+(1-EXP(-LN(2)/2))/(LN(2)/2)*V85*Y85*VLOOKUP('Données projet'!$B$9,Paramètres!$A$1:$I$89,3,0)*0.475*44/12</f>
        <v>8.2987009277665194E-5</v>
      </c>
      <c r="AC85" s="24">
        <f t="shared" si="57"/>
        <v>95.443622156432724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1.3596945791505279E-13</v>
      </c>
      <c r="P86" s="14">
        <f t="shared" si="87"/>
        <v>1.9708830566360721E-12</v>
      </c>
      <c r="Q86" s="22">
        <f t="shared" si="54"/>
        <v>3.669434796176543E-12</v>
      </c>
      <c r="R86" s="62">
        <f t="shared" si="55"/>
        <v>293.33333333333701</v>
      </c>
      <c r="S86" s="62">
        <f ca="1">AVERAGE(OFFSET($R$3,0,0,'Données projet'!$E$9+1,1))-AVERAGE(OFFSET($H$3,0,0,'Données projet'!$E$9+1,1))</f>
        <v>234.60993819620847</v>
      </c>
      <c r="T86" s="62">
        <f t="shared" si="88"/>
        <v>346.26896655159095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82.905005534937658</v>
      </c>
      <c r="AA86" s="23">
        <f>EXP(-LN(2)/25)*AA85+(1-EXP(-LN(2)/25))/(LN(2)/25)*Calculateur!V86*Calculateur!X86*VLOOKUP('Données projet'!$B$9,Paramètres!$A$1:$I$89,3,0)*0.475*44/12</f>
        <v>10.582777716453553</v>
      </c>
      <c r="AB86" s="23">
        <f>EXP(-LN(2)/2)*AB85+(1-EXP(-LN(2)/2))/(LN(2)/2)*V86*Y86*VLOOKUP('Données projet'!$B$9,Paramètres!$A$1:$I$89,3,0)*0.475*44/12</f>
        <v>5.8680677010627993E-5</v>
      </c>
      <c r="AC86" s="24">
        <f t="shared" si="57"/>
        <v>93.487841932068221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1.3596945791505279E-13</v>
      </c>
      <c r="P87" s="14">
        <f t="shared" si="87"/>
        <v>1.9708830566360721E-12</v>
      </c>
      <c r="Q87" s="22">
        <f t="shared" si="54"/>
        <v>3.669434796176543E-12</v>
      </c>
      <c r="R87" s="62">
        <f t="shared" si="55"/>
        <v>293.33333333333701</v>
      </c>
      <c r="S87" s="62">
        <f ca="1">AVERAGE(OFFSET($R$3,0,0,'Données projet'!$E$9+1,1))-AVERAGE(OFFSET($H$3,0,0,'Données projet'!$E$9+1,1))</f>
        <v>234.60993819620847</v>
      </c>
      <c r="T87" s="62">
        <f t="shared" si="88"/>
        <v>346.26896655159095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81.279288943457829</v>
      </c>
      <c r="AA87" s="23">
        <f>EXP(-LN(2)/25)*AA86+(1-EXP(-LN(2)/25))/(LN(2)/25)*Calculateur!V87*Calculateur!X87*VLOOKUP('Données projet'!$B$9,Paramètres!$A$1:$I$89,3,0)*0.475*44/12</f>
        <v>10.293391103273038</v>
      </c>
      <c r="AB87" s="23">
        <f>EXP(-LN(2)/2)*AB86+(1-EXP(-LN(2)/2))/(LN(2)/2)*V87*Y87*VLOOKUP('Données projet'!$B$9,Paramètres!$A$1:$I$89,3,0)*0.475*44/12</f>
        <v>4.1493504638832597E-5</v>
      </c>
      <c r="AC87" s="24">
        <f t="shared" si="57"/>
        <v>91.572721540235506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1.3596945791505279E-13</v>
      </c>
      <c r="P88" s="14">
        <f t="shared" si="87"/>
        <v>1.9708830566360721E-12</v>
      </c>
      <c r="Q88" s="22">
        <f t="shared" si="54"/>
        <v>3.669434796176543E-12</v>
      </c>
      <c r="R88" s="62">
        <f t="shared" si="55"/>
        <v>293.33333333333701</v>
      </c>
      <c r="S88" s="62">
        <f ca="1">AVERAGE(OFFSET($R$3,0,0,'Données projet'!$E$9+1,1))-AVERAGE(OFFSET($H$3,0,0,'Données projet'!$E$9+1,1))</f>
        <v>234.60993819620847</v>
      </c>
      <c r="T88" s="62">
        <f t="shared" si="88"/>
        <v>346.26896655159095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79.68545166274771</v>
      </c>
      <c r="AA88" s="23">
        <f>EXP(-LN(2)/25)*AA87+(1-EXP(-LN(2)/25))/(LN(2)/25)*Calculateur!V88*Calculateur!X88*VLOOKUP('Données projet'!$B$9,Paramètres!$A$1:$I$89,3,0)*0.475*44/12</f>
        <v>10.011917782248124</v>
      </c>
      <c r="AB88" s="23">
        <f>EXP(-LN(2)/2)*AB87+(1-EXP(-LN(2)/2))/(LN(2)/2)*V88*Y88*VLOOKUP('Données projet'!$B$9,Paramètres!$A$1:$I$89,3,0)*0.475*44/12</f>
        <v>2.9340338505313996E-5</v>
      </c>
      <c r="AC88" s="24">
        <f t="shared" si="57"/>
        <v>89.697398785334329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1.3596945791505279E-13</v>
      </c>
      <c r="P89" s="14">
        <f t="shared" si="87"/>
        <v>1.9708830566360721E-12</v>
      </c>
      <c r="Q89" s="22">
        <f t="shared" si="54"/>
        <v>3.669434796176543E-12</v>
      </c>
      <c r="R89" s="62">
        <f t="shared" si="55"/>
        <v>293.33333333333701</v>
      </c>
      <c r="S89" s="62">
        <f ca="1">AVERAGE(OFFSET($R$3,0,0,'Données projet'!$E$9+1,1))-AVERAGE(OFFSET($H$3,0,0,'Données projet'!$E$9+1,1))</f>
        <v>234.60993819620847</v>
      </c>
      <c r="T89" s="62">
        <f t="shared" si="88"/>
        <v>346.26896655159095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78.122868558967568</v>
      </c>
      <c r="AA89" s="23">
        <f>EXP(-LN(2)/25)*AA88+(1-EXP(-LN(2)/25))/(LN(2)/25)*Calculateur!V89*Calculateur!X89*VLOOKUP('Données projet'!$B$9,Paramètres!$A$1:$I$89,3,0)*0.475*44/12</f>
        <v>9.7381413639886762</v>
      </c>
      <c r="AB89" s="23">
        <f>EXP(-LN(2)/2)*AB88+(1-EXP(-LN(2)/2))/(LN(2)/2)*V89*Y89*VLOOKUP('Données projet'!$B$9,Paramètres!$A$1:$I$89,3,0)*0.475*44/12</f>
        <v>2.0746752319416299E-5</v>
      </c>
      <c r="AC89" s="24">
        <f t="shared" si="57"/>
        <v>87.861030669708555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1.3596945791505279E-13</v>
      </c>
      <c r="P90" s="14">
        <f t="shared" si="87"/>
        <v>1.9708830566360721E-12</v>
      </c>
      <c r="Q90" s="22">
        <f t="shared" si="54"/>
        <v>3.669434796176543E-12</v>
      </c>
      <c r="R90" s="62">
        <f t="shared" si="55"/>
        <v>293.33333333333701</v>
      </c>
      <c r="S90" s="62">
        <f ca="1">AVERAGE(OFFSET($R$3,0,0,'Données projet'!$E$9+1,1))-AVERAGE(OFFSET($H$3,0,0,'Données projet'!$E$9+1,1))</f>
        <v>234.60993819620847</v>
      </c>
      <c r="T90" s="62">
        <f t="shared" si="88"/>
        <v>346.26896655159095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76.590926756770969</v>
      </c>
      <c r="AA90" s="23">
        <f>EXP(-LN(2)/25)*AA89+(1-EXP(-LN(2)/25))/(LN(2)/25)*Calculateur!V90*Calculateur!X90*VLOOKUP('Données projet'!$B$9,Paramètres!$A$1:$I$89,3,0)*0.475*44/12</f>
        <v>9.4718513762838086</v>
      </c>
      <c r="AB90" s="23">
        <f>EXP(-LN(2)/2)*AB89+(1-EXP(-LN(2)/2))/(LN(2)/2)*V90*Y90*VLOOKUP('Données projet'!$B$9,Paramètres!$A$1:$I$89,3,0)*0.475*44/12</f>
        <v>1.4670169252656998E-5</v>
      </c>
      <c r="AC90" s="24">
        <f t="shared" si="57"/>
        <v>86.062792803224028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1.3596945791505279E-13</v>
      </c>
      <c r="P91" s="14">
        <f t="shared" si="87"/>
        <v>1.9708830566360721E-12</v>
      </c>
      <c r="Q91" s="22">
        <f t="shared" si="54"/>
        <v>3.669434796176543E-12</v>
      </c>
      <c r="R91" s="62">
        <f t="shared" si="55"/>
        <v>293.33333333333701</v>
      </c>
      <c r="S91" s="62">
        <f ca="1">AVERAGE(OFFSET($R$3,0,0,'Données projet'!$E$9+1,1))-AVERAGE(OFFSET($H$3,0,0,'Données projet'!$E$9+1,1))</f>
        <v>234.60993819620847</v>
      </c>
      <c r="T91" s="62">
        <f t="shared" si="88"/>
        <v>346.26896655159095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75.089025398923198</v>
      </c>
      <c r="AA91" s="23">
        <f>EXP(-LN(2)/25)*AA90+(1-EXP(-LN(2)/25))/(LN(2)/25)*Calculateur!V91*Calculateur!X91*VLOOKUP('Données projet'!$B$9,Paramètres!$A$1:$I$89,3,0)*0.475*44/12</f>
        <v>9.2128431022963113</v>
      </c>
      <c r="AB91" s="23">
        <f>EXP(-LN(2)/2)*AB90+(1-EXP(-LN(2)/2))/(LN(2)/2)*V91*Y91*VLOOKUP('Données projet'!$B$9,Paramètres!$A$1:$I$89,3,0)*0.475*44/12</f>
        <v>1.0373376159708149E-5</v>
      </c>
      <c r="AC91" s="24">
        <f t="shared" si="57"/>
        <v>84.301878874595658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1.3596945791505279E-13</v>
      </c>
      <c r="P92" s="14">
        <f t="shared" si="87"/>
        <v>1.9708830566360721E-12</v>
      </c>
      <c r="Q92" s="22">
        <f t="shared" si="54"/>
        <v>3.669434796176543E-12</v>
      </c>
      <c r="R92" s="62">
        <f t="shared" si="55"/>
        <v>293.33333333333701</v>
      </c>
      <c r="S92" s="62">
        <f ca="1">AVERAGE(OFFSET($R$3,0,0,'Données projet'!$E$9+1,1))-AVERAGE(OFFSET($H$3,0,0,'Données projet'!$E$9+1,1))</f>
        <v>234.60993819620847</v>
      </c>
      <c r="T92" s="62">
        <f t="shared" si="88"/>
        <v>346.26896655159095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73.616575410633459</v>
      </c>
      <c r="AA92" s="23">
        <f>EXP(-LN(2)/25)*AA91+(1-EXP(-LN(2)/25))/(LN(2)/25)*Calculateur!V92*Calculateur!X92*VLOOKUP('Données projet'!$B$9,Paramètres!$A$1:$I$89,3,0)*0.475*44/12</f>
        <v>8.9609174231816553</v>
      </c>
      <c r="AB92" s="23">
        <f>EXP(-LN(2)/2)*AB91+(1-EXP(-LN(2)/2))/(LN(2)/2)*V92*Y92*VLOOKUP('Données projet'!$B$9,Paramètres!$A$1:$I$89,3,0)*0.475*44/12</f>
        <v>7.3350846263284991E-6</v>
      </c>
      <c r="AC92" s="24">
        <f t="shared" si="57"/>
        <v>82.577500168899746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1.3596945791505279E-13</v>
      </c>
      <c r="P93" s="14">
        <f t="shared" si="87"/>
        <v>1.9708830566360721E-12</v>
      </c>
      <c r="Q93" s="22">
        <f t="shared" si="54"/>
        <v>3.669434796176543E-12</v>
      </c>
      <c r="R93" s="62">
        <f t="shared" si="55"/>
        <v>293.33333333333701</v>
      </c>
      <c r="S93" s="62">
        <f ca="1">AVERAGE(OFFSET($R$3,0,0,'Données projet'!$E$9+1,1))-AVERAGE(OFFSET($H$3,0,0,'Données projet'!$E$9+1,1))</f>
        <v>234.60993819620847</v>
      </c>
      <c r="T93" s="62">
        <f t="shared" si="88"/>
        <v>346.26896655159095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72.172999268508264</v>
      </c>
      <c r="AA93" s="23">
        <f>EXP(-LN(2)/25)*AA92+(1-EXP(-LN(2)/25))/(LN(2)/25)*Calculateur!V93*Calculateur!X93*VLOOKUP('Données projet'!$B$9,Paramètres!$A$1:$I$89,3,0)*0.475*44/12</f>
        <v>8.7158806650105856</v>
      </c>
      <c r="AB93" s="23">
        <f>EXP(-LN(2)/2)*AB92+(1-EXP(-LN(2)/2))/(LN(2)/2)*V93*Y93*VLOOKUP('Données projet'!$B$9,Paramètres!$A$1:$I$89,3,0)*0.475*44/12</f>
        <v>5.1866880798540746E-6</v>
      </c>
      <c r="AC93" s="24">
        <f t="shared" si="57"/>
        <v>80.888885120206936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1.3596945791505279E-13</v>
      </c>
      <c r="P94" s="14">
        <f t="shared" si="87"/>
        <v>1.9708830566360721E-12</v>
      </c>
      <c r="Q94" s="22">
        <f t="shared" si="54"/>
        <v>3.669434796176543E-12</v>
      </c>
      <c r="R94" s="62">
        <f t="shared" si="55"/>
        <v>293.33333333333701</v>
      </c>
      <c r="S94" s="62">
        <f ca="1">AVERAGE(OFFSET($R$3,0,0,'Données projet'!$E$9+1,1))-AVERAGE(OFFSET($H$3,0,0,'Données projet'!$E$9+1,1))</f>
        <v>234.60993819620847</v>
      </c>
      <c r="T94" s="62">
        <f t="shared" si="88"/>
        <v>346.26896655159095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70.757730774035636</v>
      </c>
      <c r="AA94" s="23">
        <f>EXP(-LN(2)/25)*AA93+(1-EXP(-LN(2)/25))/(LN(2)/25)*Calculateur!V94*Calculateur!X94*VLOOKUP('Données projet'!$B$9,Paramètres!$A$1:$I$89,3,0)*0.475*44/12</f>
        <v>8.4775444498776267</v>
      </c>
      <c r="AB94" s="23">
        <f>EXP(-LN(2)/2)*AB93+(1-EXP(-LN(2)/2))/(LN(2)/2)*V94*Y94*VLOOKUP('Données projet'!$B$9,Paramètres!$A$1:$I$89,3,0)*0.475*44/12</f>
        <v>3.6675423131642495E-6</v>
      </c>
      <c r="AC94" s="24">
        <f t="shared" si="57"/>
        <v>79.235278891455579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1.3596945791505279E-13</v>
      </c>
      <c r="P95" s="14">
        <f t="shared" si="87"/>
        <v>1.9708830566360721E-12</v>
      </c>
      <c r="Q95" s="22">
        <f t="shared" si="54"/>
        <v>3.669434796176543E-12</v>
      </c>
      <c r="R95" s="62">
        <f t="shared" si="55"/>
        <v>293.33333333333701</v>
      </c>
      <c r="S95" s="62">
        <f ca="1">AVERAGE(OFFSET($R$3,0,0,'Données projet'!$E$9+1,1))-AVERAGE(OFFSET($H$3,0,0,'Données projet'!$E$9+1,1))</f>
        <v>234.60993819620847</v>
      </c>
      <c r="T95" s="62">
        <f t="shared" si="88"/>
        <v>346.26896655159095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69.370214831511078</v>
      </c>
      <c r="AA95" s="23">
        <f>EXP(-LN(2)/25)*AA94+(1-EXP(-LN(2)/25))/(LN(2)/25)*Calculateur!V95*Calculateur!X95*VLOOKUP('Données projet'!$B$9,Paramètres!$A$1:$I$89,3,0)*0.475*44/12</f>
        <v>8.2457255510810352</v>
      </c>
      <c r="AB95" s="23">
        <f>EXP(-LN(2)/2)*AB94+(1-EXP(-LN(2)/2))/(LN(2)/2)*V95*Y95*VLOOKUP('Données projet'!$B$9,Paramètres!$A$1:$I$89,3,0)*0.475*44/12</f>
        <v>2.5933440399270373E-6</v>
      </c>
      <c r="AC95" s="24">
        <f t="shared" si="57"/>
        <v>77.61594297593615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1.3596945791505279E-13</v>
      </c>
      <c r="P96" s="14">
        <f t="shared" si="87"/>
        <v>1.9708830566360721E-12</v>
      </c>
      <c r="Q96" s="22">
        <f t="shared" si="54"/>
        <v>3.669434796176543E-12</v>
      </c>
      <c r="R96" s="62">
        <f t="shared" si="55"/>
        <v>293.33333333333701</v>
      </c>
      <c r="S96" s="62">
        <f ca="1">AVERAGE(OFFSET($R$3,0,0,'Données projet'!$E$9+1,1))-AVERAGE(OFFSET($H$3,0,0,'Données projet'!$E$9+1,1))</f>
        <v>234.60993819620847</v>
      </c>
      <c r="T96" s="62">
        <f t="shared" si="88"/>
        <v>346.26896655159095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68.009907230318262</v>
      </c>
      <c r="AA96" s="23">
        <f>EXP(-LN(2)/25)*AA95+(1-EXP(-LN(2)/25))/(LN(2)/25)*Calculateur!V96*Calculateur!X96*VLOOKUP('Données projet'!$B$9,Paramètres!$A$1:$I$89,3,0)*0.475*44/12</f>
        <v>8.0202457522628627</v>
      </c>
      <c r="AB96" s="23">
        <f>EXP(-LN(2)/2)*AB95+(1-EXP(-LN(2)/2))/(LN(2)/2)*V96*Y96*VLOOKUP('Données projet'!$B$9,Paramètres!$A$1:$I$89,3,0)*0.475*44/12</f>
        <v>1.8337711565821248E-6</v>
      </c>
      <c r="AC96" s="24">
        <f t="shared" si="57"/>
        <v>76.03015481635228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1.3596945791505279E-13</v>
      </c>
      <c r="P97" s="14">
        <f t="shared" si="87"/>
        <v>1.9708830566360721E-12</v>
      </c>
      <c r="Q97" s="22">
        <f t="shared" si="54"/>
        <v>3.669434796176543E-12</v>
      </c>
      <c r="R97" s="62">
        <f t="shared" si="55"/>
        <v>293.33333333333701</v>
      </c>
      <c r="S97" s="62">
        <f ca="1">AVERAGE(OFFSET($R$3,0,0,'Données projet'!$E$9+1,1))-AVERAGE(OFFSET($H$3,0,0,'Données projet'!$E$9+1,1))</f>
        <v>234.60993819620847</v>
      </c>
      <c r="T97" s="62">
        <f t="shared" si="88"/>
        <v>346.26896655159095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66.676274431479129</v>
      </c>
      <c r="AA97" s="23">
        <f>EXP(-LN(2)/25)*AA96+(1-EXP(-LN(2)/25))/(LN(2)/25)*Calculateur!V97*Calculateur!X97*VLOOKUP('Données projet'!$B$9,Paramètres!$A$1:$I$89,3,0)*0.475*44/12</f>
        <v>7.8009317104008415</v>
      </c>
      <c r="AB97" s="23">
        <f>EXP(-LN(2)/2)*AB96+(1-EXP(-LN(2)/2))/(LN(2)/2)*V97*Y97*VLOOKUP('Données projet'!$B$9,Paramètres!$A$1:$I$89,3,0)*0.475*44/12</f>
        <v>1.2966720199635187E-6</v>
      </c>
      <c r="AC97" s="24">
        <f t="shared" si="57"/>
        <v>74.477207438552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1.3596945791505279E-13</v>
      </c>
      <c r="P98" s="14">
        <f t="shared" si="87"/>
        <v>1.9708830566360721E-12</v>
      </c>
      <c r="Q98" s="22">
        <f t="shared" si="54"/>
        <v>3.669434796176543E-12</v>
      </c>
      <c r="R98" s="62">
        <f t="shared" si="55"/>
        <v>293.33333333333701</v>
      </c>
      <c r="S98" s="62">
        <f ca="1">AVERAGE(OFFSET($R$3,0,0,'Données projet'!$E$9+1,1))-AVERAGE(OFFSET($H$3,0,0,'Données projet'!$E$9+1,1))</f>
        <v>234.60993819620847</v>
      </c>
      <c r="T98" s="62">
        <f t="shared" si="88"/>
        <v>346.26896655159095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65.368793358389539</v>
      </c>
      <c r="AA98" s="23">
        <f>EXP(-LN(2)/25)*AA97+(1-EXP(-LN(2)/25))/(LN(2)/25)*Calculateur!V98*Calculateur!X98*VLOOKUP('Données projet'!$B$9,Paramètres!$A$1:$I$89,3,0)*0.475*44/12</f>
        <v>7.5876148225467608</v>
      </c>
      <c r="AB98" s="23">
        <f>EXP(-LN(2)/2)*AB97+(1-EXP(-LN(2)/2))/(LN(2)/2)*V98*Y98*VLOOKUP('Données projet'!$B$9,Paramètres!$A$1:$I$89,3,0)*0.475*44/12</f>
        <v>9.1688557829106238E-7</v>
      </c>
      <c r="AC98" s="24">
        <f t="shared" si="57"/>
        <v>72.956409097821876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1.3596945791505279E-13</v>
      </c>
      <c r="P99" s="14">
        <f t="shared" si="87"/>
        <v>1.9708830566360721E-12</v>
      </c>
      <c r="Q99" s="22">
        <f t="shared" ref="Q99:Q130" si="107">(O99+P99)*0.475*44/12</f>
        <v>3.669434796176543E-12</v>
      </c>
      <c r="R99" s="62">
        <f t="shared" si="55"/>
        <v>293.33333333333701</v>
      </c>
      <c r="S99" s="62">
        <f ca="1">AVERAGE(OFFSET($R$3,0,0,'Données projet'!$E$9+1,1))-AVERAGE(OFFSET($H$3,0,0,'Données projet'!$E$9+1,1))</f>
        <v>234.60993819620847</v>
      </c>
      <c r="T99" s="62">
        <f t="shared" si="88"/>
        <v>346.26896655159095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64.086951191658528</v>
      </c>
      <c r="AA99" s="23">
        <f>EXP(-LN(2)/25)*AA98+(1-EXP(-LN(2)/25))/(LN(2)/25)*Calculateur!V99*Calculateur!X99*VLOOKUP('Données projet'!$B$9,Paramètres!$A$1:$I$89,3,0)*0.475*44/12</f>
        <v>7.3801310962088982</v>
      </c>
      <c r="AB99" s="23">
        <f>EXP(-LN(2)/2)*AB98+(1-EXP(-LN(2)/2))/(LN(2)/2)*V99*Y99*VLOOKUP('Données projet'!$B$9,Paramètres!$A$1:$I$89,3,0)*0.475*44/12</f>
        <v>6.4833600998175933E-7</v>
      </c>
      <c r="AC99" s="24">
        <f t="shared" si="57"/>
        <v>71.46708293620344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1.3596945791505279E-13</v>
      </c>
      <c r="P100" s="14">
        <f t="shared" si="87"/>
        <v>1.9708830566360721E-12</v>
      </c>
      <c r="Q100" s="22">
        <f t="shared" si="107"/>
        <v>3.669434796176543E-12</v>
      </c>
      <c r="R100" s="62">
        <f t="shared" si="55"/>
        <v>293.33333333333701</v>
      </c>
      <c r="S100" s="62">
        <f ca="1">AVERAGE(OFFSET($R$3,0,0,'Données projet'!$E$9+1,1))-AVERAGE(OFFSET($H$3,0,0,'Données projet'!$E$9+1,1))</f>
        <v>234.60993819620847</v>
      </c>
      <c r="T100" s="62">
        <f t="shared" si="88"/>
        <v>346.26896655159095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62.830245167970595</v>
      </c>
      <c r="AA100" s="23">
        <f>EXP(-LN(2)/25)*AA99+(1-EXP(-LN(2)/25))/(LN(2)/25)*Calculateur!V100*Calculateur!X100*VLOOKUP('Données projet'!$B$9,Paramètres!$A$1:$I$89,3,0)*0.475*44/12</f>
        <v>7.1783210232788388</v>
      </c>
      <c r="AB100" s="23">
        <f>EXP(-LN(2)/2)*AB99+(1-EXP(-LN(2)/2))/(LN(2)/2)*V100*Y100*VLOOKUP('Données projet'!$B$9,Paramètres!$A$1:$I$89,3,0)*0.475*44/12</f>
        <v>4.5844278914553119E-7</v>
      </c>
      <c r="AC100" s="24">
        <f t="shared" si="57"/>
        <v>70.008566649692213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1.3596945791505279E-13</v>
      </c>
      <c r="P101" s="14">
        <f t="shared" si="87"/>
        <v>1.9708830566360721E-12</v>
      </c>
      <c r="Q101" s="22">
        <f t="shared" si="107"/>
        <v>3.669434796176543E-12</v>
      </c>
      <c r="R101" s="62">
        <f t="shared" si="55"/>
        <v>293.33333333333701</v>
      </c>
      <c r="S101" s="62">
        <f ca="1">AVERAGE(OFFSET($R$3,0,0,'Données projet'!$E$9+1,1))-AVERAGE(OFFSET($H$3,0,0,'Données projet'!$E$9+1,1))</f>
        <v>234.60993819620847</v>
      </c>
      <c r="T101" s="62">
        <f t="shared" si="88"/>
        <v>346.26896655159095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61.598182382892197</v>
      </c>
      <c r="AA101" s="23">
        <f>EXP(-LN(2)/25)*AA100+(1-EXP(-LN(2)/25))/(LN(2)/25)*Calculateur!V101*Calculateur!X101*VLOOKUP('Données projet'!$B$9,Paramètres!$A$1:$I$89,3,0)*0.475*44/12</f>
        <v>6.9820294574057824</v>
      </c>
      <c r="AB101" s="23">
        <f>EXP(-LN(2)/2)*AB100+(1-EXP(-LN(2)/2))/(LN(2)/2)*V101*Y101*VLOOKUP('Données projet'!$B$9,Paramètres!$A$1:$I$89,3,0)*0.475*44/12</f>
        <v>3.2416800499087967E-7</v>
      </c>
      <c r="AC101" s="24">
        <f t="shared" si="57"/>
        <v>68.580212164465976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1.3596945791505279E-13</v>
      </c>
      <c r="P102" s="14">
        <f t="shared" si="87"/>
        <v>1.9708830566360721E-12</v>
      </c>
      <c r="Q102" s="22">
        <f t="shared" si="107"/>
        <v>3.669434796176543E-12</v>
      </c>
      <c r="R102" s="62">
        <f t="shared" si="55"/>
        <v>293.33333333333701</v>
      </c>
      <c r="S102" s="62">
        <f ca="1">AVERAGE(OFFSET($R$3,0,0,'Données projet'!$E$9+1,1))-AVERAGE(OFFSET($H$3,0,0,'Données projet'!$E$9+1,1))</f>
        <v>234.60993819620847</v>
      </c>
      <c r="T102" s="62">
        <f t="shared" si="88"/>
        <v>346.26896655159095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60.390279597545089</v>
      </c>
      <c r="AA102" s="23">
        <f>EXP(-LN(2)/25)*AA101+(1-EXP(-LN(2)/25))/(LN(2)/25)*Calculateur!V102*Calculateur!X102*VLOOKUP('Données projet'!$B$9,Paramètres!$A$1:$I$89,3,0)*0.475*44/12</f>
        <v>6.7911054947240501</v>
      </c>
      <c r="AB102" s="23">
        <f>EXP(-LN(2)/2)*AB101+(1-EXP(-LN(2)/2))/(LN(2)/2)*V102*Y102*VLOOKUP('Données projet'!$B$9,Paramètres!$A$1:$I$89,3,0)*0.475*44/12</f>
        <v>2.292213945727656E-7</v>
      </c>
      <c r="AC102" s="24">
        <f t="shared" si="57"/>
        <v>67.181385321490538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1.3596945791505279E-13</v>
      </c>
      <c r="P103" s="14">
        <f t="shared" si="87"/>
        <v>1.9708830566360721E-12</v>
      </c>
      <c r="Q103" s="22">
        <f t="shared" si="107"/>
        <v>3.669434796176543E-12</v>
      </c>
      <c r="R103" s="62">
        <f t="shared" si="55"/>
        <v>293.33333333333701</v>
      </c>
      <c r="S103" s="62">
        <f ca="1">AVERAGE(OFFSET($R$3,0,0,'Données projet'!$E$9+1,1))-AVERAGE(OFFSET($H$3,0,0,'Données projet'!$E$9+1,1))</f>
        <v>234.60993819620847</v>
      </c>
      <c r="T103" s="62">
        <f t="shared" si="88"/>
        <v>346.26896655159095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59.206063049070686</v>
      </c>
      <c r="AA103" s="23">
        <f>EXP(-LN(2)/25)*AA102+(1-EXP(-LN(2)/25))/(LN(2)/25)*Calculateur!V103*Calculateur!X103*VLOOKUP('Données projet'!$B$9,Paramètres!$A$1:$I$89,3,0)*0.475*44/12</f>
        <v>6.6054023578421042</v>
      </c>
      <c r="AB103" s="23">
        <f>EXP(-LN(2)/2)*AB102+(1-EXP(-LN(2)/2))/(LN(2)/2)*V103*Y103*VLOOKUP('Données projet'!$B$9,Paramètres!$A$1:$I$89,3,0)*0.475*44/12</f>
        <v>1.6208400249543983E-7</v>
      </c>
      <c r="AC103" s="24">
        <f t="shared" si="57"/>
        <v>65.811465568996795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1.3596945791505279E-13</v>
      </c>
      <c r="P104" s="14">
        <f t="shared" si="87"/>
        <v>1.9708830566360721E-12</v>
      </c>
      <c r="Q104" s="22">
        <f t="shared" si="107"/>
        <v>3.669434796176543E-12</v>
      </c>
      <c r="R104" s="62">
        <f t="shared" si="55"/>
        <v>293.33333333333701</v>
      </c>
      <c r="S104" s="62">
        <f ca="1">AVERAGE(OFFSET($R$3,0,0,'Données projet'!$E$9+1,1))-AVERAGE(OFFSET($H$3,0,0,'Données projet'!$E$9+1,1))</f>
        <v>234.60993819620847</v>
      </c>
      <c r="T104" s="62">
        <f t="shared" si="88"/>
        <v>346.26896655159095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58.045068264811093</v>
      </c>
      <c r="AA104" s="23">
        <f>EXP(-LN(2)/25)*AA103+(1-EXP(-LN(2)/25))/(LN(2)/25)*Calculateur!V104*Calculateur!X104*VLOOKUP('Données projet'!$B$9,Paramètres!$A$1:$I$89,3,0)*0.475*44/12</f>
        <v>6.4247772830038983</v>
      </c>
      <c r="AB104" s="23">
        <f>EXP(-LN(2)/2)*AB103+(1-EXP(-LN(2)/2))/(LN(2)/2)*V104*Y104*VLOOKUP('Données projet'!$B$9,Paramètres!$A$1:$I$89,3,0)*0.475*44/12</f>
        <v>1.146106972863828E-7</v>
      </c>
      <c r="AC104" s="24">
        <f t="shared" si="57"/>
        <v>64.469845662425698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1.3596945791505279E-13</v>
      </c>
      <c r="P105" s="14">
        <f t="shared" si="87"/>
        <v>1.9708830566360721E-12</v>
      </c>
      <c r="Q105" s="22">
        <f t="shared" si="107"/>
        <v>3.669434796176543E-12</v>
      </c>
      <c r="R105" s="62">
        <f t="shared" si="55"/>
        <v>293.33333333333701</v>
      </c>
      <c r="S105" s="62">
        <f ca="1">AVERAGE(OFFSET($R$3,0,0,'Données projet'!$E$9+1,1))-AVERAGE(OFFSET($H$3,0,0,'Données projet'!$E$9+1,1))</f>
        <v>234.60993819620847</v>
      </c>
      <c r="T105" s="62">
        <f t="shared" si="88"/>
        <v>346.26896655159095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56.906839880133937</v>
      </c>
      <c r="AA105" s="23">
        <f>EXP(-LN(2)/25)*AA104+(1-EXP(-LN(2)/25))/(LN(2)/25)*Calculateur!V105*Calculateur!X105*VLOOKUP('Données projet'!$B$9,Paramètres!$A$1:$I$89,3,0)*0.475*44/12</f>
        <v>6.2490914103358035</v>
      </c>
      <c r="AB105" s="23">
        <f>EXP(-LN(2)/2)*AB104+(1-EXP(-LN(2)/2))/(LN(2)/2)*V105*Y105*VLOOKUP('Données projet'!$B$9,Paramètres!$A$1:$I$89,3,0)*0.475*44/12</f>
        <v>8.1042001247719916E-8</v>
      </c>
      <c r="AC105" s="24">
        <f t="shared" si="57"/>
        <v>63.155931371511741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1.3596945791505279E-13</v>
      </c>
      <c r="P106" s="14">
        <f t="shared" si="87"/>
        <v>1.9708830566360721E-12</v>
      </c>
      <c r="Q106" s="22">
        <f t="shared" si="107"/>
        <v>3.669434796176543E-12</v>
      </c>
      <c r="R106" s="62">
        <f t="shared" si="55"/>
        <v>293.33333333333701</v>
      </c>
      <c r="S106" s="62">
        <f ca="1">AVERAGE(OFFSET($R$3,0,0,'Données projet'!$E$9+1,1))-AVERAGE(OFFSET($H$3,0,0,'Données projet'!$E$9+1,1))</f>
        <v>234.60993819620847</v>
      </c>
      <c r="T106" s="62">
        <f t="shared" si="88"/>
        <v>346.26896655159095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55.790931459829537</v>
      </c>
      <c r="AA106" s="23">
        <f>EXP(-LN(2)/25)*AA105+(1-EXP(-LN(2)/25))/(LN(2)/25)*Calculateur!V106*Calculateur!X106*VLOOKUP('Données projet'!$B$9,Paramètres!$A$1:$I$89,3,0)*0.475*44/12</f>
        <v>6.078209677094736</v>
      </c>
      <c r="AB106" s="23">
        <f>EXP(-LN(2)/2)*AB105+(1-EXP(-LN(2)/2))/(LN(2)/2)*V106*Y106*VLOOKUP('Données projet'!$B$9,Paramètres!$A$1:$I$89,3,0)*0.475*44/12</f>
        <v>5.7305348643191399E-8</v>
      </c>
      <c r="AC106" s="24">
        <f t="shared" si="57"/>
        <v>61.86914119422962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1.3596945791505279E-13</v>
      </c>
      <c r="P107" s="14">
        <f t="shared" si="87"/>
        <v>1.9708830566360721E-12</v>
      </c>
      <c r="Q107" s="22">
        <f t="shared" si="107"/>
        <v>3.669434796176543E-12</v>
      </c>
      <c r="R107" s="62">
        <f t="shared" si="55"/>
        <v>293.33333333333701</v>
      </c>
      <c r="S107" s="62">
        <f ca="1">AVERAGE(OFFSET($R$3,0,0,'Données projet'!$E$9+1,1))-AVERAGE(OFFSET($H$3,0,0,'Données projet'!$E$9+1,1))</f>
        <v>234.60993819620847</v>
      </c>
      <c r="T107" s="62">
        <f t="shared" si="88"/>
        <v>346.26896655159095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54.696905323010377</v>
      </c>
      <c r="AA107" s="23">
        <f>EXP(-LN(2)/25)*AA106+(1-EXP(-LN(2)/25))/(LN(2)/25)*Calculateur!V107*Calculateur!X107*VLOOKUP('Données projet'!$B$9,Paramètres!$A$1:$I$89,3,0)*0.475*44/12</f>
        <v>5.9120007138354254</v>
      </c>
      <c r="AB107" s="23">
        <f>EXP(-LN(2)/2)*AB106+(1-EXP(-LN(2)/2))/(LN(2)/2)*V107*Y107*VLOOKUP('Données projet'!$B$9,Paramètres!$A$1:$I$89,3,0)*0.475*44/12</f>
        <v>4.0521000623859958E-8</v>
      </c>
      <c r="AC107" s="24">
        <f t="shared" si="57"/>
        <v>60.608906077366804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1.3596945791505279E-13</v>
      </c>
      <c r="P108" s="14">
        <f t="shared" si="87"/>
        <v>1.9708830566360721E-12</v>
      </c>
      <c r="Q108" s="22">
        <f t="shared" si="107"/>
        <v>3.669434796176543E-12</v>
      </c>
      <c r="R108" s="62">
        <f t="shared" si="55"/>
        <v>293.33333333333701</v>
      </c>
      <c r="S108" s="62">
        <f ca="1">AVERAGE(OFFSET($R$3,0,0,'Données projet'!$E$9+1,1))-AVERAGE(OFFSET($H$3,0,0,'Données projet'!$E$9+1,1))</f>
        <v>234.60993819620847</v>
      </c>
      <c r="T108" s="62">
        <f t="shared" si="88"/>
        <v>346.26896655159095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53.624332371444183</v>
      </c>
      <c r="AA108" s="23">
        <f>EXP(-LN(2)/25)*AA107+(1-EXP(-LN(2)/25))/(LN(2)/25)*Calculateur!V108*Calculateur!X108*VLOOKUP('Données projet'!$B$9,Paramètres!$A$1:$I$89,3,0)*0.475*44/12</f>
        <v>5.7503367434169901</v>
      </c>
      <c r="AB108" s="23">
        <f>EXP(-LN(2)/2)*AB107+(1-EXP(-LN(2)/2))/(LN(2)/2)*V108*Y108*VLOOKUP('Données projet'!$B$9,Paramètres!$A$1:$I$89,3,0)*0.475*44/12</f>
        <v>2.86526743215957E-8</v>
      </c>
      <c r="AC108" s="24">
        <f t="shared" si="57"/>
        <v>59.374669143513842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1.3596945791505279E-13</v>
      </c>
      <c r="P109" s="14">
        <f t="shared" si="87"/>
        <v>1.9708830566360721E-12</v>
      </c>
      <c r="Q109" s="22">
        <f t="shared" si="107"/>
        <v>3.669434796176543E-12</v>
      </c>
      <c r="R109" s="62">
        <f t="shared" si="55"/>
        <v>293.33333333333701</v>
      </c>
      <c r="S109" s="62">
        <f ca="1">AVERAGE(OFFSET($R$3,0,0,'Données projet'!$E$9+1,1))-AVERAGE(OFFSET($H$3,0,0,'Données projet'!$E$9+1,1))</f>
        <v>234.60993819620847</v>
      </c>
      <c r="T109" s="62">
        <f t="shared" si="88"/>
        <v>346.26896655159095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52.572791921253298</v>
      </c>
      <c r="AA109" s="23">
        <f>EXP(-LN(2)/25)*AA108+(1-EXP(-LN(2)/25))/(LN(2)/25)*Calculateur!V109*Calculateur!X109*VLOOKUP('Données projet'!$B$9,Paramètres!$A$1:$I$89,3,0)*0.475*44/12</f>
        <v>5.5930934827711853</v>
      </c>
      <c r="AB109" s="23">
        <f>EXP(-LN(2)/2)*AB108+(1-EXP(-LN(2)/2))/(LN(2)/2)*V109*Y109*VLOOKUP('Données projet'!$B$9,Paramètres!$A$1:$I$89,3,0)*0.475*44/12</f>
        <v>2.0260500311929979E-8</v>
      </c>
      <c r="AC109" s="24">
        <f t="shared" si="57"/>
        <v>58.165885424284987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1.3596945791505279E-13</v>
      </c>
      <c r="P110" s="14">
        <f t="shared" si="87"/>
        <v>1.9708830566360721E-12</v>
      </c>
      <c r="Q110" s="22">
        <f t="shared" si="107"/>
        <v>3.669434796176543E-12</v>
      </c>
      <c r="R110" s="62">
        <f t="shared" si="55"/>
        <v>293.33333333333701</v>
      </c>
      <c r="S110" s="62">
        <f ca="1">AVERAGE(OFFSET($R$3,0,0,'Données projet'!$E$9+1,1))-AVERAGE(OFFSET($H$3,0,0,'Données projet'!$E$9+1,1))</f>
        <v>234.60993819620847</v>
      </c>
      <c r="T110" s="62">
        <f t="shared" si="88"/>
        <v>346.26896655159095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51.541871537914318</v>
      </c>
      <c r="AA110" s="23">
        <f>EXP(-LN(2)/25)*AA109+(1-EXP(-LN(2)/25))/(LN(2)/25)*Calculateur!V110*Calculateur!X110*VLOOKUP('Données projet'!$B$9,Paramètres!$A$1:$I$89,3,0)*0.475*44/12</f>
        <v>5.4401500473568039</v>
      </c>
      <c r="AB110" s="23">
        <f>EXP(-LN(2)/2)*AB109+(1-EXP(-LN(2)/2))/(LN(2)/2)*V110*Y110*VLOOKUP('Données projet'!$B$9,Paramètres!$A$1:$I$89,3,0)*0.475*44/12</f>
        <v>1.432633716079785E-8</v>
      </c>
      <c r="AC110" s="24">
        <f t="shared" si="57"/>
        <v>56.982021599597459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1.3596945791505279E-13</v>
      </c>
      <c r="P111" s="14">
        <f t="shared" si="87"/>
        <v>1.9708830566360721E-12</v>
      </c>
      <c r="Q111" s="22">
        <f t="shared" si="107"/>
        <v>3.669434796176543E-12</v>
      </c>
      <c r="R111" s="62">
        <f t="shared" si="55"/>
        <v>293.33333333333701</v>
      </c>
      <c r="S111" s="62">
        <f ca="1">AVERAGE(OFFSET($R$3,0,0,'Données projet'!$E$9+1,1))-AVERAGE(OFFSET($H$3,0,0,'Données projet'!$E$9+1,1))</f>
        <v>234.60993819620847</v>
      </c>
      <c r="T111" s="62">
        <f t="shared" si="88"/>
        <v>346.26896655159095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50.531166874493266</v>
      </c>
      <c r="AA111" s="23">
        <f>EXP(-LN(2)/25)*AA110+(1-EXP(-LN(2)/25))/(LN(2)/25)*Calculateur!V111*Calculateur!X111*VLOOKUP('Données projet'!$B$9,Paramètres!$A$1:$I$89,3,0)*0.475*44/12</f>
        <v>5.2913888582267745</v>
      </c>
      <c r="AB111" s="23">
        <f>EXP(-LN(2)/2)*AB110+(1-EXP(-LN(2)/2))/(LN(2)/2)*V111*Y111*VLOOKUP('Données projet'!$B$9,Paramètres!$A$1:$I$89,3,0)*0.475*44/12</f>
        <v>1.013025015596499E-8</v>
      </c>
      <c r="AC111" s="24">
        <f t="shared" si="57"/>
        <v>55.822555742850291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1.3596945791505279E-13</v>
      </c>
      <c r="P112" s="14">
        <f t="shared" si="87"/>
        <v>1.9708830566360721E-12</v>
      </c>
      <c r="Q112" s="22">
        <f t="shared" si="107"/>
        <v>3.669434796176543E-12</v>
      </c>
      <c r="R112" s="62">
        <f t="shared" si="55"/>
        <v>293.33333333333701</v>
      </c>
      <c r="S112" s="62">
        <f ca="1">AVERAGE(OFFSET($R$3,0,0,'Données projet'!$E$9+1,1))-AVERAGE(OFFSET($H$3,0,0,'Données projet'!$E$9+1,1))</f>
        <v>234.60993819620847</v>
      </c>
      <c r="T112" s="62">
        <f t="shared" si="88"/>
        <v>346.26896655159095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49.540281513052932</v>
      </c>
      <c r="AA112" s="23">
        <f>EXP(-LN(2)/25)*AA111+(1-EXP(-LN(2)/25))/(LN(2)/25)*Calculateur!V112*Calculateur!X112*VLOOKUP('Données projet'!$B$9,Paramètres!$A$1:$I$89,3,0)*0.475*44/12</f>
        <v>5.1466955516365172</v>
      </c>
      <c r="AB112" s="23">
        <f>EXP(-LN(2)/2)*AB111+(1-EXP(-LN(2)/2))/(LN(2)/2)*V112*Y112*VLOOKUP('Données projet'!$B$9,Paramètres!$A$1:$I$89,3,0)*0.475*44/12</f>
        <v>7.1631685803989249E-9</v>
      </c>
      <c r="AC112" s="24">
        <f t="shared" si="57"/>
        <v>54.686977071852617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1.3596945791505279E-13</v>
      </c>
      <c r="P113" s="14">
        <f t="shared" si="87"/>
        <v>1.9708830566360721E-12</v>
      </c>
      <c r="Q113" s="22">
        <f t="shared" si="107"/>
        <v>3.669434796176543E-12</v>
      </c>
      <c r="R113" s="62">
        <f t="shared" si="55"/>
        <v>293.33333333333701</v>
      </c>
      <c r="S113" s="62">
        <f ca="1">AVERAGE(OFFSET($R$3,0,0,'Données projet'!$E$9+1,1))-AVERAGE(OFFSET($H$3,0,0,'Données projet'!$E$9+1,1))</f>
        <v>234.60993819620847</v>
      </c>
      <c r="T113" s="62">
        <f t="shared" si="88"/>
        <v>346.26896655159095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48.568826809170048</v>
      </c>
      <c r="AA113" s="23">
        <f>EXP(-LN(2)/25)*AA112+(1-EXP(-LN(2)/25))/(LN(2)/25)*Calculateur!V113*Calculateur!X113*VLOOKUP('Données projet'!$B$9,Paramètres!$A$1:$I$89,3,0)*0.475*44/12</f>
        <v>5.0059588911240605</v>
      </c>
      <c r="AB113" s="23">
        <f>EXP(-LN(2)/2)*AB112+(1-EXP(-LN(2)/2))/(LN(2)/2)*V113*Y113*VLOOKUP('Données projet'!$B$9,Paramètres!$A$1:$I$89,3,0)*0.475*44/12</f>
        <v>5.0651250779824948E-9</v>
      </c>
      <c r="AC113" s="24">
        <f t="shared" si="57"/>
        <v>53.574785705359233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1.3596945791505279E-13</v>
      </c>
      <c r="P114" s="14">
        <f t="shared" si="87"/>
        <v>1.9708830566360721E-12</v>
      </c>
      <c r="Q114" s="22">
        <f t="shared" si="107"/>
        <v>3.669434796176543E-12</v>
      </c>
      <c r="R114" s="62">
        <f t="shared" si="55"/>
        <v>293.33333333333701</v>
      </c>
      <c r="S114" s="62">
        <f ca="1">AVERAGE(OFFSET($R$3,0,0,'Données projet'!$E$9+1,1))-AVERAGE(OFFSET($H$3,0,0,'Données projet'!$E$9+1,1))</f>
        <v>234.60993819620847</v>
      </c>
      <c r="T114" s="62">
        <f t="shared" si="88"/>
        <v>346.26896655159095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47.616421739501448</v>
      </c>
      <c r="AA114" s="23">
        <f>EXP(-LN(2)/25)*AA113+(1-EXP(-LN(2)/25))/(LN(2)/25)*Calculateur!V114*Calculateur!X114*VLOOKUP('Données projet'!$B$9,Paramètres!$A$1:$I$89,3,0)*0.475*44/12</f>
        <v>4.8690706819943363</v>
      </c>
      <c r="AB114" s="23">
        <f>EXP(-LN(2)/2)*AB113+(1-EXP(-LN(2)/2))/(LN(2)/2)*V114*Y114*VLOOKUP('Données projet'!$B$9,Paramètres!$A$1:$I$89,3,0)*0.475*44/12</f>
        <v>3.5815842901994624E-9</v>
      </c>
      <c r="AC114" s="24">
        <f t="shared" si="57"/>
        <v>52.485492425077368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1.3596945791505279E-13</v>
      </c>
      <c r="P115" s="14">
        <f t="shared" si="87"/>
        <v>1.9708830566360721E-12</v>
      </c>
      <c r="Q115" s="22">
        <f t="shared" si="107"/>
        <v>3.669434796176543E-12</v>
      </c>
      <c r="R115" s="62">
        <f t="shared" si="55"/>
        <v>293.33333333333701</v>
      </c>
      <c r="S115" s="62">
        <f ca="1">AVERAGE(OFFSET($R$3,0,0,'Données projet'!$E$9+1,1))-AVERAGE(OFFSET($H$3,0,0,'Données projet'!$E$9+1,1))</f>
        <v>234.60993819620847</v>
      </c>
      <c r="T115" s="62">
        <f t="shared" si="88"/>
        <v>346.26896655159095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46.682692752339314</v>
      </c>
      <c r="AA115" s="23">
        <f>EXP(-LN(2)/25)*AA114+(1-EXP(-LN(2)/25))/(LN(2)/25)*Calculateur!V115*Calculateur!X115*VLOOKUP('Données projet'!$B$9,Paramètres!$A$1:$I$89,3,0)*0.475*44/12</f>
        <v>4.7359256881419025</v>
      </c>
      <c r="AB115" s="23">
        <f>EXP(-LN(2)/2)*AB114+(1-EXP(-LN(2)/2))/(LN(2)/2)*V115*Y115*VLOOKUP('Données projet'!$B$9,Paramètres!$A$1:$I$89,3,0)*0.475*44/12</f>
        <v>2.5325625389912474E-9</v>
      </c>
      <c r="AC115" s="24">
        <f t="shared" si="57"/>
        <v>51.418618443013777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1.3596945791505279E-13</v>
      </c>
      <c r="P116" s="14">
        <f t="shared" si="87"/>
        <v>1.9708830566360721E-12</v>
      </c>
      <c r="Q116" s="22">
        <f t="shared" si="107"/>
        <v>3.669434796176543E-12</v>
      </c>
      <c r="R116" s="62">
        <f t="shared" si="55"/>
        <v>293.33333333333701</v>
      </c>
      <c r="S116" s="62">
        <f ca="1">AVERAGE(OFFSET($R$3,0,0,'Données projet'!$E$9+1,1))-AVERAGE(OFFSET($H$3,0,0,'Données projet'!$E$9+1,1))</f>
        <v>234.60993819620847</v>
      </c>
      <c r="T116" s="62">
        <f t="shared" si="88"/>
        <v>346.26896655159095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45.767273621096983</v>
      </c>
      <c r="AA116" s="23">
        <f>EXP(-LN(2)/25)*AA115+(1-EXP(-LN(2)/25))/(LN(2)/25)*Calculateur!V116*Calculateur!X116*VLOOKUP('Données projet'!$B$9,Paramètres!$A$1:$I$89,3,0)*0.475*44/12</f>
        <v>4.6064215511481548</v>
      </c>
      <c r="AB116" s="23">
        <f>EXP(-LN(2)/2)*AB115+(1-EXP(-LN(2)/2))/(LN(2)/2)*V116*Y116*VLOOKUP('Données projet'!$B$9,Paramètres!$A$1:$I$89,3,0)*0.475*44/12</f>
        <v>1.7907921450997312E-9</v>
      </c>
      <c r="AC116" s="24">
        <f t="shared" si="57"/>
        <v>50.37369517403593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1.3596945791505279E-13</v>
      </c>
      <c r="P117" s="14">
        <f t="shared" si="87"/>
        <v>1.9708830566360721E-12</v>
      </c>
      <c r="Q117" s="22">
        <f t="shared" si="107"/>
        <v>3.669434796176543E-12</v>
      </c>
      <c r="R117" s="62">
        <f t="shared" si="55"/>
        <v>293.33333333333701</v>
      </c>
      <c r="S117" s="62">
        <f ca="1">AVERAGE(OFFSET($R$3,0,0,'Données projet'!$E$9+1,1))-AVERAGE(OFFSET($H$3,0,0,'Données projet'!$E$9+1,1))</f>
        <v>234.60993819620847</v>
      </c>
      <c r="T117" s="62">
        <f t="shared" si="88"/>
        <v>346.26896655159095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44.869805300667778</v>
      </c>
      <c r="AA117" s="23">
        <f>EXP(-LN(2)/25)*AA116+(1-EXP(-LN(2)/25))/(LN(2)/25)*Calculateur!V117*Calculateur!X117*VLOOKUP('Données projet'!$B$9,Paramètres!$A$1:$I$89,3,0)*0.475*44/12</f>
        <v>4.4804587115908276</v>
      </c>
      <c r="AB117" s="23">
        <f>EXP(-LN(2)/2)*AB116+(1-EXP(-LN(2)/2))/(LN(2)/2)*V117*Y117*VLOOKUP('Données projet'!$B$9,Paramètres!$A$1:$I$89,3,0)*0.475*44/12</f>
        <v>1.2662812694956237E-9</v>
      </c>
      <c r="AC117" s="24">
        <f t="shared" si="57"/>
        <v>49.350264013524885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1.3596945791505279E-13</v>
      </c>
      <c r="P118" s="14">
        <f t="shared" si="87"/>
        <v>1.9708830566360721E-12</v>
      </c>
      <c r="Q118" s="22">
        <f t="shared" si="107"/>
        <v>3.669434796176543E-12</v>
      </c>
      <c r="R118" s="62">
        <f t="shared" si="55"/>
        <v>293.33333333333701</v>
      </c>
      <c r="S118" s="62">
        <f ca="1">AVERAGE(OFFSET($R$3,0,0,'Données projet'!$E$9+1,1))-AVERAGE(OFFSET($H$3,0,0,'Données projet'!$E$9+1,1))</f>
        <v>234.60993819620847</v>
      </c>
      <c r="T118" s="62">
        <f t="shared" si="88"/>
        <v>346.26896655159095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43.989935786600562</v>
      </c>
      <c r="AA118" s="23">
        <f>EXP(-LN(2)/25)*AA117+(1-EXP(-LN(2)/25))/(LN(2)/25)*Calculateur!V118*Calculateur!X118*VLOOKUP('Données projet'!$B$9,Paramètres!$A$1:$I$89,3,0)*0.475*44/12</f>
        <v>4.3579403325052928</v>
      </c>
      <c r="AB118" s="23">
        <f>EXP(-LN(2)/2)*AB117+(1-EXP(-LN(2)/2))/(LN(2)/2)*V118*Y118*VLOOKUP('Données projet'!$B$9,Paramètres!$A$1:$I$89,3,0)*0.475*44/12</f>
        <v>8.9539607254986561E-10</v>
      </c>
      <c r="AC118" s="24">
        <f t="shared" si="57"/>
        <v>48.347876120001253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1.3596945791505279E-13</v>
      </c>
      <c r="P119" s="14">
        <f t="shared" si="87"/>
        <v>1.9708830566360721E-12</v>
      </c>
      <c r="Q119" s="22">
        <f t="shared" si="107"/>
        <v>3.669434796176543E-12</v>
      </c>
      <c r="R119" s="62">
        <f t="shared" si="55"/>
        <v>293.33333333333701</v>
      </c>
      <c r="S119" s="62">
        <f ca="1">AVERAGE(OFFSET($R$3,0,0,'Données projet'!$E$9+1,1))-AVERAGE(OFFSET($H$3,0,0,'Données projet'!$E$9+1,1))</f>
        <v>234.60993819620847</v>
      </c>
      <c r="T119" s="62">
        <f t="shared" si="88"/>
        <v>346.26896655159095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43.127319977036791</v>
      </c>
      <c r="AA119" s="23">
        <f>EXP(-LN(2)/25)*AA118+(1-EXP(-LN(2)/25))/(LN(2)/25)*Calculateur!V119*Calculateur!X119*VLOOKUP('Données projet'!$B$9,Paramètres!$A$1:$I$89,3,0)*0.475*44/12</f>
        <v>4.2387722249388133</v>
      </c>
      <c r="AB119" s="23">
        <f>EXP(-LN(2)/2)*AB118+(1-EXP(-LN(2)/2))/(LN(2)/2)*V119*Y119*VLOOKUP('Données projet'!$B$9,Paramètres!$A$1:$I$89,3,0)*0.475*44/12</f>
        <v>6.3314063474781185E-10</v>
      </c>
      <c r="AC119" s="24">
        <f t="shared" si="57"/>
        <v>47.366092202608748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1.3596945791505279E-13</v>
      </c>
      <c r="P120" s="14">
        <f t="shared" si="87"/>
        <v>1.9708830566360721E-12</v>
      </c>
      <c r="Q120" s="22">
        <f t="shared" si="107"/>
        <v>3.669434796176543E-12</v>
      </c>
      <c r="R120" s="62">
        <f t="shared" si="55"/>
        <v>293.33333333333701</v>
      </c>
      <c r="S120" s="62">
        <f ca="1">AVERAGE(OFFSET($R$3,0,0,'Données projet'!$E$9+1,1))-AVERAGE(OFFSET($H$3,0,0,'Données projet'!$E$9+1,1))</f>
        <v>234.60993819620847</v>
      </c>
      <c r="T120" s="62">
        <f t="shared" si="88"/>
        <v>346.26896655159095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42.281619537354878</v>
      </c>
      <c r="AA120" s="23">
        <f>EXP(-LN(2)/25)*AA119+(1-EXP(-LN(2)/25))/(LN(2)/25)*Calculateur!V120*Calculateur!X120*VLOOKUP('Données projet'!$B$9,Paramètres!$A$1:$I$89,3,0)*0.475*44/12</f>
        <v>4.1228627755405176</v>
      </c>
      <c r="AB120" s="23">
        <f>EXP(-LN(2)/2)*AB119+(1-EXP(-LN(2)/2))/(LN(2)/2)*V120*Y120*VLOOKUP('Données projet'!$B$9,Paramètres!$A$1:$I$89,3,0)*0.475*44/12</f>
        <v>4.476980362749328E-10</v>
      </c>
      <c r="AC120" s="24">
        <f t="shared" si="57"/>
        <v>46.404482313343095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1.3596945791505279E-13</v>
      </c>
      <c r="P121" s="14">
        <f t="shared" si="87"/>
        <v>1.9708830566360721E-12</v>
      </c>
      <c r="Q121" s="22">
        <f t="shared" si="107"/>
        <v>3.669434796176543E-12</v>
      </c>
      <c r="R121" s="62">
        <f t="shared" si="55"/>
        <v>293.33333333333701</v>
      </c>
      <c r="S121" s="62">
        <f ca="1">AVERAGE(OFFSET($R$3,0,0,'Données projet'!$E$9+1,1))-AVERAGE(OFFSET($H$3,0,0,'Données projet'!$E$9+1,1))</f>
        <v>234.60993819620847</v>
      </c>
      <c r="T121" s="62">
        <f t="shared" si="88"/>
        <v>346.26896655159095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41.452502767468793</v>
      </c>
      <c r="AA121" s="23">
        <f>EXP(-LN(2)/25)*AA120+(1-EXP(-LN(2)/25))/(LN(2)/25)*Calculateur!V121*Calculateur!X121*VLOOKUP('Données projet'!$B$9,Paramètres!$A$1:$I$89,3,0)*0.475*44/12</f>
        <v>4.0101228761314314</v>
      </c>
      <c r="AB121" s="23">
        <f>EXP(-LN(2)/2)*AB120+(1-EXP(-LN(2)/2))/(LN(2)/2)*V121*Y121*VLOOKUP('Données projet'!$B$9,Paramètres!$A$1:$I$89,3,0)*0.475*44/12</f>
        <v>3.1657031737390592E-10</v>
      </c>
      <c r="AC121" s="24">
        <f t="shared" si="57"/>
        <v>45.462625643916795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1.3596945791505279E-13</v>
      </c>
      <c r="P122" s="14">
        <f t="shared" si="87"/>
        <v>1.9708830566360721E-12</v>
      </c>
      <c r="Q122" s="22">
        <f t="shared" si="107"/>
        <v>3.669434796176543E-12</v>
      </c>
      <c r="R122" s="62">
        <f t="shared" si="55"/>
        <v>293.33333333333701</v>
      </c>
      <c r="S122" s="62">
        <f ca="1">AVERAGE(OFFSET($R$3,0,0,'Données projet'!$E$9+1,1))-AVERAGE(OFFSET($H$3,0,0,'Données projet'!$E$9+1,1))</f>
        <v>234.60993819620847</v>
      </c>
      <c r="T122" s="62">
        <f t="shared" si="88"/>
        <v>346.26896655159095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40.639644471728879</v>
      </c>
      <c r="AA122" s="23">
        <f>EXP(-LN(2)/25)*AA121+(1-EXP(-LN(2)/25))/(LN(2)/25)*Calculateur!V122*Calculateur!X122*VLOOKUP('Données projet'!$B$9,Paramètres!$A$1:$I$89,3,0)*0.475*44/12</f>
        <v>3.9004658552004208</v>
      </c>
      <c r="AB122" s="23">
        <f>EXP(-LN(2)/2)*AB121+(1-EXP(-LN(2)/2))/(LN(2)/2)*V122*Y122*VLOOKUP('Données projet'!$B$9,Paramètres!$A$1:$I$89,3,0)*0.475*44/12</f>
        <v>2.238490181374664E-10</v>
      </c>
      <c r="AC122" s="24">
        <f t="shared" si="57"/>
        <v>44.540110327153151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1.3596945791505279E-13</v>
      </c>
      <c r="P123" s="14">
        <f t="shared" si="87"/>
        <v>1.9708830566360721E-12</v>
      </c>
      <c r="Q123" s="22">
        <f t="shared" si="107"/>
        <v>3.669434796176543E-12</v>
      </c>
      <c r="R123" s="62">
        <f t="shared" si="55"/>
        <v>293.33333333333701</v>
      </c>
      <c r="S123" s="62">
        <f ca="1">AVERAGE(OFFSET($R$3,0,0,'Données projet'!$E$9+1,1))-AVERAGE(OFFSET($H$3,0,0,'Données projet'!$E$9+1,1))</f>
        <v>234.60993819620847</v>
      </c>
      <c r="T123" s="62">
        <f t="shared" si="88"/>
        <v>346.26896655159095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39.842725831373819</v>
      </c>
      <c r="AA123" s="23">
        <f>EXP(-LN(2)/25)*AA122+(1-EXP(-LN(2)/25))/(LN(2)/25)*Calculateur!V123*Calculateur!X123*VLOOKUP('Données projet'!$B$9,Paramètres!$A$1:$I$89,3,0)*0.475*44/12</f>
        <v>3.7938074112733804</v>
      </c>
      <c r="AB123" s="23">
        <f>EXP(-LN(2)/2)*AB122+(1-EXP(-LN(2)/2))/(LN(2)/2)*V123*Y123*VLOOKUP('Données projet'!$B$9,Paramètres!$A$1:$I$89,3,0)*0.475*44/12</f>
        <v>1.5828515868695296E-10</v>
      </c>
      <c r="AC123" s="24">
        <f t="shared" si="57"/>
        <v>43.636533242805484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1.3596945791505279E-13</v>
      </c>
      <c r="P124" s="14">
        <f t="shared" si="87"/>
        <v>1.9708830566360721E-12</v>
      </c>
      <c r="Q124" s="22">
        <f t="shared" si="107"/>
        <v>3.669434796176543E-12</v>
      </c>
      <c r="R124" s="62">
        <f t="shared" si="55"/>
        <v>293.33333333333701</v>
      </c>
      <c r="S124" s="62">
        <f ca="1">AVERAGE(OFFSET($R$3,0,0,'Données projet'!$E$9+1,1))-AVERAGE(OFFSET($H$3,0,0,'Données projet'!$E$9+1,1))</f>
        <v>234.60993819620847</v>
      </c>
      <c r="T124" s="62">
        <f t="shared" si="88"/>
        <v>346.26896655159095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39.061434279483748</v>
      </c>
      <c r="AA124" s="23">
        <f>EXP(-LN(2)/25)*AA123+(1-EXP(-LN(2)/25))/(LN(2)/25)*Calculateur!V124*Calculateur!X124*VLOOKUP('Données projet'!$B$9,Paramètres!$A$1:$I$89,3,0)*0.475*44/12</f>
        <v>3.6900655481044491</v>
      </c>
      <c r="AB124" s="23">
        <f>EXP(-LN(2)/2)*AB123+(1-EXP(-LN(2)/2))/(LN(2)/2)*V124*Y124*VLOOKUP('Données projet'!$B$9,Paramètres!$A$1:$I$89,3,0)*0.475*44/12</f>
        <v>1.119245090687332E-10</v>
      </c>
      <c r="AC124" s="24">
        <f t="shared" si="57"/>
        <v>42.751499827700123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1.3596945791505279E-13</v>
      </c>
      <c r="P125" s="14">
        <f t="shared" si="87"/>
        <v>1.9708830566360721E-12</v>
      </c>
      <c r="Q125" s="22">
        <f t="shared" si="107"/>
        <v>3.669434796176543E-12</v>
      </c>
      <c r="R125" s="62">
        <f t="shared" si="55"/>
        <v>293.33333333333701</v>
      </c>
      <c r="S125" s="62">
        <f ca="1">AVERAGE(OFFSET($R$3,0,0,'Données projet'!$E$9+1,1))-AVERAGE(OFFSET($H$3,0,0,'Données projet'!$E$9+1,1))</f>
        <v>234.60993819620847</v>
      </c>
      <c r="T125" s="62">
        <f t="shared" si="88"/>
        <v>346.26896655159095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38.295463378385449</v>
      </c>
      <c r="AA125" s="23">
        <f>EXP(-LN(2)/25)*AA124+(1-EXP(-LN(2)/25))/(LN(2)/25)*Calculateur!V125*Calculateur!X125*VLOOKUP('Données projet'!$B$9,Paramètres!$A$1:$I$89,3,0)*0.475*44/12</f>
        <v>3.5891605116394194</v>
      </c>
      <c r="AB125" s="23">
        <f>EXP(-LN(2)/2)*AB124+(1-EXP(-LN(2)/2))/(LN(2)/2)*V125*Y125*VLOOKUP('Données projet'!$B$9,Paramètres!$A$1:$I$89,3,0)*0.475*44/12</f>
        <v>7.9142579343476481E-11</v>
      </c>
      <c r="AC125" s="24">
        <f t="shared" si="57"/>
        <v>41.88462389010401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1.3596945791505279E-13</v>
      </c>
      <c r="P126" s="14">
        <f t="shared" si="87"/>
        <v>1.9708830566360721E-12</v>
      </c>
      <c r="Q126" s="22">
        <f t="shared" si="107"/>
        <v>3.669434796176543E-12</v>
      </c>
      <c r="R126" s="62">
        <f t="shared" si="55"/>
        <v>293.33333333333701</v>
      </c>
      <c r="S126" s="62">
        <f ca="1">AVERAGE(OFFSET($R$3,0,0,'Données projet'!$E$9+1,1))-AVERAGE(OFFSET($H$3,0,0,'Données projet'!$E$9+1,1))</f>
        <v>234.60993819620847</v>
      </c>
      <c r="T126" s="62">
        <f t="shared" si="88"/>
        <v>346.26896655159095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37.544512699461571</v>
      </c>
      <c r="AA126" s="23">
        <f>EXP(-LN(2)/25)*AA125+(1-EXP(-LN(2)/25))/(LN(2)/25)*Calculateur!V126*Calculateur!X126*VLOOKUP('Données projet'!$B$9,Paramètres!$A$1:$I$89,3,0)*0.475*44/12</f>
        <v>3.4910147287028912</v>
      </c>
      <c r="AB126" s="23">
        <f>EXP(-LN(2)/2)*AB125+(1-EXP(-LN(2)/2))/(LN(2)/2)*V126*Y126*VLOOKUP('Données projet'!$B$9,Paramètres!$A$1:$I$89,3,0)*0.475*44/12</f>
        <v>5.5962254534366601E-11</v>
      </c>
      <c r="AC126" s="24">
        <f t="shared" si="57"/>
        <v>41.035527428220426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1.3596945791505279E-13</v>
      </c>
      <c r="P127" s="14">
        <f t="shared" si="87"/>
        <v>1.9708830566360721E-12</v>
      </c>
      <c r="Q127" s="22">
        <f t="shared" si="107"/>
        <v>3.669434796176543E-12</v>
      </c>
      <c r="R127" s="62">
        <f t="shared" si="55"/>
        <v>293.33333333333701</v>
      </c>
      <c r="S127" s="62">
        <f ca="1">AVERAGE(OFFSET($R$3,0,0,'Données projet'!$E$9+1,1))-AVERAGE(OFFSET($H$3,0,0,'Données projet'!$E$9+1,1))</f>
        <v>234.60993819620847</v>
      </c>
      <c r="T127" s="62">
        <f t="shared" si="88"/>
        <v>346.26896655159095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36.808287705316701</v>
      </c>
      <c r="AA127" s="23">
        <f>EXP(-LN(2)/25)*AA126+(1-EXP(-LN(2)/25))/(LN(2)/25)*Calculateur!V127*Calculateur!X127*VLOOKUP('Données projet'!$B$9,Paramètres!$A$1:$I$89,3,0)*0.475*44/12</f>
        <v>3.3955527473620251</v>
      </c>
      <c r="AB127" s="23">
        <f>EXP(-LN(2)/2)*AB126+(1-EXP(-LN(2)/2))/(LN(2)/2)*V127*Y127*VLOOKUP('Données projet'!$B$9,Paramètres!$A$1:$I$89,3,0)*0.475*44/12</f>
        <v>3.957128967173824E-11</v>
      </c>
      <c r="AC127" s="24">
        <f t="shared" si="57"/>
        <v>40.203840452718296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1.3596945791505279E-13</v>
      </c>
      <c r="P128" s="14">
        <f t="shared" si="87"/>
        <v>1.9708830566360721E-12</v>
      </c>
      <c r="Q128" s="22">
        <f t="shared" si="107"/>
        <v>3.669434796176543E-12</v>
      </c>
      <c r="R128" s="62">
        <f t="shared" si="55"/>
        <v>293.33333333333701</v>
      </c>
      <c r="S128" s="62">
        <f ca="1">AVERAGE(OFFSET($R$3,0,0,'Données projet'!$E$9+1,1))-AVERAGE(OFFSET($H$3,0,0,'Données projet'!$E$9+1,1))</f>
        <v>234.60993819620847</v>
      </c>
      <c r="T128" s="62">
        <f t="shared" si="88"/>
        <v>346.26896655159095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36.086499634254103</v>
      </c>
      <c r="AA128" s="23">
        <f>EXP(-LN(2)/25)*AA127+(1-EXP(-LN(2)/25))/(LN(2)/25)*Calculateur!V128*Calculateur!X128*VLOOKUP('Données projet'!$B$9,Paramètres!$A$1:$I$89,3,0)*0.475*44/12</f>
        <v>3.3027011789210521</v>
      </c>
      <c r="AB128" s="23">
        <f>EXP(-LN(2)/2)*AB127+(1-EXP(-LN(2)/2))/(LN(2)/2)*V128*Y128*VLOOKUP('Données projet'!$B$9,Paramètres!$A$1:$I$89,3,0)*0.475*44/12</f>
        <v>2.79811272671833E-11</v>
      </c>
      <c r="AC128" s="24">
        <f t="shared" si="57"/>
        <v>39.389200813203139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1.3596945791505279E-13</v>
      </c>
      <c r="P129" s="14">
        <f t="shared" si="87"/>
        <v>1.9708830566360721E-12</v>
      </c>
      <c r="Q129" s="22">
        <f t="shared" si="107"/>
        <v>3.669434796176543E-12</v>
      </c>
      <c r="R129" s="62">
        <f t="shared" si="55"/>
        <v>293.33333333333701</v>
      </c>
      <c r="S129" s="62">
        <f ca="1">AVERAGE(OFFSET($R$3,0,0,'Données projet'!$E$9+1,1))-AVERAGE(OFFSET($H$3,0,0,'Données projet'!$E$9+1,1))</f>
        <v>234.60993819620847</v>
      </c>
      <c r="T129" s="62">
        <f t="shared" si="88"/>
        <v>346.26896655159095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35.37886538701779</v>
      </c>
      <c r="AA129" s="23">
        <f>EXP(-LN(2)/25)*AA128+(1-EXP(-LN(2)/25))/(LN(2)/25)*Calculateur!V129*Calculateur!X129*VLOOKUP('Données projet'!$B$9,Paramètres!$A$1:$I$89,3,0)*0.475*44/12</f>
        <v>3.2123886415019491</v>
      </c>
      <c r="AB129" s="23">
        <f>EXP(-LN(2)/2)*AB128+(1-EXP(-LN(2)/2))/(LN(2)/2)*V129*Y129*VLOOKUP('Données projet'!$B$9,Paramètres!$A$1:$I$89,3,0)*0.475*44/12</f>
        <v>1.978564483586912E-11</v>
      </c>
      <c r="AC129" s="24">
        <f t="shared" si="57"/>
        <v>38.591254028539531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1.3596945791505279E-13</v>
      </c>
      <c r="P130" s="14">
        <f t="shared" si="87"/>
        <v>1.9708830566360721E-12</v>
      </c>
      <c r="Q130" s="22">
        <f t="shared" si="107"/>
        <v>3.669434796176543E-12</v>
      </c>
      <c r="R130" s="62">
        <f t="shared" si="55"/>
        <v>293.33333333333701</v>
      </c>
      <c r="S130" s="62">
        <f ca="1">AVERAGE(OFFSET($R$3,0,0,'Données projet'!$E$9+1,1))-AVERAGE(OFFSET($H$3,0,0,'Données projet'!$E$9+1,1))</f>
        <v>234.60993819620847</v>
      </c>
      <c r="T130" s="62">
        <f t="shared" si="88"/>
        <v>346.26896655159095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34.68510741575551</v>
      </c>
      <c r="AA130" s="23">
        <f>EXP(-LN(2)/25)*AA129+(1-EXP(-LN(2)/25))/(LN(2)/25)*Calculateur!V130*Calculateur!X130*VLOOKUP('Données projet'!$B$9,Paramètres!$A$1:$I$89,3,0)*0.475*44/12</f>
        <v>3.1245457051679018</v>
      </c>
      <c r="AB130" s="23">
        <f>EXP(-LN(2)/2)*AB129+(1-EXP(-LN(2)/2))/(LN(2)/2)*V130*Y130*VLOOKUP('Données projet'!$B$9,Paramètres!$A$1:$I$89,3,0)*0.475*44/12</f>
        <v>1.399056363359165E-11</v>
      </c>
      <c r="AC130" s="24">
        <f t="shared" si="57"/>
        <v>37.809653120937405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1.3596945791505279E-13</v>
      </c>
      <c r="P131" s="14">
        <f t="shared" si="87"/>
        <v>1.9708830566360721E-12</v>
      </c>
      <c r="Q131" s="22">
        <f t="shared" ref="Q131:Q153" si="108">(O131+P131)*0.475*44/12</f>
        <v>3.669434796176543E-12</v>
      </c>
      <c r="R131" s="62">
        <f t="shared" ref="R131:R194" si="109">Q131+(I131+J131)*44/12</f>
        <v>293.33333333333701</v>
      </c>
      <c r="S131" s="62">
        <f ca="1">AVERAGE(OFFSET($R$3,0,0,'Données projet'!$E$9+1,1))-AVERAGE(OFFSET($H$3,0,0,'Données projet'!$E$9+1,1))</f>
        <v>234.60993819620847</v>
      </c>
      <c r="T131" s="62">
        <f t="shared" si="88"/>
        <v>346.26896655159095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34.004953615159103</v>
      </c>
      <c r="AA131" s="23">
        <f>EXP(-LN(2)/25)*AA130+(1-EXP(-LN(2)/25))/(LN(2)/25)*Calculateur!V131*Calculateur!X131*VLOOKUP('Données projet'!$B$9,Paramètres!$A$1:$I$89,3,0)*0.475*44/12</f>
        <v>3.039104838547368</v>
      </c>
      <c r="AB131" s="23">
        <f>EXP(-LN(2)/2)*AB130+(1-EXP(-LN(2)/2))/(LN(2)/2)*V131*Y131*VLOOKUP('Données projet'!$B$9,Paramètres!$A$1:$I$89,3,0)*0.475*44/12</f>
        <v>9.8928224179345601E-12</v>
      </c>
      <c r="AC131" s="24">
        <f t="shared" si="57"/>
        <v>37.04405845371636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1.3596945791505279E-13</v>
      </c>
      <c r="P132" s="14">
        <f t="shared" si="87"/>
        <v>1.9708830566360721E-12</v>
      </c>
      <c r="Q132" s="22">
        <f t="shared" si="108"/>
        <v>3.669434796176543E-12</v>
      </c>
      <c r="R132" s="62">
        <f t="shared" si="109"/>
        <v>293.33333333333701</v>
      </c>
      <c r="S132" s="62">
        <f ca="1">AVERAGE(OFFSET($R$3,0,0,'Données projet'!$E$9+1,1))-AVERAGE(OFFSET($H$3,0,0,'Données projet'!$E$9+1,1))</f>
        <v>234.60993819620847</v>
      </c>
      <c r="T132" s="62">
        <f t="shared" si="88"/>
        <v>346.26896655159095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33.338137215739536</v>
      </c>
      <c r="AA132" s="23">
        <f>EXP(-LN(2)/25)*AA131+(1-EXP(-LN(2)/25))/(LN(2)/25)*Calculateur!V132*Calculateur!X132*VLOOKUP('Données projet'!$B$9,Paramètres!$A$1:$I$89,3,0)*0.475*44/12</f>
        <v>2.9560003569177127</v>
      </c>
      <c r="AB132" s="23">
        <f>EXP(-LN(2)/2)*AB131+(1-EXP(-LN(2)/2))/(LN(2)/2)*V132*Y132*VLOOKUP('Données projet'!$B$9,Paramètres!$A$1:$I$89,3,0)*0.475*44/12</f>
        <v>6.9952818167958251E-12</v>
      </c>
      <c r="AC132" s="24">
        <f t="shared" ref="AC132:AC153" si="111">SUM(Z132:AB132)</f>
        <v>36.294137572664241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1.3596945791505279E-13</v>
      </c>
      <c r="P133" s="14">
        <f t="shared" ref="P133:P196" si="141">EXP(-1.0587+0.8836*LN(O133)+0.284)</f>
        <v>1.9708830566360721E-12</v>
      </c>
      <c r="Q133" s="22">
        <f t="shared" si="108"/>
        <v>3.669434796176543E-12</v>
      </c>
      <c r="R133" s="62">
        <f t="shared" si="109"/>
        <v>293.33333333333701</v>
      </c>
      <c r="S133" s="62">
        <f ca="1">AVERAGE(OFFSET($R$3,0,0,'Données projet'!$E$9+1,1))-AVERAGE(OFFSET($H$3,0,0,'Données projet'!$E$9+1,1))</f>
        <v>234.60993819620847</v>
      </c>
      <c r="T133" s="62">
        <f t="shared" ref="T133:T196" si="142">$T$3</f>
        <v>346.26896655159095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32.684396679194741</v>
      </c>
      <c r="AA133" s="23">
        <f>EXP(-LN(2)/25)*AA132+(1-EXP(-LN(2)/25))/(LN(2)/25)*Calculateur!V133*Calculateur!X133*VLOOKUP('Données projet'!$B$9,Paramètres!$A$1:$I$89,3,0)*0.475*44/12</f>
        <v>2.875168371708495</v>
      </c>
      <c r="AB133" s="23">
        <f>EXP(-LN(2)/2)*AB132+(1-EXP(-LN(2)/2))/(LN(2)/2)*V133*Y133*VLOOKUP('Données projet'!$B$9,Paramètres!$A$1:$I$89,3,0)*0.475*44/12</f>
        <v>4.94641120896728E-12</v>
      </c>
      <c r="AC133" s="24">
        <f t="shared" si="111"/>
        <v>35.559565050908184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1.3596945791505279E-13</v>
      </c>
      <c r="P134" s="14">
        <f t="shared" si="141"/>
        <v>1.9708830566360721E-12</v>
      </c>
      <c r="Q134" s="22">
        <f t="shared" si="108"/>
        <v>3.669434796176543E-12</v>
      </c>
      <c r="R134" s="62">
        <f t="shared" si="109"/>
        <v>293.33333333333701</v>
      </c>
      <c r="S134" s="62">
        <f ca="1">AVERAGE(OFFSET($R$3,0,0,'Données projet'!$E$9+1,1))-AVERAGE(OFFSET($H$3,0,0,'Données projet'!$E$9+1,1))</f>
        <v>234.60993819620847</v>
      </c>
      <c r="T134" s="62">
        <f t="shared" si="142"/>
        <v>346.26896655159095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32.043475595829236</v>
      </c>
      <c r="AA134" s="23">
        <f>EXP(-LN(2)/25)*AA133+(1-EXP(-LN(2)/25))/(LN(2)/25)*Calculateur!V134*Calculateur!X134*VLOOKUP('Données projet'!$B$9,Paramètres!$A$1:$I$89,3,0)*0.475*44/12</f>
        <v>2.7965467413855927</v>
      </c>
      <c r="AB134" s="23">
        <f>EXP(-LN(2)/2)*AB133+(1-EXP(-LN(2)/2))/(LN(2)/2)*V134*Y134*VLOOKUP('Données projet'!$B$9,Paramètres!$A$1:$I$89,3,0)*0.475*44/12</f>
        <v>3.4976409083979125E-12</v>
      </c>
      <c r="AC134" s="24">
        <f t="shared" si="111"/>
        <v>34.840022337218322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1.3596945791505279E-13</v>
      </c>
      <c r="P135" s="14">
        <f t="shared" si="141"/>
        <v>1.9708830566360721E-12</v>
      </c>
      <c r="Q135" s="22">
        <f t="shared" si="108"/>
        <v>3.669434796176543E-12</v>
      </c>
      <c r="R135" s="62">
        <f t="shared" si="109"/>
        <v>293.33333333333701</v>
      </c>
      <c r="S135" s="62">
        <f ca="1">AVERAGE(OFFSET($R$3,0,0,'Données projet'!$E$9+1,1))-AVERAGE(OFFSET($H$3,0,0,'Données projet'!$E$9+1,1))</f>
        <v>234.60993819620847</v>
      </c>
      <c r="T135" s="62">
        <f t="shared" si="142"/>
        <v>346.26896655159095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31.415122583985269</v>
      </c>
      <c r="AA135" s="23">
        <f>EXP(-LN(2)/25)*AA134+(1-EXP(-LN(2)/25))/(LN(2)/25)*Calculateur!V135*Calculateur!X135*VLOOKUP('Données projet'!$B$9,Paramètres!$A$1:$I$89,3,0)*0.475*44/12</f>
        <v>2.7200750236784019</v>
      </c>
      <c r="AB135" s="23">
        <f>EXP(-LN(2)/2)*AB134+(1-EXP(-LN(2)/2))/(LN(2)/2)*V135*Y135*VLOOKUP('Données projet'!$B$9,Paramètres!$A$1:$I$89,3,0)*0.475*44/12</f>
        <v>2.47320560448364E-12</v>
      </c>
      <c r="AC135" s="24">
        <f t="shared" si="111"/>
        <v>34.135197607666143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1.3596945791505279E-13</v>
      </c>
      <c r="P136" s="14">
        <f t="shared" si="141"/>
        <v>1.9708830566360721E-12</v>
      </c>
      <c r="Q136" s="22">
        <f t="shared" si="108"/>
        <v>3.669434796176543E-12</v>
      </c>
      <c r="R136" s="62">
        <f t="shared" si="109"/>
        <v>293.33333333333701</v>
      </c>
      <c r="S136" s="62">
        <f ca="1">AVERAGE(OFFSET($R$3,0,0,'Données projet'!$E$9+1,1))-AVERAGE(OFFSET($H$3,0,0,'Données projet'!$E$9+1,1))</f>
        <v>234.60993819620847</v>
      </c>
      <c r="T136" s="62">
        <f t="shared" si="142"/>
        <v>346.26896655159095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30.79909119144607</v>
      </c>
      <c r="AA136" s="23">
        <f>EXP(-LN(2)/25)*AA135+(1-EXP(-LN(2)/25))/(LN(2)/25)*Calculateur!V136*Calculateur!X136*VLOOKUP('Données projet'!$B$9,Paramètres!$A$1:$I$89,3,0)*0.475*44/12</f>
        <v>2.6456944291133873</v>
      </c>
      <c r="AB136" s="23">
        <f>EXP(-LN(2)/2)*AB135+(1-EXP(-LN(2)/2))/(LN(2)/2)*V136*Y136*VLOOKUP('Données projet'!$B$9,Paramètres!$A$1:$I$89,3,0)*0.475*44/12</f>
        <v>1.7488204541989563E-12</v>
      </c>
      <c r="AC136" s="24">
        <f t="shared" si="111"/>
        <v>33.444785620561206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1.3596945791505279E-13</v>
      </c>
      <c r="P137" s="14">
        <f t="shared" si="141"/>
        <v>1.9708830566360721E-12</v>
      </c>
      <c r="Q137" s="22">
        <f t="shared" si="108"/>
        <v>3.669434796176543E-12</v>
      </c>
      <c r="R137" s="62">
        <f t="shared" si="109"/>
        <v>293.33333333333701</v>
      </c>
      <c r="S137" s="62">
        <f ca="1">AVERAGE(OFFSET($R$3,0,0,'Données projet'!$E$9+1,1))-AVERAGE(OFFSET($H$3,0,0,'Données projet'!$E$9+1,1))</f>
        <v>234.60993819620847</v>
      </c>
      <c r="T137" s="62">
        <f t="shared" si="142"/>
        <v>346.26896655159095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30.195139798772516</v>
      </c>
      <c r="AA137" s="23">
        <f>EXP(-LN(2)/25)*AA136+(1-EXP(-LN(2)/25))/(LN(2)/25)*Calculateur!V137*Calculateur!X137*VLOOKUP('Données projet'!$B$9,Paramètres!$A$1:$I$89,3,0)*0.475*44/12</f>
        <v>2.5733477758182586</v>
      </c>
      <c r="AB137" s="23">
        <f>EXP(-LN(2)/2)*AB136+(1-EXP(-LN(2)/2))/(LN(2)/2)*V137*Y137*VLOOKUP('Données projet'!$B$9,Paramètres!$A$1:$I$89,3,0)*0.475*44/12</f>
        <v>1.23660280224182E-12</v>
      </c>
      <c r="AC137" s="24">
        <f t="shared" si="111"/>
        <v>32.768487574592008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1.3596945791505279E-13</v>
      </c>
      <c r="P138" s="14">
        <f t="shared" si="141"/>
        <v>1.9708830566360721E-12</v>
      </c>
      <c r="Q138" s="22">
        <f t="shared" si="108"/>
        <v>3.669434796176543E-12</v>
      </c>
      <c r="R138" s="62">
        <f t="shared" si="109"/>
        <v>293.33333333333701</v>
      </c>
      <c r="S138" s="62">
        <f ca="1">AVERAGE(OFFSET($R$3,0,0,'Données projet'!$E$9+1,1))-AVERAGE(OFFSET($H$3,0,0,'Données projet'!$E$9+1,1))</f>
        <v>234.60993819620847</v>
      </c>
      <c r="T138" s="62">
        <f t="shared" si="142"/>
        <v>346.26896655159095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29.603031524535314</v>
      </c>
      <c r="AA138" s="23">
        <f>EXP(-LN(2)/25)*AA137+(1-EXP(-LN(2)/25))/(LN(2)/25)*Calculateur!V138*Calculateur!X138*VLOOKUP('Données projet'!$B$9,Paramètres!$A$1:$I$89,3,0)*0.475*44/12</f>
        <v>2.5029794455620302</v>
      </c>
      <c r="AB138" s="23">
        <f>EXP(-LN(2)/2)*AB137+(1-EXP(-LN(2)/2))/(LN(2)/2)*V138*Y138*VLOOKUP('Données projet'!$B$9,Paramètres!$A$1:$I$89,3,0)*0.475*44/12</f>
        <v>8.7441022709947813E-13</v>
      </c>
      <c r="AC138" s="24">
        <f t="shared" si="111"/>
        <v>32.106010970098218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1.3596945791505279E-13</v>
      </c>
      <c r="P139" s="14">
        <f t="shared" si="141"/>
        <v>1.9708830566360721E-12</v>
      </c>
      <c r="Q139" s="22">
        <f t="shared" si="108"/>
        <v>3.669434796176543E-12</v>
      </c>
      <c r="R139" s="62">
        <f t="shared" si="109"/>
        <v>293.33333333333701</v>
      </c>
      <c r="S139" s="62">
        <f ca="1">AVERAGE(OFFSET($R$3,0,0,'Données projet'!$E$9+1,1))-AVERAGE(OFFSET($H$3,0,0,'Données projet'!$E$9+1,1))</f>
        <v>234.60993819620847</v>
      </c>
      <c r="T139" s="62">
        <f t="shared" si="142"/>
        <v>346.26896655159095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29.022534132405518</v>
      </c>
      <c r="AA139" s="23">
        <f>EXP(-LN(2)/25)*AA138+(1-EXP(-LN(2)/25))/(LN(2)/25)*Calculateur!V139*Calculateur!X139*VLOOKUP('Données projet'!$B$9,Paramètres!$A$1:$I$89,3,0)*0.475*44/12</f>
        <v>2.4345353409971682</v>
      </c>
      <c r="AB139" s="23">
        <f>EXP(-LN(2)/2)*AB138+(1-EXP(-LN(2)/2))/(LN(2)/2)*V139*Y139*VLOOKUP('Données projet'!$B$9,Paramètres!$A$1:$I$89,3,0)*0.475*44/12</f>
        <v>6.1830140112091001E-13</v>
      </c>
      <c r="AC139" s="24">
        <f t="shared" si="111"/>
        <v>31.457069473403305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1.3596945791505279E-13</v>
      </c>
      <c r="P140" s="14">
        <f t="shared" si="141"/>
        <v>1.9708830566360721E-12</v>
      </c>
      <c r="Q140" s="22">
        <f t="shared" si="108"/>
        <v>3.669434796176543E-12</v>
      </c>
      <c r="R140" s="62">
        <f t="shared" si="109"/>
        <v>293.33333333333701</v>
      </c>
      <c r="S140" s="62">
        <f ca="1">AVERAGE(OFFSET($R$3,0,0,'Données projet'!$E$9+1,1))-AVERAGE(OFFSET($H$3,0,0,'Données projet'!$E$9+1,1))</f>
        <v>234.60993819620847</v>
      </c>
      <c r="T140" s="62">
        <f t="shared" si="142"/>
        <v>346.26896655159095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28.45341994006694</v>
      </c>
      <c r="AA140" s="23">
        <f>EXP(-LN(2)/25)*AA139+(1-EXP(-LN(2)/25))/(LN(2)/25)*Calculateur!V140*Calculateur!X140*VLOOKUP('Données projet'!$B$9,Paramètres!$A$1:$I$89,3,0)*0.475*44/12</f>
        <v>2.3679628440709513</v>
      </c>
      <c r="AB140" s="23">
        <f>EXP(-LN(2)/2)*AB139+(1-EXP(-LN(2)/2))/(LN(2)/2)*V140*Y140*VLOOKUP('Données projet'!$B$9,Paramètres!$A$1:$I$89,3,0)*0.475*44/12</f>
        <v>4.3720511354973907E-13</v>
      </c>
      <c r="AC140" s="24">
        <f t="shared" si="111"/>
        <v>30.821382784138329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1.3596945791505279E-13</v>
      </c>
      <c r="P141" s="14">
        <f t="shared" si="141"/>
        <v>1.9708830566360721E-12</v>
      </c>
      <c r="Q141" s="22">
        <f t="shared" si="108"/>
        <v>3.669434796176543E-12</v>
      </c>
      <c r="R141" s="62">
        <f t="shared" si="109"/>
        <v>293.33333333333701</v>
      </c>
      <c r="S141" s="62">
        <f ca="1">AVERAGE(OFFSET($R$3,0,0,'Données projet'!$E$9+1,1))-AVERAGE(OFFSET($H$3,0,0,'Données projet'!$E$9+1,1))</f>
        <v>234.60993819620847</v>
      </c>
      <c r="T141" s="62">
        <f t="shared" si="142"/>
        <v>346.26896655159095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27.89546572991474</v>
      </c>
      <c r="AA141" s="23">
        <f>EXP(-LN(2)/25)*AA140+(1-EXP(-LN(2)/25))/(LN(2)/25)*Calculateur!V141*Calculateur!X141*VLOOKUP('Données projet'!$B$9,Paramètres!$A$1:$I$89,3,0)*0.475*44/12</f>
        <v>2.3032107755740774</v>
      </c>
      <c r="AB141" s="23">
        <f>EXP(-LN(2)/2)*AB140+(1-EXP(-LN(2)/2))/(LN(2)/2)*V141*Y141*VLOOKUP('Données projet'!$B$9,Paramètres!$A$1:$I$89,3,0)*0.475*44/12</f>
        <v>3.09150700560455E-13</v>
      </c>
      <c r="AC141" s="24">
        <f t="shared" si="111"/>
        <v>30.198676505489125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1.3596945791505279E-13</v>
      </c>
      <c r="P142" s="14">
        <f t="shared" si="141"/>
        <v>1.9708830566360721E-12</v>
      </c>
      <c r="Q142" s="22">
        <f t="shared" si="108"/>
        <v>3.669434796176543E-12</v>
      </c>
      <c r="R142" s="62">
        <f t="shared" si="109"/>
        <v>293.33333333333701</v>
      </c>
      <c r="S142" s="62">
        <f ca="1">AVERAGE(OFFSET($R$3,0,0,'Données projet'!$E$9+1,1))-AVERAGE(OFFSET($H$3,0,0,'Données projet'!$E$9+1,1))</f>
        <v>234.60993819620847</v>
      </c>
      <c r="T142" s="62">
        <f t="shared" si="142"/>
        <v>346.26896655159095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27.34845266150516</v>
      </c>
      <c r="AA142" s="23">
        <f>EXP(-LN(2)/25)*AA141+(1-EXP(-LN(2)/25))/(LN(2)/25)*Calculateur!V142*Calculateur!X142*VLOOKUP('Données projet'!$B$9,Paramètres!$A$1:$I$89,3,0)*0.475*44/12</f>
        <v>2.2402293557954138</v>
      </c>
      <c r="AB142" s="23">
        <f>EXP(-LN(2)/2)*AB141+(1-EXP(-LN(2)/2))/(LN(2)/2)*V142*Y142*VLOOKUP('Données projet'!$B$9,Paramètres!$A$1:$I$89,3,0)*0.475*44/12</f>
        <v>2.1860255677486953E-13</v>
      </c>
      <c r="AC142" s="24">
        <f t="shared" si="111"/>
        <v>29.588682017300794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1.3596945791505279E-13</v>
      </c>
      <c r="P143" s="14">
        <f t="shared" si="141"/>
        <v>1.9708830566360721E-12</v>
      </c>
      <c r="Q143" s="22">
        <f t="shared" si="108"/>
        <v>3.669434796176543E-12</v>
      </c>
      <c r="R143" s="62">
        <f t="shared" si="109"/>
        <v>293.33333333333701</v>
      </c>
      <c r="S143" s="62">
        <f ca="1">AVERAGE(OFFSET($R$3,0,0,'Données projet'!$E$9+1,1))-AVERAGE(OFFSET($H$3,0,0,'Données projet'!$E$9+1,1))</f>
        <v>234.60993819620847</v>
      </c>
      <c r="T143" s="62">
        <f t="shared" si="142"/>
        <v>346.26896655159095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26.812166185722063</v>
      </c>
      <c r="AA143" s="23">
        <f>EXP(-LN(2)/25)*AA142+(1-EXP(-LN(2)/25))/(LN(2)/25)*Calculateur!V143*Calculateur!X143*VLOOKUP('Données projet'!$B$9,Paramètres!$A$1:$I$89,3,0)*0.475*44/12</f>
        <v>2.1789701662526464</v>
      </c>
      <c r="AB143" s="23">
        <f>EXP(-LN(2)/2)*AB142+(1-EXP(-LN(2)/2))/(LN(2)/2)*V143*Y143*VLOOKUP('Données projet'!$B$9,Paramètres!$A$1:$I$89,3,0)*0.475*44/12</f>
        <v>1.545753502802275E-13</v>
      </c>
      <c r="AC143" s="24">
        <f t="shared" si="111"/>
        <v>28.991136351974866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1.3596945791505279E-13</v>
      </c>
      <c r="P144" s="14">
        <f t="shared" si="141"/>
        <v>1.9708830566360721E-12</v>
      </c>
      <c r="Q144" s="22">
        <f t="shared" si="108"/>
        <v>3.669434796176543E-12</v>
      </c>
      <c r="R144" s="62">
        <f t="shared" si="109"/>
        <v>293.33333333333701</v>
      </c>
      <c r="S144" s="62">
        <f ca="1">AVERAGE(OFFSET($R$3,0,0,'Données projet'!$E$9+1,1))-AVERAGE(OFFSET($H$3,0,0,'Données projet'!$E$9+1,1))</f>
        <v>234.60993819620847</v>
      </c>
      <c r="T144" s="62">
        <f t="shared" si="142"/>
        <v>346.26896655159095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26.286395960626621</v>
      </c>
      <c r="AA144" s="23">
        <f>EXP(-LN(2)/25)*AA143+(1-EXP(-LN(2)/25))/(LN(2)/25)*Calculateur!V144*Calculateur!X144*VLOOKUP('Données projet'!$B$9,Paramètres!$A$1:$I$89,3,0)*0.475*44/12</f>
        <v>2.1193861124694067</v>
      </c>
      <c r="AB144" s="23">
        <f>EXP(-LN(2)/2)*AB143+(1-EXP(-LN(2)/2))/(LN(2)/2)*V144*Y144*VLOOKUP('Données projet'!$B$9,Paramètres!$A$1:$I$89,3,0)*0.475*44/12</f>
        <v>1.0930127838743477E-13</v>
      </c>
      <c r="AC144" s="24">
        <f t="shared" si="111"/>
        <v>28.405782073096137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1.3596945791505279E-13</v>
      </c>
      <c r="P145" s="14">
        <f t="shared" si="141"/>
        <v>1.9708830566360721E-12</v>
      </c>
      <c r="Q145" s="22">
        <f t="shared" si="108"/>
        <v>3.669434796176543E-12</v>
      </c>
      <c r="R145" s="62">
        <f t="shared" si="109"/>
        <v>293.33333333333701</v>
      </c>
      <c r="S145" s="62">
        <f ca="1">AVERAGE(OFFSET($R$3,0,0,'Données projet'!$E$9+1,1))-AVERAGE(OFFSET($H$3,0,0,'Données projet'!$E$9+1,1))</f>
        <v>234.60993819620847</v>
      </c>
      <c r="T145" s="62">
        <f t="shared" si="142"/>
        <v>346.26896655159095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25.770935768957131</v>
      </c>
      <c r="AA145" s="23">
        <f>EXP(-LN(2)/25)*AA144+(1-EXP(-LN(2)/25))/(LN(2)/25)*Calculateur!V145*Calculateur!X145*VLOOKUP('Données projet'!$B$9,Paramètres!$A$1:$I$89,3,0)*0.475*44/12</f>
        <v>2.0614313877702588</v>
      </c>
      <c r="AB145" s="23">
        <f>EXP(-LN(2)/2)*AB144+(1-EXP(-LN(2)/2))/(LN(2)/2)*V145*Y145*VLOOKUP('Données projet'!$B$9,Paramètres!$A$1:$I$89,3,0)*0.475*44/12</f>
        <v>7.7287675140113751E-14</v>
      </c>
      <c r="AC145" s="24">
        <f t="shared" si="111"/>
        <v>27.832367156727468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1.3596945791505279E-13</v>
      </c>
      <c r="P146" s="14">
        <f t="shared" si="141"/>
        <v>1.9708830566360721E-12</v>
      </c>
      <c r="Q146" s="22">
        <f t="shared" si="108"/>
        <v>3.669434796176543E-12</v>
      </c>
      <c r="R146" s="62">
        <f t="shared" si="109"/>
        <v>293.33333333333701</v>
      </c>
      <c r="S146" s="62">
        <f ca="1">AVERAGE(OFFSET($R$3,0,0,'Données projet'!$E$9+1,1))-AVERAGE(OFFSET($H$3,0,0,'Données projet'!$E$9+1,1))</f>
        <v>234.60993819620847</v>
      </c>
      <c r="T146" s="62">
        <f t="shared" si="142"/>
        <v>346.26896655159095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25.265583437246605</v>
      </c>
      <c r="AA146" s="23">
        <f>EXP(-LN(2)/25)*AA145+(1-EXP(-LN(2)/25))/(LN(2)/25)*Calculateur!V146*Calculateur!X146*VLOOKUP('Données projet'!$B$9,Paramètres!$A$1:$I$89,3,0)*0.475*44/12</f>
        <v>2.0050614380657157</v>
      </c>
      <c r="AB146" s="23">
        <f>EXP(-LN(2)/2)*AB145+(1-EXP(-LN(2)/2))/(LN(2)/2)*V146*Y146*VLOOKUP('Données projet'!$B$9,Paramètres!$A$1:$I$89,3,0)*0.475*44/12</f>
        <v>5.4650639193717383E-14</v>
      </c>
      <c r="AC146" s="24">
        <f t="shared" si="111"/>
        <v>27.270644875312374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1.3596945791505279E-13</v>
      </c>
      <c r="P147" s="14">
        <f t="shared" si="141"/>
        <v>1.9708830566360721E-12</v>
      </c>
      <c r="Q147" s="22">
        <f t="shared" si="108"/>
        <v>3.669434796176543E-12</v>
      </c>
      <c r="R147" s="62">
        <f t="shared" si="109"/>
        <v>293.33333333333701</v>
      </c>
      <c r="S147" s="62">
        <f ca="1">AVERAGE(OFFSET($R$3,0,0,'Données projet'!$E$9+1,1))-AVERAGE(OFFSET($H$3,0,0,'Données projet'!$E$9+1,1))</f>
        <v>234.60993819620847</v>
      </c>
      <c r="T147" s="62">
        <f t="shared" si="142"/>
        <v>346.26896655159095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24.770140756526438</v>
      </c>
      <c r="AA147" s="23">
        <f>EXP(-LN(2)/25)*AA146+(1-EXP(-LN(2)/25))/(LN(2)/25)*Calculateur!V147*Calculateur!X147*VLOOKUP('Données projet'!$B$9,Paramètres!$A$1:$I$89,3,0)*0.475*44/12</f>
        <v>1.9502329276002104</v>
      </c>
      <c r="AB147" s="23">
        <f>EXP(-LN(2)/2)*AB146+(1-EXP(-LN(2)/2))/(LN(2)/2)*V147*Y147*VLOOKUP('Données projet'!$B$9,Paramètres!$A$1:$I$89,3,0)*0.475*44/12</f>
        <v>3.8643837570056875E-14</v>
      </c>
      <c r="AC147" s="24">
        <f t="shared" si="111"/>
        <v>26.720373684126688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1.3596945791505279E-13</v>
      </c>
      <c r="P148" s="14">
        <f t="shared" si="141"/>
        <v>1.9708830566360721E-12</v>
      </c>
      <c r="Q148" s="22">
        <f t="shared" si="108"/>
        <v>3.669434796176543E-12</v>
      </c>
      <c r="R148" s="62">
        <f t="shared" si="109"/>
        <v>293.33333333333701</v>
      </c>
      <c r="S148" s="62">
        <f ca="1">AVERAGE(OFFSET($R$3,0,0,'Données projet'!$E$9+1,1))-AVERAGE(OFFSET($H$3,0,0,'Données projet'!$E$9+1,1))</f>
        <v>234.60993819620847</v>
      </c>
      <c r="T148" s="62">
        <f t="shared" si="142"/>
        <v>346.26896655159095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24.284413404584996</v>
      </c>
      <c r="AA148" s="23">
        <f>EXP(-LN(2)/25)*AA147+(1-EXP(-LN(2)/25))/(LN(2)/25)*Calculateur!V148*Calculateur!X148*VLOOKUP('Données projet'!$B$9,Paramètres!$A$1:$I$89,3,0)*0.475*44/12</f>
        <v>1.8969037056366902</v>
      </c>
      <c r="AB148" s="23">
        <f>EXP(-LN(2)/2)*AB147+(1-EXP(-LN(2)/2))/(LN(2)/2)*V148*Y148*VLOOKUP('Données projet'!$B$9,Paramètres!$A$1:$I$89,3,0)*0.475*44/12</f>
        <v>2.7325319596858692E-14</v>
      </c>
      <c r="AC148" s="24">
        <f t="shared" si="111"/>
        <v>26.181317110221713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1.3596945791505279E-13</v>
      </c>
      <c r="P149" s="14">
        <f t="shared" si="141"/>
        <v>1.9708830566360721E-12</v>
      </c>
      <c r="Q149" s="22">
        <f t="shared" si="108"/>
        <v>3.669434796176543E-12</v>
      </c>
      <c r="R149" s="62">
        <f t="shared" si="109"/>
        <v>293.33333333333701</v>
      </c>
      <c r="S149" s="62">
        <f ca="1">AVERAGE(OFFSET($R$3,0,0,'Données projet'!$E$9+1,1))-AVERAGE(OFFSET($H$3,0,0,'Données projet'!$E$9+1,1))</f>
        <v>234.60993819620847</v>
      </c>
      <c r="T149" s="62">
        <f t="shared" si="142"/>
        <v>346.26896655159095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23.808210869750695</v>
      </c>
      <c r="AA149" s="23">
        <f>EXP(-LN(2)/25)*AA148+(1-EXP(-LN(2)/25))/(LN(2)/25)*Calculateur!V149*Calculateur!X149*VLOOKUP('Données projet'!$B$9,Paramètres!$A$1:$I$89,3,0)*0.475*44/12</f>
        <v>1.8450327740522245</v>
      </c>
      <c r="AB149" s="23">
        <f>EXP(-LN(2)/2)*AB148+(1-EXP(-LN(2)/2))/(LN(2)/2)*V149*Y149*VLOOKUP('Données projet'!$B$9,Paramètres!$A$1:$I$89,3,0)*0.475*44/12</f>
        <v>1.9321918785028438E-14</v>
      </c>
      <c r="AC149" s="24">
        <f t="shared" si="111"/>
        <v>25.653243643802938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1.3596945791505279E-13</v>
      </c>
      <c r="P150" s="14">
        <f t="shared" si="141"/>
        <v>1.9708830566360721E-12</v>
      </c>
      <c r="Q150" s="22">
        <f t="shared" si="108"/>
        <v>3.669434796176543E-12</v>
      </c>
      <c r="R150" s="62">
        <f t="shared" si="109"/>
        <v>293.33333333333701</v>
      </c>
      <c r="S150" s="62">
        <f ca="1">AVERAGE(OFFSET($R$3,0,0,'Données projet'!$E$9+1,1))-AVERAGE(OFFSET($H$3,0,0,'Données projet'!$E$9+1,1))</f>
        <v>234.60993819620847</v>
      </c>
      <c r="T150" s="62">
        <f t="shared" si="142"/>
        <v>346.26896655159095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23.341346376169628</v>
      </c>
      <c r="AA150" s="23">
        <f>EXP(-LN(2)/25)*AA149+(1-EXP(-LN(2)/25))/(LN(2)/25)*Calculateur!V150*Calculateur!X150*VLOOKUP('Données projet'!$B$9,Paramètres!$A$1:$I$89,3,0)*0.475*44/12</f>
        <v>1.7945802558197097</v>
      </c>
      <c r="AB150" s="23">
        <f>EXP(-LN(2)/2)*AB149+(1-EXP(-LN(2)/2))/(LN(2)/2)*V150*Y150*VLOOKUP('Données projet'!$B$9,Paramètres!$A$1:$I$89,3,0)*0.475*44/12</f>
        <v>1.3662659798429346E-14</v>
      </c>
      <c r="AC150" s="24">
        <f t="shared" si="111"/>
        <v>25.135926631989353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1.3596945791505279E-13</v>
      </c>
      <c r="P151" s="14">
        <f t="shared" si="141"/>
        <v>1.9708830566360721E-12</v>
      </c>
      <c r="Q151" s="22">
        <f t="shared" si="108"/>
        <v>3.669434796176543E-12</v>
      </c>
      <c r="R151" s="62">
        <f t="shared" si="109"/>
        <v>293.33333333333701</v>
      </c>
      <c r="S151" s="62">
        <f ca="1">AVERAGE(OFFSET($R$3,0,0,'Données projet'!$E$9+1,1))-AVERAGE(OFFSET($H$3,0,0,'Données projet'!$E$9+1,1))</f>
        <v>234.60993819620847</v>
      </c>
      <c r="T151" s="62">
        <f t="shared" si="142"/>
        <v>346.26896655159095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22.883636810548463</v>
      </c>
      <c r="AA151" s="23">
        <f>EXP(-LN(2)/25)*AA150+(1-EXP(-LN(2)/25))/(LN(2)/25)*Calculateur!V151*Calculateur!X151*VLOOKUP('Données projet'!$B$9,Paramètres!$A$1:$I$89,3,0)*0.475*44/12</f>
        <v>1.7455073643514456</v>
      </c>
      <c r="AB151" s="23">
        <f>EXP(-LN(2)/2)*AB150+(1-EXP(-LN(2)/2))/(LN(2)/2)*V151*Y151*VLOOKUP('Données projet'!$B$9,Paramètres!$A$1:$I$89,3,0)*0.475*44/12</f>
        <v>9.6609593925142188E-15</v>
      </c>
      <c r="AC151" s="24">
        <f t="shared" si="111"/>
        <v>24.62914417489992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1.3596945791505279E-13</v>
      </c>
      <c r="P152" s="14">
        <f t="shared" si="141"/>
        <v>1.9708830566360721E-12</v>
      </c>
      <c r="Q152" s="22">
        <f t="shared" si="108"/>
        <v>3.669434796176543E-12</v>
      </c>
      <c r="R152" s="62">
        <f t="shared" si="109"/>
        <v>293.33333333333701</v>
      </c>
      <c r="S152" s="62">
        <f ca="1">AVERAGE(OFFSET($R$3,0,0,'Données projet'!$E$9+1,1))-AVERAGE(OFFSET($H$3,0,0,'Données projet'!$E$9+1,1))</f>
        <v>234.60993819620847</v>
      </c>
      <c r="T152" s="62">
        <f t="shared" si="142"/>
        <v>346.26896655159095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22.434902650333861</v>
      </c>
      <c r="AA152" s="23">
        <f>EXP(-LN(2)/25)*AA151+(1-EXP(-LN(2)/25))/(LN(2)/25)*Calculateur!V152*Calculateur!X152*VLOOKUP('Données projet'!$B$9,Paramètres!$A$1:$I$89,3,0)*0.475*44/12</f>
        <v>1.6977763736810125</v>
      </c>
      <c r="AB152" s="23">
        <f>EXP(-LN(2)/2)*AB151+(1-EXP(-LN(2)/2))/(LN(2)/2)*V152*Y152*VLOOKUP('Données projet'!$B$9,Paramètres!$A$1:$I$89,3,0)*0.475*44/12</f>
        <v>6.8313298992146729E-15</v>
      </c>
      <c r="AC152" s="24">
        <f t="shared" si="111"/>
        <v>24.13267902401488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1.3596945791505279E-13</v>
      </c>
      <c r="P153" s="14">
        <f t="shared" si="141"/>
        <v>1.9708830566360721E-12</v>
      </c>
      <c r="Q153" s="22">
        <f t="shared" si="108"/>
        <v>3.669434796176543E-12</v>
      </c>
      <c r="R153" s="62">
        <f t="shared" si="109"/>
        <v>293.33333333333701</v>
      </c>
      <c r="S153" s="62">
        <f ca="1">AVERAGE(OFFSET($R$3,0,0,'Données projet'!$E$9+1,1))-AVERAGE(OFFSET($H$3,0,0,'Données projet'!$E$9+1,1))</f>
        <v>234.60993819620847</v>
      </c>
      <c r="T153" s="62">
        <f t="shared" si="142"/>
        <v>346.26896655159095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21.994967893300252</v>
      </c>
      <c r="AA153" s="23">
        <f>EXP(-LN(2)/25)*AA152+(1-EXP(-LN(2)/25))/(LN(2)/25)*Calculateur!V153*Calculateur!X153*VLOOKUP('Données projet'!$B$9,Paramètres!$A$1:$I$89,3,0)*0.475*44/12</f>
        <v>1.651350589460526</v>
      </c>
      <c r="AB153" s="23">
        <f>EXP(-LN(2)/2)*AB152+(1-EXP(-LN(2)/2))/(LN(2)/2)*V153*Y153*VLOOKUP('Données projet'!$B$9,Paramètres!$A$1:$I$89,3,0)*0.475*44/12</f>
        <v>4.8304796962571094E-15</v>
      </c>
      <c r="AC153" s="24">
        <f t="shared" si="111"/>
        <v>23.646318482760783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1.3596945791505279E-13</v>
      </c>
      <c r="P154" s="14">
        <f t="shared" si="141"/>
        <v>1.9708830566360721E-12</v>
      </c>
      <c r="Q154" s="22">
        <f t="shared" ref="Q154:Q203" si="162">(O154+P154)*0.475*44/12</f>
        <v>3.669434796176543E-12</v>
      </c>
      <c r="R154" s="62">
        <f t="shared" si="109"/>
        <v>293.33333333333701</v>
      </c>
      <c r="S154" s="62">
        <f ca="1">AVERAGE(OFFSET($R$3,0,0,'Données projet'!$E$9+1,1))-AVERAGE(OFFSET($H$3,0,0,'Données projet'!$E$9+1,1))</f>
        <v>234.60993819620847</v>
      </c>
      <c r="T154" s="62">
        <f t="shared" si="142"/>
        <v>346.26896655159095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21.563659988518367</v>
      </c>
      <c r="AA154" s="23">
        <f>EXP(-LN(2)/25)*AA153+(1-EXP(-LN(2)/25))/(LN(2)/25)*Calculateur!V154*Calculateur!X154*VLOOKUP('Données projet'!$B$9,Paramètres!$A$1:$I$89,3,0)*0.475*44/12</f>
        <v>1.6061943207509746</v>
      </c>
      <c r="AB154" s="23">
        <f>EXP(-LN(2)/2)*AB153+(1-EXP(-LN(2)/2))/(LN(2)/2)*V154*Y154*VLOOKUP('Données projet'!$B$9,Paramètres!$A$1:$I$89,3,0)*0.475*44/12</f>
        <v>3.4156649496073365E-15</v>
      </c>
      <c r="AC154" s="24">
        <f t="shared" ref="AC154:AC203" si="163">SUM(Z154:AB154)</f>
        <v>23.169854309269343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1.3596945791505279E-13</v>
      </c>
      <c r="P155" s="14">
        <f t="shared" si="141"/>
        <v>1.9708830566360721E-12</v>
      </c>
      <c r="Q155" s="22">
        <f t="shared" si="162"/>
        <v>3.669434796176543E-12</v>
      </c>
      <c r="R155" s="62">
        <f t="shared" si="109"/>
        <v>293.33333333333701</v>
      </c>
      <c r="S155" s="62">
        <f ca="1">AVERAGE(OFFSET($R$3,0,0,'Données projet'!$E$9+1,1))-AVERAGE(OFFSET($H$3,0,0,'Données projet'!$E$9+1,1))</f>
        <v>234.60993819620847</v>
      </c>
      <c r="T155" s="62">
        <f t="shared" si="142"/>
        <v>346.26896655159095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21.140809768677411</v>
      </c>
      <c r="AA155" s="23">
        <f>EXP(-LN(2)/25)*AA154+(1-EXP(-LN(2)/25))/(LN(2)/25)*Calculateur!V155*Calculateur!X155*VLOOKUP('Données projet'!$B$9,Paramètres!$A$1:$I$89,3,0)*0.475*44/12</f>
        <v>1.5622728525839509</v>
      </c>
      <c r="AB155" s="23">
        <f>EXP(-LN(2)/2)*AB154+(1-EXP(-LN(2)/2))/(LN(2)/2)*V155*Y155*VLOOKUP('Données projet'!$B$9,Paramètres!$A$1:$I$89,3,0)*0.475*44/12</f>
        <v>2.4152398481285547E-15</v>
      </c>
      <c r="AC155" s="24">
        <f t="shared" si="163"/>
        <v>22.703082621261366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1.3596945791505279E-13</v>
      </c>
      <c r="P156" s="14">
        <f t="shared" si="141"/>
        <v>1.9708830566360721E-12</v>
      </c>
      <c r="Q156" s="22">
        <f t="shared" si="162"/>
        <v>3.669434796176543E-12</v>
      </c>
      <c r="R156" s="62">
        <f t="shared" si="109"/>
        <v>293.33333333333701</v>
      </c>
      <c r="S156" s="62">
        <f ca="1">AVERAGE(OFFSET($R$3,0,0,'Données projet'!$E$9+1,1))-AVERAGE(OFFSET($H$3,0,0,'Données projet'!$E$9+1,1))</f>
        <v>234.60993819620847</v>
      </c>
      <c r="T156" s="62">
        <f t="shared" si="142"/>
        <v>346.26896655159095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20.726251383734368</v>
      </c>
      <c r="AA156" s="23">
        <f>EXP(-LN(2)/25)*AA155+(1-EXP(-LN(2)/25))/(LN(2)/25)*Calculateur!V156*Calculateur!X156*VLOOKUP('Données projet'!$B$9,Paramètres!$A$1:$I$89,3,0)*0.475*44/12</f>
        <v>1.519552419273684</v>
      </c>
      <c r="AB156" s="23">
        <f>EXP(-LN(2)/2)*AB155+(1-EXP(-LN(2)/2))/(LN(2)/2)*V156*Y156*VLOOKUP('Données projet'!$B$9,Paramètres!$A$1:$I$89,3,0)*0.475*44/12</f>
        <v>1.7078324748036682E-15</v>
      </c>
      <c r="AC156" s="24">
        <f t="shared" si="163"/>
        <v>22.245803803008052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1.3596945791505279E-13</v>
      </c>
      <c r="P157" s="14">
        <f t="shared" si="141"/>
        <v>1.9708830566360721E-12</v>
      </c>
      <c r="Q157" s="22">
        <f t="shared" si="162"/>
        <v>3.669434796176543E-12</v>
      </c>
      <c r="R157" s="62">
        <f t="shared" si="109"/>
        <v>293.33333333333701</v>
      </c>
      <c r="S157" s="62">
        <f ca="1">AVERAGE(OFFSET($R$3,0,0,'Données projet'!$E$9+1,1))-AVERAGE(OFFSET($H$3,0,0,'Données projet'!$E$9+1,1))</f>
        <v>234.60993819620847</v>
      </c>
      <c r="T157" s="62">
        <f t="shared" si="142"/>
        <v>346.26896655159095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20.319822235864411</v>
      </c>
      <c r="AA157" s="23">
        <f>EXP(-LN(2)/25)*AA156+(1-EXP(-LN(2)/25))/(LN(2)/25)*Calculateur!V157*Calculateur!X157*VLOOKUP('Données projet'!$B$9,Paramètres!$A$1:$I$89,3,0)*0.475*44/12</f>
        <v>1.4780001784588563</v>
      </c>
      <c r="AB157" s="23">
        <f>EXP(-LN(2)/2)*AB156+(1-EXP(-LN(2)/2))/(LN(2)/2)*V157*Y157*VLOOKUP('Données projet'!$B$9,Paramètres!$A$1:$I$89,3,0)*0.475*44/12</f>
        <v>1.2076199240642774E-15</v>
      </c>
      <c r="AC157" s="24">
        <f t="shared" si="163"/>
        <v>21.797822414323267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1.3596945791505279E-13</v>
      </c>
      <c r="P158" s="14">
        <f t="shared" si="141"/>
        <v>1.9708830566360721E-12</v>
      </c>
      <c r="Q158" s="22">
        <f t="shared" si="162"/>
        <v>3.669434796176543E-12</v>
      </c>
      <c r="R158" s="62">
        <f t="shared" si="109"/>
        <v>293.33333333333701</v>
      </c>
      <c r="S158" s="62">
        <f ca="1">AVERAGE(OFFSET($R$3,0,0,'Données projet'!$E$9+1,1))-AVERAGE(OFFSET($H$3,0,0,'Données projet'!$E$9+1,1))</f>
        <v>234.60993819620847</v>
      </c>
      <c r="T158" s="62">
        <f t="shared" si="142"/>
        <v>346.26896655159095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19.921362915686881</v>
      </c>
      <c r="AA158" s="23">
        <f>EXP(-LN(2)/25)*AA157+(1-EXP(-LN(2)/25))/(LN(2)/25)*Calculateur!V158*Calculateur!X158*VLOOKUP('Données projet'!$B$9,Paramètres!$A$1:$I$89,3,0)*0.475*44/12</f>
        <v>1.4375841858542475</v>
      </c>
      <c r="AB158" s="23">
        <f>EXP(-LN(2)/2)*AB157+(1-EXP(-LN(2)/2))/(LN(2)/2)*V158*Y158*VLOOKUP('Données projet'!$B$9,Paramètres!$A$1:$I$89,3,0)*0.475*44/12</f>
        <v>8.5391623740183412E-16</v>
      </c>
      <c r="AC158" s="24">
        <f t="shared" si="163"/>
        <v>21.35894710154113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1.3596945791505279E-13</v>
      </c>
      <c r="P159" s="14">
        <f t="shared" si="141"/>
        <v>1.9708830566360721E-12</v>
      </c>
      <c r="Q159" s="22">
        <f t="shared" si="162"/>
        <v>3.669434796176543E-12</v>
      </c>
      <c r="R159" s="62">
        <f t="shared" si="109"/>
        <v>293.33333333333701</v>
      </c>
      <c r="S159" s="62">
        <f ca="1">AVERAGE(OFFSET($R$3,0,0,'Données projet'!$E$9+1,1))-AVERAGE(OFFSET($H$3,0,0,'Données projet'!$E$9+1,1))</f>
        <v>234.60993819620847</v>
      </c>
      <c r="T159" s="62">
        <f t="shared" si="142"/>
        <v>346.26896655159095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19.530717139741846</v>
      </c>
      <c r="AA159" s="23">
        <f>EXP(-LN(2)/25)*AA158+(1-EXP(-LN(2)/25))/(LN(2)/25)*Calculateur!V159*Calculateur!X159*VLOOKUP('Données projet'!$B$9,Paramètres!$A$1:$I$89,3,0)*0.475*44/12</f>
        <v>1.3982733706927963</v>
      </c>
      <c r="AB159" s="23">
        <f>EXP(-LN(2)/2)*AB158+(1-EXP(-LN(2)/2))/(LN(2)/2)*V159*Y159*VLOOKUP('Données projet'!$B$9,Paramètres!$A$1:$I$89,3,0)*0.475*44/12</f>
        <v>6.0380996203213868E-16</v>
      </c>
      <c r="AC159" s="24">
        <f t="shared" si="163"/>
        <v>20.928990510434641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1.3596945791505279E-13</v>
      </c>
      <c r="P160" s="14">
        <f t="shared" si="141"/>
        <v>1.9708830566360721E-12</v>
      </c>
      <c r="Q160" s="22">
        <f t="shared" si="162"/>
        <v>3.669434796176543E-12</v>
      </c>
      <c r="R160" s="62">
        <f t="shared" si="109"/>
        <v>293.33333333333701</v>
      </c>
      <c r="S160" s="62">
        <f ca="1">AVERAGE(OFFSET($R$3,0,0,'Données projet'!$E$9+1,1))-AVERAGE(OFFSET($H$3,0,0,'Données projet'!$E$9+1,1))</f>
        <v>234.60993819620847</v>
      </c>
      <c r="T160" s="62">
        <f t="shared" si="142"/>
        <v>346.26896655159095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19.147731689192696</v>
      </c>
      <c r="AA160" s="23">
        <f>EXP(-LN(2)/25)*AA159+(1-EXP(-LN(2)/25))/(LN(2)/25)*Calculateur!V160*Calculateur!X160*VLOOKUP('Données projet'!$B$9,Paramètres!$A$1:$I$89,3,0)*0.475*44/12</f>
        <v>1.360037511839201</v>
      </c>
      <c r="AB160" s="23">
        <f>EXP(-LN(2)/2)*AB159+(1-EXP(-LN(2)/2))/(LN(2)/2)*V160*Y160*VLOOKUP('Données projet'!$B$9,Paramètres!$A$1:$I$89,3,0)*0.475*44/12</f>
        <v>4.2695811870091706E-16</v>
      </c>
      <c r="AC160" s="24">
        <f t="shared" si="163"/>
        <v>20.507769201031898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1.3596945791505279E-13</v>
      </c>
      <c r="P161" s="14">
        <f t="shared" si="141"/>
        <v>1.9708830566360721E-12</v>
      </c>
      <c r="Q161" s="22">
        <f t="shared" si="162"/>
        <v>3.669434796176543E-12</v>
      </c>
      <c r="R161" s="62">
        <f t="shared" si="109"/>
        <v>293.33333333333701</v>
      </c>
      <c r="S161" s="62">
        <f ca="1">AVERAGE(OFFSET($R$3,0,0,'Données projet'!$E$9+1,1))-AVERAGE(OFFSET($H$3,0,0,'Données projet'!$E$9+1,1))</f>
        <v>234.60993819620847</v>
      </c>
      <c r="T161" s="62">
        <f t="shared" si="142"/>
        <v>346.26896655159095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18.772256349730757</v>
      </c>
      <c r="AA161" s="23">
        <f>EXP(-LN(2)/25)*AA160+(1-EXP(-LN(2)/25))/(LN(2)/25)*Calculateur!V161*Calculateur!X161*VLOOKUP('Données projet'!$B$9,Paramètres!$A$1:$I$89,3,0)*0.475*44/12</f>
        <v>1.3228472145566936</v>
      </c>
      <c r="AB161" s="23">
        <f>EXP(-LN(2)/2)*AB160+(1-EXP(-LN(2)/2))/(LN(2)/2)*V161*Y161*VLOOKUP('Données projet'!$B$9,Paramètres!$A$1:$I$89,3,0)*0.475*44/12</f>
        <v>3.0190498101606934E-16</v>
      </c>
      <c r="AC161" s="24">
        <f t="shared" si="163"/>
        <v>20.095103564287449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1.3596945791505279E-13</v>
      </c>
      <c r="P162" s="14">
        <f t="shared" si="141"/>
        <v>1.9708830566360721E-12</v>
      </c>
      <c r="Q162" s="22">
        <f t="shared" si="162"/>
        <v>3.669434796176543E-12</v>
      </c>
      <c r="R162" s="62">
        <f t="shared" si="109"/>
        <v>293.33333333333701</v>
      </c>
      <c r="S162" s="62">
        <f ca="1">AVERAGE(OFFSET($R$3,0,0,'Données projet'!$E$9+1,1))-AVERAGE(OFFSET($H$3,0,0,'Données projet'!$E$9+1,1))</f>
        <v>234.60993819620847</v>
      </c>
      <c r="T162" s="62">
        <f t="shared" si="142"/>
        <v>346.26896655159095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18.404143852658322</v>
      </c>
      <c r="AA162" s="23">
        <f>EXP(-LN(2)/25)*AA161+(1-EXP(-LN(2)/25))/(LN(2)/25)*Calculateur!V162*Calculateur!X162*VLOOKUP('Données projet'!$B$9,Paramètres!$A$1:$I$89,3,0)*0.475*44/12</f>
        <v>1.2866738879091293</v>
      </c>
      <c r="AB162" s="23">
        <f>EXP(-LN(2)/2)*AB161+(1-EXP(-LN(2)/2))/(LN(2)/2)*V162*Y162*VLOOKUP('Données projet'!$B$9,Paramètres!$A$1:$I$89,3,0)*0.475*44/12</f>
        <v>2.1347905935045853E-16</v>
      </c>
      <c r="AC162" s="24">
        <f t="shared" si="163"/>
        <v>19.69081774056745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1.3596945791505279E-13</v>
      </c>
      <c r="P163" s="14">
        <f t="shared" si="141"/>
        <v>1.9708830566360721E-12</v>
      </c>
      <c r="Q163" s="22">
        <f t="shared" si="162"/>
        <v>3.669434796176543E-12</v>
      </c>
      <c r="R163" s="62">
        <f t="shared" si="109"/>
        <v>293.33333333333701</v>
      </c>
      <c r="S163" s="62">
        <f ca="1">AVERAGE(OFFSET($R$3,0,0,'Données projet'!$E$9+1,1))-AVERAGE(OFFSET($H$3,0,0,'Données projet'!$E$9+1,1))</f>
        <v>234.60993819620847</v>
      </c>
      <c r="T163" s="62">
        <f t="shared" si="142"/>
        <v>346.26896655159095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18.043249817127023</v>
      </c>
      <c r="AA163" s="23">
        <f>EXP(-LN(2)/25)*AA162+(1-EXP(-LN(2)/25))/(LN(2)/25)*Calculateur!V163*Calculateur!X163*VLOOKUP('Données projet'!$B$9,Paramètres!$A$1:$I$89,3,0)*0.475*44/12</f>
        <v>1.2514897227810151</v>
      </c>
      <c r="AB163" s="23">
        <f>EXP(-LN(2)/2)*AB162+(1-EXP(-LN(2)/2))/(LN(2)/2)*V163*Y163*VLOOKUP('Données projet'!$B$9,Paramètres!$A$1:$I$89,3,0)*0.475*44/12</f>
        <v>1.5095249050803467E-16</v>
      </c>
      <c r="AC163" s="24">
        <f t="shared" si="163"/>
        <v>19.29473953990804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1.3596945791505279E-13</v>
      </c>
      <c r="P164" s="14">
        <f t="shared" si="141"/>
        <v>1.9708830566360721E-12</v>
      </c>
      <c r="Q164" s="22">
        <f t="shared" si="162"/>
        <v>3.669434796176543E-12</v>
      </c>
      <c r="R164" s="62">
        <f t="shared" si="109"/>
        <v>293.33333333333701</v>
      </c>
      <c r="S164" s="62">
        <f ca="1">AVERAGE(OFFSET($R$3,0,0,'Données projet'!$E$9+1,1))-AVERAGE(OFFSET($H$3,0,0,'Données projet'!$E$9+1,1))</f>
        <v>234.60993819620847</v>
      </c>
      <c r="T164" s="62">
        <f t="shared" si="142"/>
        <v>346.26896655159095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17.689432693508866</v>
      </c>
      <c r="AA164" s="23">
        <f>EXP(-LN(2)/25)*AA163+(1-EXP(-LN(2)/25))/(LN(2)/25)*Calculateur!V164*Calculateur!X164*VLOOKUP('Données projet'!$B$9,Paramètres!$A$1:$I$89,3,0)*0.475*44/12</f>
        <v>1.2172676704985841</v>
      </c>
      <c r="AB164" s="23">
        <f>EXP(-LN(2)/2)*AB163+(1-EXP(-LN(2)/2))/(LN(2)/2)*V164*Y164*VLOOKUP('Données projet'!$B$9,Paramètres!$A$1:$I$89,3,0)*0.475*44/12</f>
        <v>1.0673952967522926E-16</v>
      </c>
      <c r="AC164" s="24">
        <f t="shared" si="163"/>
        <v>18.906700364007449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1.3596945791505279E-13</v>
      </c>
      <c r="P165" s="14">
        <f t="shared" si="141"/>
        <v>1.9708830566360721E-12</v>
      </c>
      <c r="Q165" s="22">
        <f t="shared" si="162"/>
        <v>3.669434796176543E-12</v>
      </c>
      <c r="R165" s="62">
        <f t="shared" si="109"/>
        <v>293.33333333333701</v>
      </c>
      <c r="S165" s="62">
        <f ca="1">AVERAGE(OFFSET($R$3,0,0,'Données projet'!$E$9+1,1))-AVERAGE(OFFSET($H$3,0,0,'Données projet'!$E$9+1,1))</f>
        <v>234.60993819620847</v>
      </c>
      <c r="T165" s="62">
        <f t="shared" si="142"/>
        <v>346.26896655159095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17.342553707877727</v>
      </c>
      <c r="AA165" s="23">
        <f>EXP(-LN(2)/25)*AA164+(1-EXP(-LN(2)/25))/(LN(2)/25)*Calculateur!V165*Calculateur!X165*VLOOKUP('Données projet'!$B$9,Paramètres!$A$1:$I$89,3,0)*0.475*44/12</f>
        <v>1.1839814220354756</v>
      </c>
      <c r="AB165" s="23">
        <f>EXP(-LN(2)/2)*AB164+(1-EXP(-LN(2)/2))/(LN(2)/2)*V165*Y165*VLOOKUP('Données projet'!$B$9,Paramètres!$A$1:$I$89,3,0)*0.475*44/12</f>
        <v>7.5476245254017335E-17</v>
      </c>
      <c r="AC165" s="24">
        <f t="shared" si="163"/>
        <v>18.526535129913203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1.3596945791505279E-13</v>
      </c>
      <c r="P166" s="14">
        <f t="shared" si="141"/>
        <v>1.9708830566360721E-12</v>
      </c>
      <c r="Q166" s="22">
        <f t="shared" si="162"/>
        <v>3.669434796176543E-12</v>
      </c>
      <c r="R166" s="62">
        <f t="shared" si="109"/>
        <v>293.33333333333701</v>
      </c>
      <c r="S166" s="62">
        <f ca="1">AVERAGE(OFFSET($R$3,0,0,'Données projet'!$E$9+1,1))-AVERAGE(OFFSET($H$3,0,0,'Données projet'!$E$9+1,1))</f>
        <v>234.60993819620847</v>
      </c>
      <c r="T166" s="62">
        <f t="shared" si="142"/>
        <v>346.26896655159095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17.002476807579523</v>
      </c>
      <c r="AA166" s="23">
        <f>EXP(-LN(2)/25)*AA165+(1-EXP(-LN(2)/25))/(LN(2)/25)*Calculateur!V166*Calculateur!X166*VLOOKUP('Données projet'!$B$9,Paramètres!$A$1:$I$89,3,0)*0.475*44/12</f>
        <v>1.1516053877870387</v>
      </c>
      <c r="AB166" s="23">
        <f>EXP(-LN(2)/2)*AB165+(1-EXP(-LN(2)/2))/(LN(2)/2)*V166*Y166*VLOOKUP('Données projet'!$B$9,Paramètres!$A$1:$I$89,3,0)*0.475*44/12</f>
        <v>5.3369764837614632E-17</v>
      </c>
      <c r="AC166" s="24">
        <f t="shared" si="163"/>
        <v>18.154082195366563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1.3596945791505279E-13</v>
      </c>
      <c r="P167" s="14">
        <f t="shared" si="141"/>
        <v>1.9708830566360721E-12</v>
      </c>
      <c r="Q167" s="22">
        <f t="shared" si="162"/>
        <v>3.669434796176543E-12</v>
      </c>
      <c r="R167" s="62">
        <f t="shared" si="109"/>
        <v>293.33333333333701</v>
      </c>
      <c r="S167" s="62">
        <f ca="1">AVERAGE(OFFSET($R$3,0,0,'Données projet'!$E$9+1,1))-AVERAGE(OFFSET($H$3,0,0,'Données projet'!$E$9+1,1))</f>
        <v>234.60993819620847</v>
      </c>
      <c r="T167" s="62">
        <f t="shared" si="142"/>
        <v>346.26896655159095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16.66906860786974</v>
      </c>
      <c r="AA167" s="23">
        <f>EXP(-LN(2)/25)*AA166+(1-EXP(-LN(2)/25))/(LN(2)/25)*Calculateur!V167*Calculateur!X167*VLOOKUP('Données projet'!$B$9,Paramètres!$A$1:$I$89,3,0)*0.475*44/12</f>
        <v>1.1201146778977069</v>
      </c>
      <c r="AB167" s="23">
        <f>EXP(-LN(2)/2)*AB166+(1-EXP(-LN(2)/2))/(LN(2)/2)*V167*Y167*VLOOKUP('Données projet'!$B$9,Paramètres!$A$1:$I$89,3,0)*0.475*44/12</f>
        <v>3.7738122627008667E-17</v>
      </c>
      <c r="AC167" s="24">
        <f t="shared" si="163"/>
        <v>17.789183285767447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1.3596945791505279E-13</v>
      </c>
      <c r="P168" s="14">
        <f t="shared" si="141"/>
        <v>1.9708830566360721E-12</v>
      </c>
      <c r="Q168" s="22">
        <f t="shared" si="162"/>
        <v>3.669434796176543E-12</v>
      </c>
      <c r="R168" s="62">
        <f t="shared" si="109"/>
        <v>293.33333333333701</v>
      </c>
      <c r="S168" s="62">
        <f ca="1">AVERAGE(OFFSET($R$3,0,0,'Données projet'!$E$9+1,1))-AVERAGE(OFFSET($H$3,0,0,'Données projet'!$E$9+1,1))</f>
        <v>234.60993819620847</v>
      </c>
      <c r="T168" s="62">
        <f t="shared" si="142"/>
        <v>346.26896655159095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16.342198339597346</v>
      </c>
      <c r="AA168" s="23">
        <f>EXP(-LN(2)/25)*AA167+(1-EXP(-LN(2)/25))/(LN(2)/25)*Calculateur!V168*Calculateur!X168*VLOOKUP('Données projet'!$B$9,Paramètres!$A$1:$I$89,3,0)*0.475*44/12</f>
        <v>1.0894850831263232</v>
      </c>
      <c r="AB168" s="23">
        <f>EXP(-LN(2)/2)*AB167+(1-EXP(-LN(2)/2))/(LN(2)/2)*V168*Y168*VLOOKUP('Données projet'!$B$9,Paramètres!$A$1:$I$89,3,0)*0.475*44/12</f>
        <v>2.6684882418807316E-17</v>
      </c>
      <c r="AC168" s="24">
        <f t="shared" si="163"/>
        <v>17.431683422723669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1.3596945791505279E-13</v>
      </c>
      <c r="P169" s="14">
        <f t="shared" si="141"/>
        <v>1.9708830566360721E-12</v>
      </c>
      <c r="Q169" s="22">
        <f t="shared" si="162"/>
        <v>3.669434796176543E-12</v>
      </c>
      <c r="R169" s="62">
        <f t="shared" si="109"/>
        <v>293.33333333333701</v>
      </c>
      <c r="S169" s="62">
        <f ca="1">AVERAGE(OFFSET($R$3,0,0,'Données projet'!$E$9+1,1))-AVERAGE(OFFSET($H$3,0,0,'Données projet'!$E$9+1,1))</f>
        <v>234.60993819620847</v>
      </c>
      <c r="T169" s="62">
        <f t="shared" si="142"/>
        <v>346.26896655159095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16.021737797914593</v>
      </c>
      <c r="AA169" s="23">
        <f>EXP(-LN(2)/25)*AA168+(1-EXP(-LN(2)/25))/(LN(2)/25)*Calculateur!V169*Calculateur!X169*VLOOKUP('Données projet'!$B$9,Paramètres!$A$1:$I$89,3,0)*0.475*44/12</f>
        <v>1.0596930562347033</v>
      </c>
      <c r="AB169" s="23">
        <f>EXP(-LN(2)/2)*AB168+(1-EXP(-LN(2)/2))/(LN(2)/2)*V169*Y169*VLOOKUP('Données projet'!$B$9,Paramètres!$A$1:$I$89,3,0)*0.475*44/12</f>
        <v>1.8869061313504334E-17</v>
      </c>
      <c r="AC169" s="24">
        <f t="shared" si="163"/>
        <v>17.081430854149296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1.3596945791505279E-13</v>
      </c>
      <c r="P170" s="14">
        <f t="shared" si="141"/>
        <v>1.9708830566360721E-12</v>
      </c>
      <c r="Q170" s="22">
        <f t="shared" si="162"/>
        <v>3.669434796176543E-12</v>
      </c>
      <c r="R170" s="62">
        <f t="shared" si="109"/>
        <v>293.33333333333701</v>
      </c>
      <c r="S170" s="62">
        <f ca="1">AVERAGE(OFFSET($R$3,0,0,'Données projet'!$E$9+1,1))-AVERAGE(OFFSET($H$3,0,0,'Données projet'!$E$9+1,1))</f>
        <v>234.60993819620847</v>
      </c>
      <c r="T170" s="62">
        <f t="shared" si="142"/>
        <v>346.26896655159095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15.70756129199261</v>
      </c>
      <c r="AA170" s="23">
        <f>EXP(-LN(2)/25)*AA169+(1-EXP(-LN(2)/25))/(LN(2)/25)*Calculateur!V170*Calculateur!X170*VLOOKUP('Données projet'!$B$9,Paramètres!$A$1:$I$89,3,0)*0.475*44/12</f>
        <v>1.0307156938851294</v>
      </c>
      <c r="AB170" s="23">
        <f>EXP(-LN(2)/2)*AB169+(1-EXP(-LN(2)/2))/(LN(2)/2)*V170*Y170*VLOOKUP('Données projet'!$B$9,Paramètres!$A$1:$I$89,3,0)*0.475*44/12</f>
        <v>1.3342441209403658E-17</v>
      </c>
      <c r="AC170" s="24">
        <f t="shared" si="163"/>
        <v>16.738276985877739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1.3596945791505279E-13</v>
      </c>
      <c r="P171" s="14">
        <f t="shared" si="141"/>
        <v>1.9708830566360721E-12</v>
      </c>
      <c r="Q171" s="22">
        <f t="shared" si="162"/>
        <v>3.669434796176543E-12</v>
      </c>
      <c r="R171" s="62">
        <f t="shared" si="109"/>
        <v>293.33333333333701</v>
      </c>
      <c r="S171" s="62">
        <f ca="1">AVERAGE(OFFSET($R$3,0,0,'Données projet'!$E$9+1,1))-AVERAGE(OFFSET($H$3,0,0,'Données projet'!$E$9+1,1))</f>
        <v>234.60993819620847</v>
      </c>
      <c r="T171" s="62">
        <f t="shared" si="142"/>
        <v>346.26896655159095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15.39954559572301</v>
      </c>
      <c r="AA171" s="23">
        <f>EXP(-LN(2)/25)*AA170+(1-EXP(-LN(2)/25))/(LN(2)/25)*Calculateur!V171*Calculateur!X171*VLOOKUP('Données projet'!$B$9,Paramètres!$A$1:$I$89,3,0)*0.475*44/12</f>
        <v>1.0025307190328578</v>
      </c>
      <c r="AB171" s="23">
        <f>EXP(-LN(2)/2)*AB170+(1-EXP(-LN(2)/2))/(LN(2)/2)*V171*Y171*VLOOKUP('Données projet'!$B$9,Paramètres!$A$1:$I$89,3,0)*0.475*44/12</f>
        <v>9.4345306567521668E-18</v>
      </c>
      <c r="AC171" s="24">
        <f t="shared" si="163"/>
        <v>16.402076314755867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1.3596945791505279E-13</v>
      </c>
      <c r="P172" s="14">
        <f t="shared" si="141"/>
        <v>1.9708830566360721E-12</v>
      </c>
      <c r="Q172" s="22">
        <f t="shared" si="162"/>
        <v>3.669434796176543E-12</v>
      </c>
      <c r="R172" s="62">
        <f t="shared" si="109"/>
        <v>293.33333333333701</v>
      </c>
      <c r="S172" s="62">
        <f ca="1">AVERAGE(OFFSET($R$3,0,0,'Données projet'!$E$9+1,1))-AVERAGE(OFFSET($H$3,0,0,'Données projet'!$E$9+1,1))</f>
        <v>234.60993819620847</v>
      </c>
      <c r="T172" s="62">
        <f t="shared" si="142"/>
        <v>346.26896655159095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15.097569899386233</v>
      </c>
      <c r="AA172" s="23">
        <f>EXP(-LN(2)/25)*AA171+(1-EXP(-LN(2)/25))/(LN(2)/25)*Calculateur!V172*Calculateur!X172*VLOOKUP('Données projet'!$B$9,Paramètres!$A$1:$I$89,3,0)*0.475*44/12</f>
        <v>0.97511646380010519</v>
      </c>
      <c r="AB172" s="23">
        <f>EXP(-LN(2)/2)*AB171+(1-EXP(-LN(2)/2))/(LN(2)/2)*V172*Y172*VLOOKUP('Données projet'!$B$9,Paramètres!$A$1:$I$89,3,0)*0.475*44/12</f>
        <v>6.671220604701829E-18</v>
      </c>
      <c r="AC172" s="24">
        <f t="shared" si="163"/>
        <v>16.072686363186339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1.3596945791505279E-13</v>
      </c>
      <c r="P173" s="14">
        <f t="shared" si="141"/>
        <v>1.9708830566360721E-12</v>
      </c>
      <c r="Q173" s="22">
        <f t="shared" si="162"/>
        <v>3.669434796176543E-12</v>
      </c>
      <c r="R173" s="62">
        <f t="shared" si="109"/>
        <v>293.33333333333701</v>
      </c>
      <c r="S173" s="62">
        <f ca="1">AVERAGE(OFFSET($R$3,0,0,'Données projet'!$E$9+1,1))-AVERAGE(OFFSET($H$3,0,0,'Données projet'!$E$9+1,1))</f>
        <v>234.60993819620847</v>
      </c>
      <c r="T173" s="62">
        <f t="shared" si="142"/>
        <v>346.26896655159095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14.801515762267632</v>
      </c>
      <c r="AA173" s="23">
        <f>EXP(-LN(2)/25)*AA172+(1-EXP(-LN(2)/25))/(LN(2)/25)*Calculateur!V173*Calculateur!X173*VLOOKUP('Données projet'!$B$9,Paramètres!$A$1:$I$89,3,0)*0.475*44/12</f>
        <v>0.9484518528183451</v>
      </c>
      <c r="AB173" s="23">
        <f>EXP(-LN(2)/2)*AB172+(1-EXP(-LN(2)/2))/(LN(2)/2)*V173*Y173*VLOOKUP('Données projet'!$B$9,Paramètres!$A$1:$I$89,3,0)*0.475*44/12</f>
        <v>4.7172653283760834E-18</v>
      </c>
      <c r="AC173" s="24">
        <f t="shared" si="163"/>
        <v>15.749967615085977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1.3596945791505279E-13</v>
      </c>
      <c r="P174" s="14">
        <f t="shared" si="141"/>
        <v>1.9708830566360721E-12</v>
      </c>
      <c r="Q174" s="22">
        <f t="shared" si="162"/>
        <v>3.669434796176543E-12</v>
      </c>
      <c r="R174" s="62">
        <f t="shared" si="109"/>
        <v>293.33333333333701</v>
      </c>
      <c r="S174" s="62">
        <f ca="1">AVERAGE(OFFSET($R$3,0,0,'Données projet'!$E$9+1,1))-AVERAGE(OFFSET($H$3,0,0,'Données projet'!$E$9+1,1))</f>
        <v>234.60993819620847</v>
      </c>
      <c r="T174" s="62">
        <f t="shared" si="142"/>
        <v>346.26896655159095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14.511267066202734</v>
      </c>
      <c r="AA174" s="23">
        <f>EXP(-LN(2)/25)*AA173+(1-EXP(-LN(2)/25))/(LN(2)/25)*Calculateur!V174*Calculateur!X174*VLOOKUP('Données projet'!$B$9,Paramètres!$A$1:$I$89,3,0)*0.475*44/12</f>
        <v>0.92251638702611227</v>
      </c>
      <c r="AB174" s="23">
        <f>EXP(-LN(2)/2)*AB173+(1-EXP(-LN(2)/2))/(LN(2)/2)*V174*Y174*VLOOKUP('Données projet'!$B$9,Paramètres!$A$1:$I$89,3,0)*0.475*44/12</f>
        <v>3.3356103023509145E-18</v>
      </c>
      <c r="AC174" s="24">
        <f t="shared" si="163"/>
        <v>15.433783453228846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1.3596945791505279E-13</v>
      </c>
      <c r="P175" s="14">
        <f t="shared" si="141"/>
        <v>1.9708830566360721E-12</v>
      </c>
      <c r="Q175" s="22">
        <f t="shared" si="162"/>
        <v>3.669434796176543E-12</v>
      </c>
      <c r="R175" s="62">
        <f t="shared" si="109"/>
        <v>293.33333333333701</v>
      </c>
      <c r="S175" s="62">
        <f ca="1">AVERAGE(OFFSET($R$3,0,0,'Données projet'!$E$9+1,1))-AVERAGE(OFFSET($H$3,0,0,'Données projet'!$E$9+1,1))</f>
        <v>234.60993819620847</v>
      </c>
      <c r="T175" s="62">
        <f t="shared" si="142"/>
        <v>346.26896655159095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14.226709970033445</v>
      </c>
      <c r="AA175" s="23">
        <f>EXP(-LN(2)/25)*AA174+(1-EXP(-LN(2)/25))/(LN(2)/25)*Calculateur!V175*Calculateur!X175*VLOOKUP('Données projet'!$B$9,Paramètres!$A$1:$I$89,3,0)*0.475*44/12</f>
        <v>0.89729012790985485</v>
      </c>
      <c r="AB175" s="23">
        <f>EXP(-LN(2)/2)*AB174+(1-EXP(-LN(2)/2))/(LN(2)/2)*V175*Y175*VLOOKUP('Données projet'!$B$9,Paramètres!$A$1:$I$89,3,0)*0.475*44/12</f>
        <v>2.3586326641880417E-18</v>
      </c>
      <c r="AC175" s="24">
        <f t="shared" si="163"/>
        <v>15.1240000979433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1.3596945791505279E-13</v>
      </c>
      <c r="P176" s="14">
        <f t="shared" si="141"/>
        <v>1.9708830566360721E-12</v>
      </c>
      <c r="Q176" s="22">
        <f t="shared" si="162"/>
        <v>3.669434796176543E-12</v>
      </c>
      <c r="R176" s="62">
        <f t="shared" si="109"/>
        <v>293.33333333333701</v>
      </c>
      <c r="S176" s="62">
        <f ca="1">AVERAGE(OFFSET($R$3,0,0,'Données projet'!$E$9+1,1))-AVERAGE(OFFSET($H$3,0,0,'Données projet'!$E$9+1,1))</f>
        <v>234.60993819620847</v>
      </c>
      <c r="T176" s="62">
        <f t="shared" si="142"/>
        <v>346.26896655159095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13.947732864957345</v>
      </c>
      <c r="AA176" s="23">
        <f>EXP(-LN(2)/25)*AA175+(1-EXP(-LN(2)/25))/(LN(2)/25)*Calculateur!V176*Calculateur!X176*VLOOKUP('Données projet'!$B$9,Paramètres!$A$1:$I$89,3,0)*0.475*44/12</f>
        <v>0.8727536821757228</v>
      </c>
      <c r="AB176" s="23">
        <f>EXP(-LN(2)/2)*AB175+(1-EXP(-LN(2)/2))/(LN(2)/2)*V176*Y176*VLOOKUP('Données projet'!$B$9,Paramètres!$A$1:$I$89,3,0)*0.475*44/12</f>
        <v>1.6678051511754573E-18</v>
      </c>
      <c r="AC176" s="24">
        <f t="shared" si="163"/>
        <v>14.820486547133068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1.3596945791505279E-13</v>
      </c>
      <c r="P177" s="14">
        <f t="shared" si="141"/>
        <v>1.9708830566360721E-12</v>
      </c>
      <c r="Q177" s="22">
        <f t="shared" si="162"/>
        <v>3.669434796176543E-12</v>
      </c>
      <c r="R177" s="62">
        <f t="shared" si="109"/>
        <v>293.33333333333701</v>
      </c>
      <c r="S177" s="62">
        <f ca="1">AVERAGE(OFFSET($R$3,0,0,'Données projet'!$E$9+1,1))-AVERAGE(OFFSET($H$3,0,0,'Données projet'!$E$9+1,1))</f>
        <v>234.60993819620847</v>
      </c>
      <c r="T177" s="62">
        <f t="shared" si="142"/>
        <v>346.26896655159095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13.674226330752555</v>
      </c>
      <c r="AA177" s="23">
        <f>EXP(-LN(2)/25)*AA176+(1-EXP(-LN(2)/25))/(LN(2)/25)*Calculateur!V177*Calculateur!X177*VLOOKUP('Données projet'!$B$9,Paramètres!$A$1:$I$89,3,0)*0.475*44/12</f>
        <v>0.84888818684050626</v>
      </c>
      <c r="AB177" s="23">
        <f>EXP(-LN(2)/2)*AB176+(1-EXP(-LN(2)/2))/(LN(2)/2)*V177*Y177*VLOOKUP('Données projet'!$B$9,Paramètres!$A$1:$I$89,3,0)*0.475*44/12</f>
        <v>1.1793163320940209E-18</v>
      </c>
      <c r="AC177" s="24">
        <f t="shared" si="163"/>
        <v>14.523114517593061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1.3596945791505279E-13</v>
      </c>
      <c r="P178" s="14">
        <f t="shared" si="141"/>
        <v>1.9708830566360721E-12</v>
      </c>
      <c r="Q178" s="22">
        <f t="shared" si="162"/>
        <v>3.669434796176543E-12</v>
      </c>
      <c r="R178" s="62">
        <f t="shared" si="109"/>
        <v>293.33333333333701</v>
      </c>
      <c r="S178" s="62">
        <f ca="1">AVERAGE(OFFSET($R$3,0,0,'Données projet'!$E$9+1,1))-AVERAGE(OFFSET($H$3,0,0,'Données projet'!$E$9+1,1))</f>
        <v>234.60993819620847</v>
      </c>
      <c r="T178" s="62">
        <f t="shared" si="142"/>
        <v>346.26896655159095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13.406083092861008</v>
      </c>
      <c r="AA178" s="23">
        <f>EXP(-LN(2)/25)*AA177+(1-EXP(-LN(2)/25))/(LN(2)/25)*Calculateur!V178*Calculateur!X178*VLOOKUP('Données projet'!$B$9,Paramètres!$A$1:$I$89,3,0)*0.475*44/12</f>
        <v>0.82567529473026302</v>
      </c>
      <c r="AB178" s="23">
        <f>EXP(-LN(2)/2)*AB177+(1-EXP(-LN(2)/2))/(LN(2)/2)*V178*Y178*VLOOKUP('Données projet'!$B$9,Paramètres!$A$1:$I$89,3,0)*0.475*44/12</f>
        <v>8.3390257558772863E-19</v>
      </c>
      <c r="AC178" s="24">
        <f t="shared" si="163"/>
        <v>14.231758387591272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1.3596945791505279E-13</v>
      </c>
      <c r="P179" s="14">
        <f t="shared" si="141"/>
        <v>1.9708830566360721E-12</v>
      </c>
      <c r="Q179" s="22">
        <f t="shared" si="162"/>
        <v>3.669434796176543E-12</v>
      </c>
      <c r="R179" s="62">
        <f t="shared" si="109"/>
        <v>293.33333333333701</v>
      </c>
      <c r="S179" s="62">
        <f ca="1">AVERAGE(OFFSET($R$3,0,0,'Données projet'!$E$9+1,1))-AVERAGE(OFFSET($H$3,0,0,'Données projet'!$E$9+1,1))</f>
        <v>234.60993819620847</v>
      </c>
      <c r="T179" s="62">
        <f t="shared" si="142"/>
        <v>346.26896655159095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13.143197980313289</v>
      </c>
      <c r="AA179" s="23">
        <f>EXP(-LN(2)/25)*AA178+(1-EXP(-LN(2)/25))/(LN(2)/25)*Calculateur!V179*Calculateur!X179*VLOOKUP('Données projet'!$B$9,Paramètres!$A$1:$I$89,3,0)*0.475*44/12</f>
        <v>0.80309716037548728</v>
      </c>
      <c r="AB179" s="23">
        <f>EXP(-LN(2)/2)*AB178+(1-EXP(-LN(2)/2))/(LN(2)/2)*V179*Y179*VLOOKUP('Données projet'!$B$9,Paramètres!$A$1:$I$89,3,0)*0.475*44/12</f>
        <v>5.8965816604701043E-19</v>
      </c>
      <c r="AC179" s="24">
        <f t="shared" si="163"/>
        <v>13.946295140688775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1.3596945791505279E-13</v>
      </c>
      <c r="P180" s="14">
        <f t="shared" si="141"/>
        <v>1.9708830566360721E-12</v>
      </c>
      <c r="Q180" s="22">
        <f t="shared" si="162"/>
        <v>3.669434796176543E-12</v>
      </c>
      <c r="R180" s="62">
        <f t="shared" si="109"/>
        <v>293.33333333333701</v>
      </c>
      <c r="S180" s="62">
        <f ca="1">AVERAGE(OFFSET($R$3,0,0,'Données projet'!$E$9+1,1))-AVERAGE(OFFSET($H$3,0,0,'Données projet'!$E$9+1,1))</f>
        <v>234.60993819620847</v>
      </c>
      <c r="T180" s="62">
        <f t="shared" si="142"/>
        <v>346.26896655159095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12.885467884478544</v>
      </c>
      <c r="AA180" s="23">
        <f>EXP(-LN(2)/25)*AA179+(1-EXP(-LN(2)/25))/(LN(2)/25)*Calculateur!V180*Calculateur!X180*VLOOKUP('Données projet'!$B$9,Paramètres!$A$1:$I$89,3,0)*0.475*44/12</f>
        <v>0.78113642629197544</v>
      </c>
      <c r="AB180" s="23">
        <f>EXP(-LN(2)/2)*AB179+(1-EXP(-LN(2)/2))/(LN(2)/2)*V180*Y180*VLOOKUP('Données projet'!$B$9,Paramètres!$A$1:$I$89,3,0)*0.475*44/12</f>
        <v>4.1695128779386431E-19</v>
      </c>
      <c r="AC180" s="24">
        <f t="shared" si="163"/>
        <v>13.66660431077052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1.3596945791505279E-13</v>
      </c>
      <c r="P181" s="14">
        <f t="shared" si="141"/>
        <v>1.9708830566360721E-12</v>
      </c>
      <c r="Q181" s="22">
        <f t="shared" si="162"/>
        <v>3.669434796176543E-12</v>
      </c>
      <c r="R181" s="62">
        <f t="shared" si="109"/>
        <v>293.33333333333701</v>
      </c>
      <c r="S181" s="62">
        <f ca="1">AVERAGE(OFFSET($R$3,0,0,'Données projet'!$E$9+1,1))-AVERAGE(OFFSET($H$3,0,0,'Données projet'!$E$9+1,1))</f>
        <v>234.60993819620847</v>
      </c>
      <c r="T181" s="62">
        <f t="shared" si="142"/>
        <v>346.26896655159095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12.632791718623283</v>
      </c>
      <c r="AA181" s="23">
        <f>EXP(-LN(2)/25)*AA180+(1-EXP(-LN(2)/25))/(LN(2)/25)*Calculateur!V181*Calculateur!X181*VLOOKUP('Données projet'!$B$9,Paramètres!$A$1:$I$89,3,0)*0.475*44/12</f>
        <v>0.759776209636842</v>
      </c>
      <c r="AB181" s="23">
        <f>EXP(-LN(2)/2)*AB180+(1-EXP(-LN(2)/2))/(LN(2)/2)*V181*Y181*VLOOKUP('Données projet'!$B$9,Paramètres!$A$1:$I$89,3,0)*0.475*44/12</f>
        <v>2.9482908302350521E-19</v>
      </c>
      <c r="AC181" s="24">
        <f t="shared" si="163"/>
        <v>13.392567928260124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1.3596945791505279E-13</v>
      </c>
      <c r="P182" s="14">
        <f t="shared" si="141"/>
        <v>1.9708830566360721E-12</v>
      </c>
      <c r="Q182" s="22">
        <f t="shared" si="162"/>
        <v>3.669434796176543E-12</v>
      </c>
      <c r="R182" s="62">
        <f t="shared" si="109"/>
        <v>293.33333333333701</v>
      </c>
      <c r="S182" s="62">
        <f ca="1">AVERAGE(OFFSET($R$3,0,0,'Données projet'!$E$9+1,1))-AVERAGE(OFFSET($H$3,0,0,'Données projet'!$E$9+1,1))</f>
        <v>234.60993819620847</v>
      </c>
      <c r="T182" s="62">
        <f t="shared" si="142"/>
        <v>346.26896655159095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12.385070378263199</v>
      </c>
      <c r="AA182" s="23">
        <f>EXP(-LN(2)/25)*AA181+(1-EXP(-LN(2)/25))/(LN(2)/25)*Calculateur!V182*Calculateur!X182*VLOOKUP('Données projet'!$B$9,Paramètres!$A$1:$I$89,3,0)*0.475*44/12</f>
        <v>0.73900008922942817</v>
      </c>
      <c r="AB182" s="23">
        <f>EXP(-LN(2)/2)*AB181+(1-EXP(-LN(2)/2))/(LN(2)/2)*V182*Y182*VLOOKUP('Données projet'!$B$9,Paramètres!$A$1:$I$89,3,0)*0.475*44/12</f>
        <v>2.0847564389693216E-19</v>
      </c>
      <c r="AC182" s="24">
        <f t="shared" si="163"/>
        <v>13.124070467492627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1.3596945791505279E-13</v>
      </c>
      <c r="P183" s="14">
        <f t="shared" si="141"/>
        <v>1.9708830566360721E-12</v>
      </c>
      <c r="Q183" s="22">
        <f t="shared" si="162"/>
        <v>3.669434796176543E-12</v>
      </c>
      <c r="R183" s="62">
        <f t="shared" si="109"/>
        <v>293.33333333333701</v>
      </c>
      <c r="S183" s="62">
        <f ca="1">AVERAGE(OFFSET($R$3,0,0,'Données projet'!$E$9+1,1))-AVERAGE(OFFSET($H$3,0,0,'Données projet'!$E$9+1,1))</f>
        <v>234.60993819620847</v>
      </c>
      <c r="T183" s="62">
        <f t="shared" si="142"/>
        <v>346.26896655159095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12.142206702292478</v>
      </c>
      <c r="AA183" s="23">
        <f>EXP(-LN(2)/25)*AA182+(1-EXP(-LN(2)/25))/(LN(2)/25)*Calculateur!V183*Calculateur!X183*VLOOKUP('Données projet'!$B$9,Paramètres!$A$1:$I$89,3,0)*0.475*44/12</f>
        <v>0.71879209292712376</v>
      </c>
      <c r="AB183" s="23">
        <f>EXP(-LN(2)/2)*AB182+(1-EXP(-LN(2)/2))/(LN(2)/2)*V183*Y183*VLOOKUP('Données projet'!$B$9,Paramètres!$A$1:$I$89,3,0)*0.475*44/12</f>
        <v>1.4741454151175261E-19</v>
      </c>
      <c r="AC183" s="24">
        <f t="shared" si="163"/>
        <v>12.860998795219603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1.3596945791505279E-13</v>
      </c>
      <c r="P184" s="14">
        <f t="shared" si="141"/>
        <v>1.9708830566360721E-12</v>
      </c>
      <c r="Q184" s="22">
        <f t="shared" si="162"/>
        <v>3.669434796176543E-12</v>
      </c>
      <c r="R184" s="62">
        <f t="shared" si="109"/>
        <v>293.33333333333701</v>
      </c>
      <c r="S184" s="62">
        <f ca="1">AVERAGE(OFFSET($R$3,0,0,'Données projet'!$E$9+1,1))-AVERAGE(OFFSET($H$3,0,0,'Données projet'!$E$9+1,1))</f>
        <v>234.60993819620847</v>
      </c>
      <c r="T184" s="62">
        <f t="shared" si="142"/>
        <v>346.26896655159095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11.904105434875328</v>
      </c>
      <c r="AA184" s="23">
        <f>EXP(-LN(2)/25)*AA183+(1-EXP(-LN(2)/25))/(LN(2)/25)*Calculateur!V184*Calculateur!X184*VLOOKUP('Données projet'!$B$9,Paramètres!$A$1:$I$89,3,0)*0.475*44/12</f>
        <v>0.69913668534639817</v>
      </c>
      <c r="AB184" s="23">
        <f>EXP(-LN(2)/2)*AB183+(1-EXP(-LN(2)/2))/(LN(2)/2)*V184*Y184*VLOOKUP('Données projet'!$B$9,Paramètres!$A$1:$I$89,3,0)*0.475*44/12</f>
        <v>1.0423782194846608E-19</v>
      </c>
      <c r="AC184" s="24">
        <f t="shared" si="163"/>
        <v>12.603242120221726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1.3596945791505279E-13</v>
      </c>
      <c r="P185" s="14">
        <f t="shared" si="141"/>
        <v>1.9708830566360721E-12</v>
      </c>
      <c r="Q185" s="22">
        <f t="shared" si="162"/>
        <v>3.669434796176543E-12</v>
      </c>
      <c r="R185" s="62">
        <f t="shared" si="109"/>
        <v>293.33333333333701</v>
      </c>
      <c r="S185" s="62">
        <f ca="1">AVERAGE(OFFSET($R$3,0,0,'Données projet'!$E$9+1,1))-AVERAGE(OFFSET($H$3,0,0,'Données projet'!$E$9+1,1))</f>
        <v>234.60993819620847</v>
      </c>
      <c r="T185" s="62">
        <f t="shared" si="142"/>
        <v>346.26896655159095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11.670673188084795</v>
      </c>
      <c r="AA185" s="23">
        <f>EXP(-LN(2)/25)*AA184+(1-EXP(-LN(2)/25))/(LN(2)/25)*Calculateur!V185*Calculateur!X185*VLOOKUP('Données projet'!$B$9,Paramètres!$A$1:$I$89,3,0)*0.475*44/12</f>
        <v>0.68001875591960048</v>
      </c>
      <c r="AB185" s="23">
        <f>EXP(-LN(2)/2)*AB184+(1-EXP(-LN(2)/2))/(LN(2)/2)*V185*Y185*VLOOKUP('Données projet'!$B$9,Paramètres!$A$1:$I$89,3,0)*0.475*44/12</f>
        <v>7.3707270755876303E-20</v>
      </c>
      <c r="AC185" s="24">
        <f t="shared" si="163"/>
        <v>12.350691944004396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1.3596945791505279E-13</v>
      </c>
      <c r="P186" s="14">
        <f t="shared" si="141"/>
        <v>1.9708830566360721E-12</v>
      </c>
      <c r="Q186" s="22">
        <f t="shared" si="162"/>
        <v>3.669434796176543E-12</v>
      </c>
      <c r="R186" s="62">
        <f t="shared" si="109"/>
        <v>293.33333333333701</v>
      </c>
      <c r="S186" s="62">
        <f ca="1">AVERAGE(OFFSET($R$3,0,0,'Données projet'!$E$9+1,1))-AVERAGE(OFFSET($H$3,0,0,'Données projet'!$E$9+1,1))</f>
        <v>234.60993819620847</v>
      </c>
      <c r="T186" s="62">
        <f t="shared" si="142"/>
        <v>346.26896655159095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11.441818405274212</v>
      </c>
      <c r="AA186" s="23">
        <f>EXP(-LN(2)/25)*AA185+(1-EXP(-LN(2)/25))/(LN(2)/25)*Calculateur!V186*Calculateur!X186*VLOOKUP('Données projet'!$B$9,Paramètres!$A$1:$I$89,3,0)*0.475*44/12</f>
        <v>0.66142360727834681</v>
      </c>
      <c r="AB186" s="23">
        <f>EXP(-LN(2)/2)*AB185+(1-EXP(-LN(2)/2))/(LN(2)/2)*V186*Y186*VLOOKUP('Données projet'!$B$9,Paramètres!$A$1:$I$89,3,0)*0.475*44/12</f>
        <v>5.2118910974233039E-20</v>
      </c>
      <c r="AC186" s="24">
        <f t="shared" si="163"/>
        <v>12.10324201255256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1.3596945791505279E-13</v>
      </c>
      <c r="P187" s="14">
        <f t="shared" si="141"/>
        <v>1.9708830566360721E-12</v>
      </c>
      <c r="Q187" s="22">
        <f t="shared" si="162"/>
        <v>3.669434796176543E-12</v>
      </c>
      <c r="R187" s="62">
        <f t="shared" si="109"/>
        <v>293.33333333333701</v>
      </c>
      <c r="S187" s="62">
        <f ca="1">AVERAGE(OFFSET($R$3,0,0,'Données projet'!$E$9+1,1))-AVERAGE(OFFSET($H$3,0,0,'Données projet'!$E$9+1,1))</f>
        <v>234.60993819620847</v>
      </c>
      <c r="T187" s="62">
        <f t="shared" si="142"/>
        <v>346.26896655159095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11.217451325166911</v>
      </c>
      <c r="AA187" s="23">
        <f>EXP(-LN(2)/25)*AA186+(1-EXP(-LN(2)/25))/(LN(2)/25)*Calculateur!V187*Calculateur!X187*VLOOKUP('Données projet'!$B$9,Paramètres!$A$1:$I$89,3,0)*0.475*44/12</f>
        <v>0.64333694395456464</v>
      </c>
      <c r="AB187" s="23">
        <f>EXP(-LN(2)/2)*AB186+(1-EXP(-LN(2)/2))/(LN(2)/2)*V187*Y187*VLOOKUP('Données projet'!$B$9,Paramètres!$A$1:$I$89,3,0)*0.475*44/12</f>
        <v>3.6853635377938152E-20</v>
      </c>
      <c r="AC187" s="24">
        <f t="shared" si="163"/>
        <v>11.860788269121475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1.3596945791505279E-13</v>
      </c>
      <c r="P188" s="14">
        <f t="shared" si="141"/>
        <v>1.9708830566360721E-12</v>
      </c>
      <c r="Q188" s="22">
        <f t="shared" si="162"/>
        <v>3.669434796176543E-12</v>
      </c>
      <c r="R188" s="62">
        <f t="shared" si="109"/>
        <v>293.33333333333701</v>
      </c>
      <c r="S188" s="62">
        <f ca="1">AVERAGE(OFFSET($R$3,0,0,'Données projet'!$E$9+1,1))-AVERAGE(OFFSET($H$3,0,0,'Données projet'!$E$9+1,1))</f>
        <v>234.60993819620847</v>
      </c>
      <c r="T188" s="62">
        <f t="shared" si="142"/>
        <v>346.26896655159095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10.997483946650108</v>
      </c>
      <c r="AA188" s="23">
        <f>EXP(-LN(2)/25)*AA187+(1-EXP(-LN(2)/25))/(LN(2)/25)*Calculateur!V188*Calculateur!X188*VLOOKUP('Données projet'!$B$9,Paramètres!$A$1:$I$89,3,0)*0.475*44/12</f>
        <v>0.62574486139050756</v>
      </c>
      <c r="AB188" s="23">
        <f>EXP(-LN(2)/2)*AB187+(1-EXP(-LN(2)/2))/(LN(2)/2)*V188*Y188*VLOOKUP('Données projet'!$B$9,Paramètres!$A$1:$I$89,3,0)*0.475*44/12</f>
        <v>2.605945548711652E-20</v>
      </c>
      <c r="AC188" s="24">
        <f t="shared" si="163"/>
        <v>11.623228808040617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1.3596945791505279E-13</v>
      </c>
      <c r="P189" s="14">
        <f t="shared" si="141"/>
        <v>1.9708830566360721E-12</v>
      </c>
      <c r="Q189" s="22">
        <f t="shared" si="162"/>
        <v>3.669434796176543E-12</v>
      </c>
      <c r="R189" s="62">
        <f t="shared" si="109"/>
        <v>293.33333333333701</v>
      </c>
      <c r="S189" s="62">
        <f ca="1">AVERAGE(OFFSET($R$3,0,0,'Données projet'!$E$9+1,1))-AVERAGE(OFFSET($H$3,0,0,'Données projet'!$E$9+1,1))</f>
        <v>234.60993819620847</v>
      </c>
      <c r="T189" s="62">
        <f t="shared" si="142"/>
        <v>346.26896655159095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10.781829994259168</v>
      </c>
      <c r="AA189" s="23">
        <f>EXP(-LN(2)/25)*AA188+(1-EXP(-LN(2)/25))/(LN(2)/25)*Calculateur!V189*Calculateur!X189*VLOOKUP('Données projet'!$B$9,Paramètres!$A$1:$I$89,3,0)*0.475*44/12</f>
        <v>0.60863383524929204</v>
      </c>
      <c r="AB189" s="23">
        <f>EXP(-LN(2)/2)*AB188+(1-EXP(-LN(2)/2))/(LN(2)/2)*V189*Y189*VLOOKUP('Données projet'!$B$9,Paramètres!$A$1:$I$89,3,0)*0.475*44/12</f>
        <v>1.8426817688969076E-20</v>
      </c>
      <c r="AC189" s="24">
        <f t="shared" si="163"/>
        <v>11.390463829508459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1.3596945791505279E-13</v>
      </c>
      <c r="P190" s="14">
        <f t="shared" si="141"/>
        <v>1.9708830566360721E-12</v>
      </c>
      <c r="Q190" s="22">
        <f t="shared" si="162"/>
        <v>3.669434796176543E-12</v>
      </c>
      <c r="R190" s="62">
        <f t="shared" si="109"/>
        <v>293.33333333333701</v>
      </c>
      <c r="S190" s="62">
        <f ca="1">AVERAGE(OFFSET($R$3,0,0,'Données projet'!$E$9+1,1))-AVERAGE(OFFSET($H$3,0,0,'Données projet'!$E$9+1,1))</f>
        <v>234.60993819620847</v>
      </c>
      <c r="T190" s="62">
        <f t="shared" si="142"/>
        <v>346.26896655159095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10.570404884338689</v>
      </c>
      <c r="AA190" s="23">
        <f>EXP(-LN(2)/25)*AA189+(1-EXP(-LN(2)/25))/(LN(2)/25)*Calculateur!V190*Calculateur!X190*VLOOKUP('Données projet'!$B$9,Paramètres!$A$1:$I$89,3,0)*0.475*44/12</f>
        <v>0.59199071101773781</v>
      </c>
      <c r="AB190" s="23">
        <f>EXP(-LN(2)/2)*AB189+(1-EXP(-LN(2)/2))/(LN(2)/2)*V190*Y190*VLOOKUP('Données projet'!$B$9,Paramètres!$A$1:$I$89,3,0)*0.475*44/12</f>
        <v>1.302972774355826E-20</v>
      </c>
      <c r="AC190" s="24">
        <f t="shared" si="163"/>
        <v>11.162395595356427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1.3596945791505279E-13</v>
      </c>
      <c r="P191" s="14">
        <f t="shared" si="141"/>
        <v>1.9708830566360721E-12</v>
      </c>
      <c r="Q191" s="22">
        <f t="shared" si="162"/>
        <v>3.669434796176543E-12</v>
      </c>
      <c r="R191" s="62">
        <f t="shared" si="109"/>
        <v>293.33333333333701</v>
      </c>
      <c r="S191" s="62">
        <f ca="1">AVERAGE(OFFSET($R$3,0,0,'Données projet'!$E$9+1,1))-AVERAGE(OFFSET($H$3,0,0,'Données projet'!$E$9+1,1))</f>
        <v>234.60993819620847</v>
      </c>
      <c r="T191" s="62">
        <f t="shared" si="142"/>
        <v>346.26896655159095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10.363125691867168</v>
      </c>
      <c r="AA191" s="23">
        <f>EXP(-LN(2)/25)*AA190+(1-EXP(-LN(2)/25))/(LN(2)/25)*Calculateur!V191*Calculateur!X191*VLOOKUP('Données projet'!$B$9,Paramètres!$A$1:$I$89,3,0)*0.475*44/12</f>
        <v>0.57580269389351935</v>
      </c>
      <c r="AB191" s="23">
        <f>EXP(-LN(2)/2)*AB190+(1-EXP(-LN(2)/2))/(LN(2)/2)*V191*Y191*VLOOKUP('Données projet'!$B$9,Paramètres!$A$1:$I$89,3,0)*0.475*44/12</f>
        <v>9.2134088444845379E-21</v>
      </c>
      <c r="AC191" s="24">
        <f t="shared" si="163"/>
        <v>10.938928385760688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1.3596945791505279E-13</v>
      </c>
      <c r="P192" s="14">
        <f t="shared" si="141"/>
        <v>1.9708830566360721E-12</v>
      </c>
      <c r="Q192" s="22">
        <f t="shared" si="162"/>
        <v>3.669434796176543E-12</v>
      </c>
      <c r="R192" s="62">
        <f t="shared" si="109"/>
        <v>293.33333333333701</v>
      </c>
      <c r="S192" s="62">
        <f ca="1">AVERAGE(OFFSET($R$3,0,0,'Données projet'!$E$9+1,1))-AVERAGE(OFFSET($H$3,0,0,'Données projet'!$E$9+1,1))</f>
        <v>234.60993819620847</v>
      </c>
      <c r="T192" s="62">
        <f t="shared" si="142"/>
        <v>346.26896655159095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10.159911117932189</v>
      </c>
      <c r="AA192" s="23">
        <f>EXP(-LN(2)/25)*AA191+(1-EXP(-LN(2)/25))/(LN(2)/25)*Calculateur!V192*Calculateur!X192*VLOOKUP('Données projet'!$B$9,Paramètres!$A$1:$I$89,3,0)*0.475*44/12</f>
        <v>0.56005733894885346</v>
      </c>
      <c r="AB192" s="23">
        <f>EXP(-LN(2)/2)*AB191+(1-EXP(-LN(2)/2))/(LN(2)/2)*V192*Y192*VLOOKUP('Données projet'!$B$9,Paramètres!$A$1:$I$89,3,0)*0.475*44/12</f>
        <v>6.5148638717791299E-21</v>
      </c>
      <c r="AC192" s="24">
        <f t="shared" si="163"/>
        <v>10.719968456881043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1.3596945791505279E-13</v>
      </c>
      <c r="P193" s="14">
        <f t="shared" si="141"/>
        <v>1.9708830566360721E-12</v>
      </c>
      <c r="Q193" s="22">
        <f t="shared" si="162"/>
        <v>3.669434796176543E-12</v>
      </c>
      <c r="R193" s="62">
        <f t="shared" si="109"/>
        <v>293.33333333333701</v>
      </c>
      <c r="S193" s="62">
        <f ca="1">AVERAGE(OFFSET($R$3,0,0,'Données projet'!$E$9+1,1))-AVERAGE(OFFSET($H$3,0,0,'Données projet'!$E$9+1,1))</f>
        <v>234.60993819620847</v>
      </c>
      <c r="T193" s="62">
        <f t="shared" si="142"/>
        <v>346.26896655159095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9.9606814578434246</v>
      </c>
      <c r="AA193" s="23">
        <f>EXP(-LN(2)/25)*AA192+(1-EXP(-LN(2)/25))/(LN(2)/25)*Calculateur!V193*Calculateur!X193*VLOOKUP('Données projet'!$B$9,Paramètres!$A$1:$I$89,3,0)*0.475*44/12</f>
        <v>0.5447425415631616</v>
      </c>
      <c r="AB193" s="23">
        <f>EXP(-LN(2)/2)*AB192+(1-EXP(-LN(2)/2))/(LN(2)/2)*V193*Y193*VLOOKUP('Données projet'!$B$9,Paramètres!$A$1:$I$89,3,0)*0.475*44/12</f>
        <v>4.606704422242269E-21</v>
      </c>
      <c r="AC193" s="24">
        <f t="shared" si="163"/>
        <v>10.505423999406586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1.3596945791505279E-13</v>
      </c>
      <c r="P194" s="14">
        <f t="shared" si="141"/>
        <v>1.9708830566360721E-12</v>
      </c>
      <c r="Q194" s="22">
        <f t="shared" si="162"/>
        <v>3.669434796176543E-12</v>
      </c>
      <c r="R194" s="62">
        <f t="shared" si="109"/>
        <v>293.33333333333701</v>
      </c>
      <c r="S194" s="62">
        <f ca="1">AVERAGE(OFFSET($R$3,0,0,'Données projet'!$E$9+1,1))-AVERAGE(OFFSET($H$3,0,0,'Données projet'!$E$9+1,1))</f>
        <v>234.60993819620847</v>
      </c>
      <c r="T194" s="62">
        <f t="shared" si="142"/>
        <v>346.26896655159095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9.7653585698709069</v>
      </c>
      <c r="AA194" s="23">
        <f>EXP(-LN(2)/25)*AA193+(1-EXP(-LN(2)/25))/(LN(2)/25)*Calculateur!V194*Calculateur!X194*VLOOKUP('Données projet'!$B$9,Paramètres!$A$1:$I$89,3,0)*0.475*44/12</f>
        <v>0.52984652811735167</v>
      </c>
      <c r="AB194" s="23">
        <f>EXP(-LN(2)/2)*AB193+(1-EXP(-LN(2)/2))/(LN(2)/2)*V194*Y194*VLOOKUP('Données projet'!$B$9,Paramètres!$A$1:$I$89,3,0)*0.475*44/12</f>
        <v>3.257431935889565E-21</v>
      </c>
      <c r="AC194" s="24">
        <f t="shared" si="163"/>
        <v>10.295205097988259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1.3596945791505279E-13</v>
      </c>
      <c r="P195" s="14">
        <f t="shared" si="141"/>
        <v>1.9708830566360721E-12</v>
      </c>
      <c r="Q195" s="22">
        <f t="shared" si="162"/>
        <v>3.669434796176543E-12</v>
      </c>
      <c r="R195" s="62">
        <f t="shared" ref="R195:R203" si="191">Q195+(I195+J195)*44/12</f>
        <v>293.33333333333701</v>
      </c>
      <c r="S195" s="62">
        <f ca="1">AVERAGE(OFFSET($R$3,0,0,'Données projet'!$E$9+1,1))-AVERAGE(OFFSET($H$3,0,0,'Données projet'!$E$9+1,1))</f>
        <v>234.60993819620847</v>
      </c>
      <c r="T195" s="62">
        <f t="shared" si="142"/>
        <v>346.26896655159095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9.5738658445963321</v>
      </c>
      <c r="AA195" s="23">
        <f>EXP(-LN(2)/25)*AA194+(1-EXP(-LN(2)/25))/(LN(2)/25)*Calculateur!V195*Calculateur!X195*VLOOKUP('Données projet'!$B$9,Paramètres!$A$1:$I$89,3,0)*0.475*44/12</f>
        <v>0.5153578469425647</v>
      </c>
      <c r="AB195" s="23">
        <f>EXP(-LN(2)/2)*AB194+(1-EXP(-LN(2)/2))/(LN(2)/2)*V195*Y195*VLOOKUP('Données projet'!$B$9,Paramètres!$A$1:$I$89,3,0)*0.475*44/12</f>
        <v>2.3033522111211345E-21</v>
      </c>
      <c r="AC195" s="24">
        <f t="shared" si="163"/>
        <v>10.089223691538896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1.3596945791505279E-13</v>
      </c>
      <c r="P196" s="14">
        <f t="shared" si="141"/>
        <v>1.9708830566360721E-12</v>
      </c>
      <c r="Q196" s="22">
        <f t="shared" si="162"/>
        <v>3.669434796176543E-12</v>
      </c>
      <c r="R196" s="62">
        <f t="shared" si="191"/>
        <v>293.33333333333701</v>
      </c>
      <c r="S196" s="62">
        <f ca="1">AVERAGE(OFFSET($R$3,0,0,'Données projet'!$E$9+1,1))-AVERAGE(OFFSET($H$3,0,0,'Données projet'!$E$9+1,1))</f>
        <v>234.60993819620847</v>
      </c>
      <c r="T196" s="62">
        <f t="shared" si="142"/>
        <v>346.26896655159095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9.3861281748653624</v>
      </c>
      <c r="AA196" s="23">
        <f>EXP(-LN(2)/25)*AA195+(1-EXP(-LN(2)/25))/(LN(2)/25)*Calculateur!V196*Calculateur!X196*VLOOKUP('Données projet'!$B$9,Paramètres!$A$1:$I$89,3,0)*0.475*44/12</f>
        <v>0.50126535951642892</v>
      </c>
      <c r="AB196" s="23">
        <f>EXP(-LN(2)/2)*AB195+(1-EXP(-LN(2)/2))/(LN(2)/2)*V196*Y196*VLOOKUP('Données projet'!$B$9,Paramètres!$A$1:$I$89,3,0)*0.475*44/12</f>
        <v>1.6287159679447825E-21</v>
      </c>
      <c r="AC196" s="24">
        <f t="shared" si="163"/>
        <v>9.8873935343817916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1.3596945791505279E-13</v>
      </c>
      <c r="P197" s="14">
        <f t="shared" ref="P197:P203" si="203">EXP(-1.0587+0.8836*LN(O197)+0.284)</f>
        <v>1.9708830566360721E-12</v>
      </c>
      <c r="Q197" s="22">
        <f t="shared" si="162"/>
        <v>3.669434796176543E-12</v>
      </c>
      <c r="R197" s="62">
        <f t="shared" si="191"/>
        <v>293.33333333333701</v>
      </c>
      <c r="S197" s="62">
        <f ca="1">AVERAGE(OFFSET($R$3,0,0,'Données projet'!$E$9+1,1))-AVERAGE(OFFSET($H$3,0,0,'Données projet'!$E$9+1,1))</f>
        <v>234.60993819620847</v>
      </c>
      <c r="T197" s="62">
        <f t="shared" ref="T197:T203" si="204">$T$3</f>
        <v>346.26896655159095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9.2020719263291451</v>
      </c>
      <c r="AA197" s="23">
        <f>EXP(-LN(2)/25)*AA196+(1-EXP(-LN(2)/25))/(LN(2)/25)*Calculateur!V197*Calculateur!X197*VLOOKUP('Données projet'!$B$9,Paramètres!$A$1:$I$89,3,0)*0.475*44/12</f>
        <v>0.4875582319000526</v>
      </c>
      <c r="AB197" s="23">
        <f>EXP(-LN(2)/2)*AB196+(1-EXP(-LN(2)/2))/(LN(2)/2)*V197*Y197*VLOOKUP('Données projet'!$B$9,Paramètres!$A$1:$I$89,3,0)*0.475*44/12</f>
        <v>1.1516761055605672E-21</v>
      </c>
      <c r="AC197" s="24">
        <f t="shared" si="163"/>
        <v>9.6896301582291979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1.3596945791505279E-13</v>
      </c>
      <c r="P198" s="14">
        <f t="shared" si="203"/>
        <v>1.9708830566360721E-12</v>
      </c>
      <c r="Q198" s="22">
        <f t="shared" si="162"/>
        <v>3.669434796176543E-12</v>
      </c>
      <c r="R198" s="62">
        <f t="shared" si="191"/>
        <v>293.33333333333701</v>
      </c>
      <c r="S198" s="62">
        <f ca="1">AVERAGE(OFFSET($R$3,0,0,'Données projet'!$E$9+1,1))-AVERAGE(OFFSET($H$3,0,0,'Données projet'!$E$9+1,1))</f>
        <v>234.60993819620847</v>
      </c>
      <c r="T198" s="62">
        <f t="shared" si="204"/>
        <v>346.26896655159095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9.0216249085634974</v>
      </c>
      <c r="AA198" s="23">
        <f>EXP(-LN(2)/25)*AA197+(1-EXP(-LN(2)/25))/(LN(2)/25)*Calculateur!V198*Calculateur!X198*VLOOKUP('Données projet'!$B$9,Paramètres!$A$1:$I$89,3,0)*0.475*44/12</f>
        <v>0.47422592640917255</v>
      </c>
      <c r="AB198" s="23">
        <f>EXP(-LN(2)/2)*AB197+(1-EXP(-LN(2)/2))/(LN(2)/2)*V198*Y198*VLOOKUP('Données projet'!$B$9,Paramètres!$A$1:$I$89,3,0)*0.475*44/12</f>
        <v>8.1435798397239124E-22</v>
      </c>
      <c r="AC198" s="24">
        <f t="shared" si="163"/>
        <v>9.4958508349726696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1.3596945791505279E-13</v>
      </c>
      <c r="P199" s="14">
        <f t="shared" si="203"/>
        <v>1.9708830566360721E-12</v>
      </c>
      <c r="Q199" s="22">
        <f t="shared" si="162"/>
        <v>3.669434796176543E-12</v>
      </c>
      <c r="R199" s="62">
        <f t="shared" si="191"/>
        <v>293.33333333333701</v>
      </c>
      <c r="S199" s="62">
        <f ca="1">AVERAGE(OFFSET($R$3,0,0,'Données projet'!$E$9+1,1))-AVERAGE(OFFSET($H$3,0,0,'Données projet'!$E$9+1,1))</f>
        <v>234.60993819620847</v>
      </c>
      <c r="T199" s="62">
        <f t="shared" si="204"/>
        <v>346.26896655159095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8.8447163467544208</v>
      </c>
      <c r="AA199" s="23">
        <f>EXP(-LN(2)/25)*AA198+(1-EXP(-LN(2)/25))/(LN(2)/25)*Calculateur!V199*Calculateur!X199*VLOOKUP('Données projet'!$B$9,Paramètres!$A$1:$I$89,3,0)*0.475*44/12</f>
        <v>0.46125819351305614</v>
      </c>
      <c r="AB199" s="23">
        <f>EXP(-LN(2)/2)*AB198+(1-EXP(-LN(2)/2))/(LN(2)/2)*V199*Y199*VLOOKUP('Données projet'!$B$9,Paramètres!$A$1:$I$89,3,0)*0.475*44/12</f>
        <v>5.7583805278028362E-22</v>
      </c>
      <c r="AC199" s="24">
        <f t="shared" si="163"/>
        <v>9.3059745402674761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1.3596945791505279E-13</v>
      </c>
      <c r="P200" s="14">
        <f t="shared" si="203"/>
        <v>1.9708830566360721E-12</v>
      </c>
      <c r="Q200" s="22">
        <f t="shared" si="162"/>
        <v>3.669434796176543E-12</v>
      </c>
      <c r="R200" s="62">
        <f t="shared" si="191"/>
        <v>293.33333333333701</v>
      </c>
      <c r="S200" s="62">
        <f ca="1">AVERAGE(OFFSET($R$3,0,0,'Données projet'!$E$9+1,1))-AVERAGE(OFFSET($H$3,0,0,'Données projet'!$E$9+1,1))</f>
        <v>234.60993819620847</v>
      </c>
      <c r="T200" s="62">
        <f t="shared" si="204"/>
        <v>346.26896655159095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8.6712768539388509</v>
      </c>
      <c r="AA200" s="23">
        <f>EXP(-LN(2)/25)*AA199+(1-EXP(-LN(2)/25))/(LN(2)/25)*Calculateur!V200*Calculateur!X200*VLOOKUP('Données projet'!$B$9,Paramètres!$A$1:$I$89,3,0)*0.475*44/12</f>
        <v>0.44864506395492743</v>
      </c>
      <c r="AB200" s="23">
        <f>EXP(-LN(2)/2)*AB199+(1-EXP(-LN(2)/2))/(LN(2)/2)*V200*Y200*VLOOKUP('Données projet'!$B$9,Paramètres!$A$1:$I$89,3,0)*0.475*44/12</f>
        <v>4.0717899198619562E-22</v>
      </c>
      <c r="AC200" s="24">
        <f t="shared" si="163"/>
        <v>9.1199219178937785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1.3596945791505279E-13</v>
      </c>
      <c r="P201" s="14">
        <f t="shared" si="203"/>
        <v>1.9708830566360721E-12</v>
      </c>
      <c r="Q201" s="22">
        <f t="shared" si="162"/>
        <v>3.669434796176543E-12</v>
      </c>
      <c r="R201" s="62">
        <f t="shared" si="191"/>
        <v>293.33333333333701</v>
      </c>
      <c r="S201" s="62">
        <f ca="1">AVERAGE(OFFSET($R$3,0,0,'Données projet'!$E$9+1,1))-AVERAGE(OFFSET($H$3,0,0,'Données projet'!$E$9+1,1))</f>
        <v>234.60993819620847</v>
      </c>
      <c r="T201" s="62">
        <f t="shared" si="204"/>
        <v>346.26896655159095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8.501238403789749</v>
      </c>
      <c r="AA201" s="23">
        <f>EXP(-LN(2)/25)*AA200+(1-EXP(-LN(2)/25))/(LN(2)/25)*Calculateur!V201*Calculateur!X201*VLOOKUP('Données projet'!$B$9,Paramètres!$A$1:$I$89,3,0)*0.475*44/12</f>
        <v>0.4363768410878614</v>
      </c>
      <c r="AB201" s="23">
        <f>EXP(-LN(2)/2)*AB200+(1-EXP(-LN(2)/2))/(LN(2)/2)*V201*Y201*VLOOKUP('Données projet'!$B$9,Paramètres!$A$1:$I$89,3,0)*0.475*44/12</f>
        <v>2.8791902639014181E-22</v>
      </c>
      <c r="AC201" s="24">
        <f t="shared" si="163"/>
        <v>8.9376152448776107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1.3596945791505279E-13</v>
      </c>
      <c r="P202" s="14">
        <f t="shared" si="203"/>
        <v>1.9708830566360721E-12</v>
      </c>
      <c r="Q202" s="22">
        <f t="shared" si="162"/>
        <v>3.669434796176543E-12</v>
      </c>
      <c r="R202" s="62">
        <f t="shared" si="191"/>
        <v>293.33333333333701</v>
      </c>
      <c r="S202" s="62">
        <f ca="1">AVERAGE(OFFSET($R$3,0,0,'Données projet'!$E$9+1,1))-AVERAGE(OFFSET($H$3,0,0,'Données projet'!$E$9+1,1))</f>
        <v>234.60993819620847</v>
      </c>
      <c r="T202" s="62">
        <f t="shared" si="204"/>
        <v>346.26896655159095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8.3345343039348574</v>
      </c>
      <c r="AA202" s="23">
        <f>EXP(-LN(2)/25)*AA201+(1-EXP(-LN(2)/25))/(LN(2)/25)*Calculateur!V202*Calculateur!X202*VLOOKUP('Données projet'!$B$9,Paramètres!$A$1:$I$89,3,0)*0.475*44/12</f>
        <v>0.42444409342025313</v>
      </c>
      <c r="AB202" s="23">
        <f>EXP(-LN(2)/2)*AB201+(1-EXP(-LN(2)/2))/(LN(2)/2)*V202*Y202*VLOOKUP('Données projet'!$B$9,Paramètres!$A$1:$I$89,3,0)*0.475*44/12</f>
        <v>2.0358949599309781E-22</v>
      </c>
      <c r="AC202" s="24">
        <f t="shared" si="163"/>
        <v>8.7589783973551114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1.3596945791505279E-13</v>
      </c>
      <c r="P203" s="14">
        <f t="shared" si="203"/>
        <v>1.9708830566360721E-12</v>
      </c>
      <c r="Q203" s="22">
        <f t="shared" si="162"/>
        <v>3.669434796176543E-12</v>
      </c>
      <c r="R203" s="62">
        <f t="shared" si="191"/>
        <v>293.33333333333701</v>
      </c>
      <c r="S203" s="62">
        <f ca="1">AVERAGE(OFFSET($R$3,0,0,'Données projet'!$E$9+1,1))-AVERAGE(OFFSET($H$3,0,0,'Données projet'!$E$9+1,1))</f>
        <v>234.60993819620847</v>
      </c>
      <c r="T203" s="62">
        <f t="shared" si="204"/>
        <v>346.26896655159095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8.1710991697986604</v>
      </c>
      <c r="AA203" s="23">
        <f>EXP(-LN(2)/25)*AA202+(1-EXP(-LN(2)/25))/(LN(2)/25)*Calculateur!V203*Calculateur!X203*VLOOKUP('Données projet'!$B$9,Paramètres!$A$1:$I$89,3,0)*0.475*44/12</f>
        <v>0.41283764736513151</v>
      </c>
      <c r="AB203" s="23">
        <f>EXP(-LN(2)/2)*AB202+(1-EXP(-LN(2)/2))/(LN(2)/2)*V203*Y203*VLOOKUP('Données projet'!$B$9,Paramètres!$A$1:$I$89,3,0)*0.475*44/12</f>
        <v>1.4395951319507091E-22</v>
      </c>
      <c r="AC203" s="24">
        <f t="shared" si="163"/>
        <v>8.5839368171637922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1.3973210857138749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52" sqref="M5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4.84</v>
      </c>
      <c r="C6" s="156">
        <f ca="1">IF(OR('Données projet'!B9="",'Données projet'!C9="",'Données projet'!C9=0%),0,Calculateur!S3)</f>
        <v>234.60993819620847</v>
      </c>
      <c r="D6" s="156">
        <f>IF(OR('Données projet'!B9="",'Données projet'!C9="",'Données projet'!C9=0%),0,Calculateur!T3)</f>
        <v>346.26896655159095</v>
      </c>
      <c r="E6" s="156">
        <f ca="1">MIN(C6,D6)</f>
        <v>234.60993819620847</v>
      </c>
      <c r="F6" s="156">
        <f ca="1">E6*B6</f>
        <v>1135.512100869649</v>
      </c>
      <c r="G6" s="156">
        <f ca="1">F6*(100%-'Données projet'!$C$24)*(100%-'Données projet'!$C$25)*(100%-'Données projet'!$C$26)*(100%-'Données projet'!$C$27)</f>
        <v>694.9334057322252</v>
      </c>
      <c r="H6" s="157">
        <f>IF(OR('Données projet'!B9="",'Données projet'!C9="",'Données projet'!C9=0%),0,AVERAGE(Calculateur!$AC$3:$AC$33)*B6)</f>
        <v>72.353552769578954</v>
      </c>
      <c r="I6" s="158">
        <f>H6*(100%-'Données projet'!$C$24)*(100%-'Données projet'!$C$25)*(100%-'Données projet'!$C$26)*(100%-'Données projet'!$C$27)</f>
        <v>44.280374294982323</v>
      </c>
      <c r="J6" s="159">
        <f>IF(OR('Données projet'!B9="",'Données projet'!C9="",'Données projet'!C9=0%),0,SUM(Calculateur!$V$3:$V$33)*VLOOKUP('Données projet'!$B$9,Paramètres!$A$1:$I$89,9,0)*B6)</f>
        <v>441.78987599999994</v>
      </c>
      <c r="K6" s="160">
        <f>J6*(100%-'Données projet'!$C$24)*(100%-'Données projet'!$C$25)*(100%-'Données projet'!$C$26)*(100%-'Données projet'!$C$27)</f>
        <v>270.37540411200001</v>
      </c>
      <c r="L6" s="161">
        <f ca="1">G6+I6+K6</f>
        <v>1009.5891841392076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1135.512100869649</v>
      </c>
      <c r="G16" s="175">
        <f t="shared" ca="1" si="3"/>
        <v>694.9334057322252</v>
      </c>
      <c r="H16" s="176">
        <f t="shared" si="3"/>
        <v>72.353552769578954</v>
      </c>
      <c r="I16" s="176">
        <f t="shared" si="3"/>
        <v>44.280374294982323</v>
      </c>
      <c r="J16" s="177">
        <f t="shared" si="3"/>
        <v>441.78987599999994</v>
      </c>
      <c r="K16" s="177">
        <f t="shared" si="3"/>
        <v>270.37540411200001</v>
      </c>
      <c r="L16" s="178">
        <f t="shared" ca="1" si="3"/>
        <v>1009.5891841392076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N18" sqref="N1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4.84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14</v>
      </c>
      <c r="B23" s="193">
        <f>'Données projet'!D36</f>
        <v>34.25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19</v>
      </c>
      <c r="B24" s="193">
        <f>'Données projet'!D37</f>
        <v>59.5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60.96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0">
        <f ca="1">T23-T24</f>
        <v>0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32</v>
      </c>
      <c r="B26" s="193">
        <f>'Données projet'!D39</f>
        <v>76.42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n'est pas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45</v>
      </c>
      <c r="B27" s="193">
        <f>'Données projet'!D40</f>
        <v>503.89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>
        <f>225*'Données projet'!E62+13.8*('Données projet'!F62+'Données projet'!G62)+10*'Données projet'!H62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>
        <f>225*'Données projet'!E63+13.8*('Données projet'!F63+'Données projet'!G63)+10*'Données projet'!H63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>
        <f>225*'Données projet'!E64+13.8*('Données projet'!F64+'Données projet'!G64)+10*'Données projet'!H64</f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>
        <f>225*'Données projet'!E65+13.8*('Données projet'!F65+'Données projet'!G65)+10*'Données projet'!H65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>
        <f>225*'Données projet'!E66+13.8*('Données projet'!F66+'Données projet'!G66)+10*'Données projet'!H66</f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225*'Données projet'!E67+13.8*('Données projet'!F67+'Données projet'!G67)+10*'Données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225*'Données projet'!E68+13.8*('Données projet'!F68+'Données projet'!G68)+10*'Données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225*'Données projet'!E69+13.8*('Données projet'!F69+'Données projet'!G69)+10*'Données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225*'Données projet'!E70+13.8*('Données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225*'Données projet'!E71+13.8*('Données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225*'Données projet'!E72+13.8*('Données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225*'Données projet'!E73+13.8*('Données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225*'Données projet'!E74+13.8*('Données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225*'Données projet'!E75+13.8*('Données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225*'Données projet'!E76+13.8*('Données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225*'Données projet'!E77+13.8*('Données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225*'Données projet'!E78+13.8*('Données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225*'Données projet'!E79+13.8*('Données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225*'Données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2024-09-09T12:10:14Z</dcterms:modified>
</cp:coreProperties>
</file>