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FORET\Clients\Clients actifs\Edward\Marquis du LUART - PARC du LUART\Gestion\Subvention\2024\LBC\"/>
    </mc:Choice>
  </mc:AlternateContent>
  <xr:revisionPtr revIDLastSave="0" documentId="13_ncr:1_{26BD3DC6-F496-4315-AFD3-FD1E17FD192E}" xr6:coauthVersionLast="47" xr6:coauthVersionMax="47" xr10:uidLastSave="{00000000-0000-0000-0000-000000000000}"/>
  <bookViews>
    <workbookView xWindow="-109" yWindow="-109" windowWidth="26301" windowHeight="14169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W155" i="2" l="1"/>
  <c r="EX155" i="2"/>
  <c r="HH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FS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H163" i="2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A175" i="2" l="1"/>
  <c r="HI175" i="2"/>
  <c r="EB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HH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V189" i="2" l="1"/>
  <c r="AA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A195" i="2" l="1"/>
  <c r="EB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A197" i="2"/>
  <c r="A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D107" i="2" l="1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<sst xmlns="http://schemas.openxmlformats.org/spreadsheetml/2006/main" count="1170" uniqueCount="324">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</sst>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448568"/>
        <c:axId val="303448960"/>
      </c:scatterChart>
      <c:valAx>
        <c:axId val="303448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448960"/>
        <c:crosses val="autoZero"/>
        <c:crossBetween val="midCat"/>
      </c:valAx>
      <c:valAx>
        <c:axId val="30344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448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709624"/>
        <c:axId val="300710016"/>
      </c:scatterChart>
      <c:valAx>
        <c:axId val="300709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0710016"/>
        <c:crosses val="autoZero"/>
        <c:crossBetween val="midCat"/>
      </c:valAx>
      <c:valAx>
        <c:axId val="30071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0709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449744"/>
        <c:axId val="303450136"/>
      </c:scatterChart>
      <c:valAx>
        <c:axId val="303449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450136"/>
        <c:crosses val="autoZero"/>
        <c:crossBetween val="midCat"/>
      </c:valAx>
      <c:valAx>
        <c:axId val="30345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449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458936"/>
        <c:axId val="461459328"/>
      </c:scatterChart>
      <c:valAx>
        <c:axId val="461458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1459328"/>
        <c:crosses val="autoZero"/>
        <c:crossBetween val="midCat"/>
      </c:valAx>
      <c:valAx>
        <c:axId val="46145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1458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460112"/>
        <c:axId val="303379168"/>
      </c:scatterChart>
      <c:valAx>
        <c:axId val="461460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379168"/>
        <c:crosses val="autoZero"/>
        <c:crossBetween val="midCat"/>
      </c:valAx>
      <c:valAx>
        <c:axId val="30337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61460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379952"/>
        <c:axId val="303380344"/>
      </c:scatterChart>
      <c:valAx>
        <c:axId val="303379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380344"/>
        <c:crosses val="autoZero"/>
        <c:crossBetween val="midCat"/>
      </c:valAx>
      <c:valAx>
        <c:axId val="303380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379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078112"/>
        <c:axId val="476078504"/>
      </c:scatterChart>
      <c:valAx>
        <c:axId val="476078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6078504"/>
        <c:crosses val="autoZero"/>
        <c:crossBetween val="midCat"/>
      </c:valAx>
      <c:valAx>
        <c:axId val="47607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6078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6079288"/>
        <c:axId val="476079680"/>
      </c:scatterChart>
      <c:valAx>
        <c:axId val="476079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6079680"/>
        <c:crosses val="autoZero"/>
        <c:crossBetween val="midCat"/>
      </c:valAx>
      <c:valAx>
        <c:axId val="476079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76079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451008"/>
        <c:axId val="303451400"/>
      </c:scatterChart>
      <c:valAx>
        <c:axId val="303451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451400"/>
        <c:crosses val="autoZero"/>
        <c:crossBetween val="midCat"/>
      </c:valAx>
      <c:valAx>
        <c:axId val="303451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451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452184"/>
        <c:axId val="300708840"/>
      </c:scatterChart>
      <c:valAx>
        <c:axId val="303452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0708840"/>
        <c:crosses val="autoZero"/>
        <c:crossBetween val="midCat"/>
      </c:valAx>
      <c:valAx>
        <c:axId val="30070884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03452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3" x14ac:dyDescent="0.25"/>
  <cols>
    <col min="1" max="1" width="6.625" customWidth="1"/>
    <col min="2" max="13" width="15.875" customWidth="1"/>
  </cols>
  <sheetData>
    <row r="12" spans="2:13" ht="14.9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4.9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4.9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.1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.1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.1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.1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.1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.1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.1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.1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.1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.1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.1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.1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.1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.1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26" sqref="C26"/>
    </sheetView>
  </sheetViews>
  <sheetFormatPr baseColWidth="10" defaultColWidth="11.5" defaultRowHeight="14.3" x14ac:dyDescent="0.25"/>
  <cols>
    <col min="1" max="1" width="13.625" style="23" customWidth="1"/>
    <col min="2" max="2" width="36.125" style="23" customWidth="1"/>
    <col min="3" max="3" width="14.875" style="23" bestFit="1" customWidth="1"/>
    <col min="4" max="4" width="16.5" style="23" customWidth="1"/>
    <col min="5" max="5" width="23.375" style="23" customWidth="1"/>
    <col min="6" max="6" width="28.875" style="23" bestFit="1" customWidth="1"/>
    <col min="7" max="8" width="14.625" style="23" customWidth="1"/>
    <col min="9" max="9" width="17" style="23" customWidth="1"/>
    <col min="10" max="10" width="13.875" style="23" customWidth="1"/>
    <col min="11" max="16384" width="11.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9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5" x14ac:dyDescent="0.25">
      <c r="A5" s="268" t="s">
        <v>231</v>
      </c>
      <c r="B5" s="268"/>
      <c r="C5" s="24">
        <v>3.8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35</v>
      </c>
      <c r="C9" s="32">
        <v>1</v>
      </c>
      <c r="D9" s="33">
        <f t="shared" ref="D9:D18" si="0">C9*$C$5</f>
        <v>3.8</v>
      </c>
      <c r="E9" s="34">
        <v>62</v>
      </c>
      <c r="F9" s="35" t="str">
        <f t="array" ref="F9">IF(E9="","",IF(INDEX(A:A,MAX(IF(ISNUMBER($A$36:$A$55),ROW($A$36:$A$55),"")))&lt;&gt;E9,"Corrigez : révolution incorrecte","OK"))</f>
        <v>Corrigez : révolution incorrecte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3.8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.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.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Pin laricio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2.8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22</v>
      </c>
      <c r="B36" s="60">
        <v>123</v>
      </c>
      <c r="C36" s="60">
        <v>1</v>
      </c>
      <c r="D36" s="60">
        <v>16</v>
      </c>
      <c r="E36" s="51"/>
      <c r="F36" s="51"/>
      <c r="G36" s="51">
        <v>1</v>
      </c>
      <c r="H36" s="51"/>
      <c r="I36" s="49">
        <f>IFERROR(B36/A36,"")</f>
        <v>5.5909090909090908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25</v>
      </c>
      <c r="B37" s="60">
        <v>144</v>
      </c>
      <c r="C37" s="60">
        <v>2</v>
      </c>
      <c r="D37" s="60">
        <v>17</v>
      </c>
      <c r="E37" s="51"/>
      <c r="F37" s="51">
        <v>0.2</v>
      </c>
      <c r="G37" s="51">
        <v>0.8</v>
      </c>
      <c r="H37" s="51"/>
      <c r="I37" s="53">
        <f t="shared" ref="I37:I55" si="1">IF(A37&lt;&gt;0,(B37-(B36-D36))/(A37-A36),"")</f>
        <v>12.333333333333334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194</v>
      </c>
      <c r="C38" s="60">
        <v>3</v>
      </c>
      <c r="D38" s="60">
        <v>34</v>
      </c>
      <c r="E38" s="51"/>
      <c r="F38" s="51">
        <v>0.6</v>
      </c>
      <c r="G38" s="51">
        <v>0.4</v>
      </c>
      <c r="H38" s="51"/>
      <c r="I38" s="53">
        <f t="shared" si="1"/>
        <v>13.4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35</v>
      </c>
      <c r="B39" s="60">
        <v>233</v>
      </c>
      <c r="C39" s="60">
        <v>4</v>
      </c>
      <c r="D39" s="60">
        <v>41</v>
      </c>
      <c r="E39" s="51">
        <v>0.2</v>
      </c>
      <c r="F39" s="51">
        <v>0.6</v>
      </c>
      <c r="G39" s="51">
        <v>0.2</v>
      </c>
      <c r="H39" s="51"/>
      <c r="I39" s="49">
        <f t="shared" si="1"/>
        <v>14.6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264</v>
      </c>
      <c r="C40" s="60">
        <v>5</v>
      </c>
      <c r="D40" s="60">
        <v>41</v>
      </c>
      <c r="E40" s="51">
        <v>0.4</v>
      </c>
      <c r="F40" s="51">
        <v>0.5</v>
      </c>
      <c r="G40" s="51">
        <v>0.1</v>
      </c>
      <c r="H40" s="51"/>
      <c r="I40" s="49">
        <f t="shared" si="1"/>
        <v>14.4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45</v>
      </c>
      <c r="B41" s="60">
        <v>318</v>
      </c>
      <c r="C41" s="60">
        <v>6</v>
      </c>
      <c r="D41" s="60">
        <v>53</v>
      </c>
      <c r="E41" s="51">
        <v>0.5</v>
      </c>
      <c r="F41" s="51">
        <v>0.5</v>
      </c>
      <c r="G41" s="51"/>
      <c r="H41" s="51"/>
      <c r="I41" s="53">
        <f t="shared" si="1"/>
        <v>19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v>352</v>
      </c>
      <c r="C42" s="60">
        <v>7</v>
      </c>
      <c r="D42" s="60">
        <v>53</v>
      </c>
      <c r="E42" s="51">
        <v>0.5</v>
      </c>
      <c r="F42" s="51">
        <v>0.5</v>
      </c>
      <c r="G42" s="51"/>
      <c r="H42" s="51"/>
      <c r="I42" s="53">
        <f t="shared" si="1"/>
        <v>17.399999999999999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58</v>
      </c>
      <c r="B43" s="60">
        <v>440</v>
      </c>
      <c r="C43" s="60">
        <v>8</v>
      </c>
      <c r="D43" s="60">
        <v>78</v>
      </c>
      <c r="E43" s="51">
        <v>0.6</v>
      </c>
      <c r="F43" s="51">
        <v>0.4</v>
      </c>
      <c r="G43" s="51"/>
      <c r="H43" s="51"/>
      <c r="I43" s="49">
        <f t="shared" si="1"/>
        <v>17.625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66</v>
      </c>
      <c r="B44" s="60">
        <v>495</v>
      </c>
      <c r="C44" s="60">
        <v>9</v>
      </c>
      <c r="D44" s="60">
        <v>65</v>
      </c>
      <c r="E44" s="51">
        <v>0.7</v>
      </c>
      <c r="F44" s="51">
        <v>0.3</v>
      </c>
      <c r="G44" s="51"/>
      <c r="H44" s="51"/>
      <c r="I44" s="49">
        <f t="shared" si="1"/>
        <v>16.625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74</v>
      </c>
      <c r="B45" s="60">
        <v>533</v>
      </c>
      <c r="C45" s="60">
        <v>10</v>
      </c>
      <c r="D45" s="60">
        <v>37</v>
      </c>
      <c r="E45" s="51">
        <v>0.9</v>
      </c>
      <c r="F45" s="51">
        <v>0.1</v>
      </c>
      <c r="G45" s="51"/>
      <c r="H45" s="51"/>
      <c r="I45" s="49">
        <f t="shared" si="1"/>
        <v>12.875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82</v>
      </c>
      <c r="B46" s="60">
        <v>567</v>
      </c>
      <c r="C46" s="60">
        <v>11</v>
      </c>
      <c r="D46" s="60">
        <v>567</v>
      </c>
      <c r="E46" s="51">
        <v>0.9</v>
      </c>
      <c r="F46" s="51">
        <v>0.1</v>
      </c>
      <c r="G46" s="51"/>
      <c r="H46" s="51"/>
      <c r="I46" s="49">
        <f t="shared" si="1"/>
        <v>8.875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2.8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2.8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2.8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2.8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2.8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2.8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2.8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2.8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2.8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8" sqref="G8"/>
    </sheetView>
  </sheetViews>
  <sheetFormatPr baseColWidth="10" defaultColWidth="11.5" defaultRowHeight="14.3" x14ac:dyDescent="0.25"/>
  <cols>
    <col min="1" max="1" width="5.875" style="1" customWidth="1"/>
    <col min="2" max="2" width="14.125" style="1" customWidth="1"/>
    <col min="3" max="3" width="62.125" style="1" customWidth="1"/>
    <col min="4" max="5" width="4.375" style="1" customWidth="1"/>
    <col min="6" max="6" width="14.375" style="1" customWidth="1"/>
    <col min="7" max="7" width="73.375" style="1" bestFit="1" customWidth="1"/>
    <col min="8" max="10" width="11.5" style="1"/>
    <col min="11" max="11" width="12.5" style="1" customWidth="1"/>
    <col min="12" max="16384" width="11.5" style="1"/>
  </cols>
  <sheetData>
    <row r="1" spans="1:38" ht="14.9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350000000000001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350000000000001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350000000000001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.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.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4.3" x14ac:dyDescent="0.25"/>
  <cols>
    <col min="1" max="1" width="6.875" style="4" bestFit="1" customWidth="1"/>
    <col min="2" max="4" width="11.5" style="4"/>
    <col min="5" max="5" width="9.5" style="4" customWidth="1"/>
    <col min="6" max="7" width="11.5" style="4"/>
    <col min="8" max="8" width="10.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25" style="4" bestFit="1" customWidth="1"/>
    <col min="25" max="25" width="14.5" style="4" bestFit="1" customWidth="1"/>
    <col min="26" max="26" width="12.5" style="4" bestFit="1" customWidth="1"/>
    <col min="27" max="27" width="9.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75" style="4" bestFit="1" customWidth="1"/>
    <col min="45" max="45" width="11.625" style="4" bestFit="1" customWidth="1"/>
    <col min="46" max="46" width="8.5" style="4" bestFit="1" customWidth="1"/>
    <col min="47" max="47" width="9.5" style="4" bestFit="1" customWidth="1"/>
    <col min="48" max="48" width="9.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7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75" style="4" bestFit="1" customWidth="1"/>
    <col min="66" max="66" width="11.625" style="4" bestFit="1" customWidth="1"/>
    <col min="67" max="67" width="8.5" style="4" bestFit="1" customWidth="1"/>
    <col min="68" max="68" width="9.5" style="4" bestFit="1" customWidth="1"/>
    <col min="69" max="69" width="9.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7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75" style="4" bestFit="1" customWidth="1"/>
    <col min="87" max="87" width="11.625" style="4" bestFit="1" customWidth="1"/>
    <col min="88" max="88" width="8.5" style="4" bestFit="1" customWidth="1"/>
    <col min="89" max="89" width="9.5" style="4" bestFit="1" customWidth="1"/>
    <col min="90" max="90" width="9.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75" style="4" bestFit="1" customWidth="1"/>
    <col min="108" max="108" width="11.625" style="4" bestFit="1" customWidth="1"/>
    <col min="109" max="109" width="8.5" style="4" bestFit="1" customWidth="1"/>
    <col min="110" max="110" width="9.5" style="4" bestFit="1" customWidth="1"/>
    <col min="111" max="111" width="9.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7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75" style="4" bestFit="1" customWidth="1"/>
    <col min="129" max="129" width="11.625" style="4" bestFit="1" customWidth="1"/>
    <col min="130" max="130" width="8.5" style="4" bestFit="1" customWidth="1"/>
    <col min="131" max="131" width="9.5" style="4" bestFit="1" customWidth="1"/>
    <col min="132" max="132" width="9.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75" style="4" bestFit="1" customWidth="1"/>
    <col min="150" max="150" width="11.625" style="4" bestFit="1" customWidth="1"/>
    <col min="151" max="151" width="8.5" style="4" bestFit="1" customWidth="1"/>
    <col min="152" max="152" width="9.5" style="4" bestFit="1" customWidth="1"/>
    <col min="153" max="153" width="9.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75" style="4" bestFit="1" customWidth="1"/>
    <col min="171" max="171" width="11.625" style="4" bestFit="1" customWidth="1"/>
    <col min="172" max="172" width="8.125" style="4" bestFit="1" customWidth="1"/>
    <col min="173" max="173" width="9.5" style="4" bestFit="1" customWidth="1"/>
    <col min="174" max="174" width="9.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7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7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75" style="4" bestFit="1" customWidth="1"/>
    <col min="213" max="213" width="11.625" style="4" bestFit="1" customWidth="1"/>
    <col min="214" max="214" width="8.5" style="4" bestFit="1" customWidth="1"/>
    <col min="215" max="215" width="9.5" style="4" bestFit="1" customWidth="1"/>
    <col min="216" max="216" width="9.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6.5" thickBot="1" x14ac:dyDescent="0.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laricio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7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203.32669758211171</v>
      </c>
      <c r="T3" s="59">
        <f>IF('Données projet'!E9&gt;30,$R$33-$H$33,LOOKUP('Données projet'!$E$9,$A$3:$A$203,R3:R203)-LOOKUP('Données projet'!$E$9,$A$3:$A$203,$H$3:$H$203))</f>
        <v>217.57508587672368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5.5909090909090908</v>
      </c>
      <c r="N4" s="13">
        <f>IF('Données projet'!$A$36&gt;35,N3+M4-V3,IF(A4&lt;'Données projet'!$A$36,$K$205^A4,IF(A4='Données projet'!$A$36,'Données projet'!$B$36,N3+M4-V3)))</f>
        <v>1.244502252163008</v>
      </c>
      <c r="O4" s="13">
        <f>N4*VLOOKUP('Données projet'!$B$9,Paramètres!$A$1:$I$89,3,0)*VLOOKUP('Données projet'!$B$9,Paramètres!$A$1:$I$89,5,0)</f>
        <v>0.74421234679347892</v>
      </c>
      <c r="P4" s="13">
        <f>EXP(-1.0587+0.8836*LN(O4)+0.284)</f>
        <v>0.3549632728022305</v>
      </c>
      <c r="Q4" s="20">
        <f t="shared" ref="Q4:Q34" si="2">(O4+P4)*0.475*44/12</f>
        <v>1.9143975374625271</v>
      </c>
      <c r="R4" s="59">
        <f t="shared" si="0"/>
        <v>295.24773087079586</v>
      </c>
      <c r="S4" s="59">
        <f ca="1">AVERAGE(OFFSET($R$3,0,0,'Données projet'!$E$9+1,1))-AVERAGE(OFFSET($H$3,0,0,'Données projet'!$E$9+1,1))</f>
        <v>203.32669758211171</v>
      </c>
      <c r="T4" s="59">
        <f>$T$3</f>
        <v>217.57508587672368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5.5909090909090908</v>
      </c>
      <c r="N5" s="13">
        <f>IF('Données projet'!$A$36&gt;35,N4+M5-V4,IF(A5&lt;'Données projet'!$A$36,$K$205^A5,IF(A5='Données projet'!$A$36,'Données projet'!$B$36,N4+M5-V4)))</f>
        <v>1.5487858556387992</v>
      </c>
      <c r="O5" s="13">
        <f>N5*VLOOKUP('Données projet'!$B$9,Paramètres!$A$1:$I$89,3,0)*VLOOKUP('Données projet'!$B$9,Paramètres!$A$1:$I$89,5,0)</f>
        <v>0.92617394167200195</v>
      </c>
      <c r="P5" s="13">
        <f t="shared" ref="P5:P68" si="33">EXP(-1.0587+0.8836*LN(O5)+0.284)</f>
        <v>0.43064718121421069</v>
      </c>
      <c r="Q5" s="20">
        <f t="shared" si="2"/>
        <v>2.3631301223601535</v>
      </c>
      <c r="R5" s="59">
        <f t="shared" si="0"/>
        <v>295.69646345569345</v>
      </c>
      <c r="S5" s="59">
        <f ca="1">AVERAGE(OFFSET($R$3,0,0,'Données projet'!$E$9+1,1))-AVERAGE(OFFSET($H$3,0,0,'Données projet'!$E$9+1,1))</f>
        <v>203.32669758211171</v>
      </c>
      <c r="T5" s="59">
        <f t="shared" ref="T5:T68" si="34">$T$3</f>
        <v>217.57508587672368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5.5909090909090908</v>
      </c>
      <c r="N6" s="13">
        <f>IF('Données projet'!$A$36&gt;35,N5+M6-V5,IF(A6&lt;'Données projet'!$A$36,$K$205^A6,IF(A6='Données projet'!$A$36,'Données projet'!$B$36,N5+M6-V5)))</f>
        <v>1.927467485460697</v>
      </c>
      <c r="O6" s="13">
        <f>N6*VLOOKUP('Données projet'!$B$9,Paramètres!$A$1:$I$89,3,0)*VLOOKUP('Données projet'!$B$9,Paramètres!$A$1:$I$89,5,0)</f>
        <v>1.152625556305497</v>
      </c>
      <c r="P6" s="13">
        <f t="shared" si="33"/>
        <v>0.52246812247269758</v>
      </c>
      <c r="Q6" s="20">
        <f t="shared" si="2"/>
        <v>2.9174548238720219</v>
      </c>
      <c r="R6" s="59">
        <f t="shared" si="0"/>
        <v>296.25078815720536</v>
      </c>
      <c r="S6" s="59">
        <f ca="1">AVERAGE(OFFSET($R$3,0,0,'Données projet'!$E$9+1,1))-AVERAGE(OFFSET($H$3,0,0,'Données projet'!$E$9+1,1))</f>
        <v>203.32669758211171</v>
      </c>
      <c r="T6" s="59">
        <f t="shared" si="34"/>
        <v>217.57508587672368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5.5909090909090908</v>
      </c>
      <c r="N7" s="13">
        <f>IF('Données projet'!$A$36&gt;35,N6+M7-V6,IF(A7&lt;'Données projet'!$A$36,$K$205^A7,IF(A7='Données projet'!$A$36,'Données projet'!$B$36,N6+M7-V6)))</f>
        <v>2.3987376266268075</v>
      </c>
      <c r="O7" s="13">
        <f>N7*VLOOKUP('Données projet'!$B$9,Paramètres!$A$1:$I$89,3,0)*VLOOKUP('Données projet'!$B$9,Paramètres!$A$1:$I$89,5,0)</f>
        <v>1.4344451007228309</v>
      </c>
      <c r="P7" s="13">
        <f t="shared" si="33"/>
        <v>0.63386677286612625</v>
      </c>
      <c r="Q7" s="20">
        <f t="shared" si="2"/>
        <v>3.6023098465007668</v>
      </c>
      <c r="R7" s="59">
        <f t="shared" si="0"/>
        <v>296.93564317983407</v>
      </c>
      <c r="S7" s="59">
        <f ca="1">AVERAGE(OFFSET($R$3,0,0,'Données projet'!$E$9+1,1))-AVERAGE(OFFSET($H$3,0,0,'Données projet'!$E$9+1,1))</f>
        <v>203.32669758211171</v>
      </c>
      <c r="T7" s="59">
        <f t="shared" si="34"/>
        <v>217.57508587672368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5.5909090909090908</v>
      </c>
      <c r="N8" s="13">
        <f>IF('Données projet'!$A$36&gt;35,N7+M8-V7,IF(A8&lt;'Données projet'!$A$36,$K$205^A8,IF(A8='Données projet'!$A$36,'Données projet'!$B$36,N7+M8-V7)))</f>
        <v>2.9852343786852105</v>
      </c>
      <c r="O8" s="13">
        <f>N8*VLOOKUP('Données projet'!$B$9,Paramètres!$A$1:$I$89,3,0)*VLOOKUP('Données projet'!$B$9,Paramètres!$A$1:$I$89,5,0)</f>
        <v>1.785170158453756</v>
      </c>
      <c r="P8" s="13">
        <f t="shared" si="33"/>
        <v>0.7690174164926461</v>
      </c>
      <c r="Q8" s="20">
        <f t="shared" si="2"/>
        <v>4.4485433596983173</v>
      </c>
      <c r="R8" s="59">
        <f t="shared" si="0"/>
        <v>297.78187669303162</v>
      </c>
      <c r="S8" s="59">
        <f ca="1">AVERAGE(OFFSET($R$3,0,0,'Données projet'!$E$9+1,1))-AVERAGE(OFFSET($H$3,0,0,'Données projet'!$E$9+1,1))</f>
        <v>203.32669758211171</v>
      </c>
      <c r="T8" s="59">
        <f t="shared" si="34"/>
        <v>217.57508587672368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5.5909090909090908</v>
      </c>
      <c r="N9" s="13">
        <f>IF('Données projet'!$A$36&gt;35,N8+M9-V8,IF(A9&lt;'Données projet'!$A$36,$K$205^A9,IF(A9='Données projet'!$A$36,'Données projet'!$B$36,N8+M9-V8)))</f>
        <v>3.7151309075081826</v>
      </c>
      <c r="O9" s="13">
        <f>N9*VLOOKUP('Données projet'!$B$9,Paramètres!$A$1:$I$89,3,0)*VLOOKUP('Données projet'!$B$9,Paramètres!$A$1:$I$89,5,0)</f>
        <v>2.2216482826898933</v>
      </c>
      <c r="P9" s="13">
        <f t="shared" si="33"/>
        <v>0.93298436230530435</v>
      </c>
      <c r="Q9" s="20">
        <f t="shared" si="2"/>
        <v>5.4943185233666361</v>
      </c>
      <c r="R9" s="59">
        <f t="shared" si="0"/>
        <v>298.82765185669996</v>
      </c>
      <c r="S9" s="59">
        <f ca="1">AVERAGE(OFFSET($R$3,0,0,'Données projet'!$E$9+1,1))-AVERAGE(OFFSET($H$3,0,0,'Données projet'!$E$9+1,1))</f>
        <v>203.32669758211171</v>
      </c>
      <c r="T9" s="59">
        <f t="shared" si="34"/>
        <v>217.57508587672368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5.5909090909090908</v>
      </c>
      <c r="N10" s="13">
        <f>IF('Données projet'!$A$36&gt;35,N9+M10-V9,IF(A10&lt;'Données projet'!$A$36,$K$205^A10,IF(A10='Données projet'!$A$36,'Données projet'!$B$36,N9+M10-V9)))</f>
        <v>4.6234887814743333</v>
      </c>
      <c r="O10" s="13">
        <f>N10*VLOOKUP('Données projet'!$B$9,Paramètres!$A$1:$I$89,3,0)*VLOOKUP('Données projet'!$B$9,Paramètres!$A$1:$I$89,5,0)</f>
        <v>2.7648462913216516</v>
      </c>
      <c r="P10" s="13">
        <f t="shared" si="33"/>
        <v>1.1319117118000401</v>
      </c>
      <c r="Q10" s="20">
        <f t="shared" si="2"/>
        <v>6.7868535221036126</v>
      </c>
      <c r="R10" s="59">
        <f t="shared" si="0"/>
        <v>300.12018685543694</v>
      </c>
      <c r="S10" s="59">
        <f ca="1">AVERAGE(OFFSET($R$3,0,0,'Données projet'!$E$9+1,1))-AVERAGE(OFFSET($H$3,0,0,'Données projet'!$E$9+1,1))</f>
        <v>203.32669758211171</v>
      </c>
      <c r="T10" s="59">
        <f t="shared" si="34"/>
        <v>217.57508587672368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5.5909090909090908</v>
      </c>
      <c r="N11" s="13">
        <f>IF('Données projet'!$A$36&gt;35,N10+M11-V10,IF(A11&lt;'Données projet'!$A$36,$K$205^A11,IF(A11='Données projet'!$A$36,'Données projet'!$B$36,N10+M11-V10)))</f>
        <v>5.7539422013952093</v>
      </c>
      <c r="O11" s="13">
        <f>N11*VLOOKUP('Données projet'!$B$9,Paramètres!$A$1:$I$89,3,0)*VLOOKUP('Données projet'!$B$9,Paramètres!$A$1:$I$89,5,0)</f>
        <v>3.4408574364343356</v>
      </c>
      <c r="P11" s="13">
        <f t="shared" si="33"/>
        <v>1.3732535882427113</v>
      </c>
      <c r="Q11" s="20">
        <f t="shared" si="2"/>
        <v>8.3845767013125236</v>
      </c>
      <c r="R11" s="59">
        <f t="shared" si="0"/>
        <v>301.71791003464585</v>
      </c>
      <c r="S11" s="59">
        <f ca="1">AVERAGE(OFFSET($R$3,0,0,'Données projet'!$E$9+1,1))-AVERAGE(OFFSET($H$3,0,0,'Données projet'!$E$9+1,1))</f>
        <v>203.32669758211171</v>
      </c>
      <c r="T11" s="59">
        <f t="shared" si="34"/>
        <v>217.57508587672368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5.5909090909090908</v>
      </c>
      <c r="N12" s="13">
        <f>IF('Données projet'!$A$36&gt;35,N11+M12-V11,IF(A12&lt;'Données projet'!$A$36,$K$205^A12,IF(A12='Données projet'!$A$36,'Données projet'!$B$36,N11+M12-V11)))</f>
        <v>7.1607940284521145</v>
      </c>
      <c r="O12" s="13">
        <f>N12*VLOOKUP('Données projet'!$B$9,Paramètres!$A$1:$I$89,3,0)*VLOOKUP('Données projet'!$B$9,Paramètres!$A$1:$I$89,5,0)</f>
        <v>4.2821548290143649</v>
      </c>
      <c r="P12" s="13">
        <f t="shared" si="33"/>
        <v>1.6660534544894132</v>
      </c>
      <c r="Q12" s="20">
        <f t="shared" si="2"/>
        <v>10.359796093769079</v>
      </c>
      <c r="R12" s="59">
        <f t="shared" si="0"/>
        <v>303.69312942710241</v>
      </c>
      <c r="S12" s="59">
        <f ca="1">AVERAGE(OFFSET($R$3,0,0,'Données projet'!$E$9+1,1))-AVERAGE(OFFSET($H$3,0,0,'Données projet'!$E$9+1,1))</f>
        <v>203.32669758211171</v>
      </c>
      <c r="T12" s="59">
        <f t="shared" si="34"/>
        <v>217.57508587672368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5.5909090909090908</v>
      </c>
      <c r="N13" s="13">
        <f>IF('Données projet'!$A$36&gt;35,N12+M13-V12,IF(A13&lt;'Données projet'!$A$36,$K$205^A13,IF(A13='Données projet'!$A$36,'Données projet'!$B$36,N12+M13-V12)))</f>
        <v>8.9116242956840761</v>
      </c>
      <c r="O13" s="13">
        <f>N13*VLOOKUP('Données projet'!$B$9,Paramètres!$A$1:$I$89,3,0)*VLOOKUP('Données projet'!$B$9,Paramètres!$A$1:$I$89,5,0)</f>
        <v>5.3291513288190782</v>
      </c>
      <c r="P13" s="13">
        <f t="shared" si="33"/>
        <v>2.0212829858817885</v>
      </c>
      <c r="Q13" s="20">
        <f t="shared" si="2"/>
        <v>12.802006431437341</v>
      </c>
      <c r="R13" s="59">
        <f t="shared" si="0"/>
        <v>306.13533976477066</v>
      </c>
      <c r="S13" s="59">
        <f ca="1">AVERAGE(OFFSET($R$3,0,0,'Données projet'!$E$9+1,1))-AVERAGE(OFFSET($H$3,0,0,'Données projet'!$E$9+1,1))</f>
        <v>203.32669758211171</v>
      </c>
      <c r="T13" s="59">
        <f t="shared" si="34"/>
        <v>217.57508587672368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5.5909090909090908</v>
      </c>
      <c r="N14" s="13">
        <f>IF('Données projet'!$A$36&gt;35,N13+M14-V13,IF(A14&lt;'Données projet'!$A$36,$K$205^A14,IF(A14='Données projet'!$A$36,'Données projet'!$B$36,N13+M14-V13)))</f>
        <v>11.090536506409412</v>
      </c>
      <c r="O14" s="13">
        <f>N14*VLOOKUP('Données projet'!$B$9,Paramètres!$A$1:$I$89,3,0)*VLOOKUP('Données projet'!$B$9,Paramètres!$A$1:$I$89,5,0)</f>
        <v>6.6321408308328289</v>
      </c>
      <c r="P14" s="13">
        <f t="shared" si="33"/>
        <v>2.4522531963221348</v>
      </c>
      <c r="Q14" s="20">
        <f t="shared" si="2"/>
        <v>15.821986263961561</v>
      </c>
      <c r="R14" s="59">
        <f t="shared" si="0"/>
        <v>309.15531959729486</v>
      </c>
      <c r="S14" s="59">
        <f ca="1">AVERAGE(OFFSET($R$3,0,0,'Données projet'!$E$9+1,1))-AVERAGE(OFFSET($H$3,0,0,'Données projet'!$E$9+1,1))</f>
        <v>203.32669758211171</v>
      </c>
      <c r="T14" s="59">
        <f t="shared" si="34"/>
        <v>217.57508587672368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5.5909090909090908</v>
      </c>
      <c r="N15" s="13">
        <f>IF('Données projet'!$A$36&gt;35,N14+M15-V14,IF(A15&lt;'Données projet'!$A$36,$K$205^A15,IF(A15='Données projet'!$A$36,'Données projet'!$B$36,N14+M15-V14)))</f>
        <v>13.802197659922571</v>
      </c>
      <c r="O15" s="13">
        <f>N15*VLOOKUP('Données projet'!$B$9,Paramètres!$A$1:$I$89,3,0)*VLOOKUP('Données projet'!$B$9,Paramètres!$A$1:$I$89,5,0)</f>
        <v>8.2537142006336985</v>
      </c>
      <c r="P15" s="13">
        <f t="shared" si="33"/>
        <v>2.9751132230743558</v>
      </c>
      <c r="Q15" s="20">
        <f t="shared" si="2"/>
        <v>19.556874429624859</v>
      </c>
      <c r="R15" s="59">
        <f t="shared" si="0"/>
        <v>312.8902077629582</v>
      </c>
      <c r="S15" s="59">
        <f ca="1">AVERAGE(OFFSET($R$3,0,0,'Données projet'!$E$9+1,1))-AVERAGE(OFFSET($H$3,0,0,'Données projet'!$E$9+1,1))</f>
        <v>203.32669758211171</v>
      </c>
      <c r="T15" s="59">
        <f t="shared" si="34"/>
        <v>217.57508587672368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5.5909090909090908</v>
      </c>
      <c r="N16" s="13">
        <f>IF('Données projet'!$A$36&gt;35,N15+M16-V15,IF(A16&lt;'Données projet'!$A$36,$K$205^A16,IF(A16='Données projet'!$A$36,'Données projet'!$B$36,N15+M16-V15)))</f>
        <v>17.17686607257264</v>
      </c>
      <c r="O16" s="13">
        <f>N16*VLOOKUP('Données projet'!$B$9,Paramètres!$A$1:$I$89,3,0)*VLOOKUP('Données projet'!$B$9,Paramètres!$A$1:$I$89,5,0)</f>
        <v>10.27176591139844</v>
      </c>
      <c r="P16" s="13">
        <f t="shared" si="33"/>
        <v>3.609455460548272</v>
      </c>
      <c r="Q16" s="20">
        <f t="shared" si="2"/>
        <v>24.176460556140523</v>
      </c>
      <c r="R16" s="59">
        <f t="shared" si="0"/>
        <v>317.50979388947383</v>
      </c>
      <c r="S16" s="59">
        <f ca="1">AVERAGE(OFFSET($R$3,0,0,'Données projet'!$E$9+1,1))-AVERAGE(OFFSET($H$3,0,0,'Données projet'!$E$9+1,1))</f>
        <v>203.32669758211171</v>
      </c>
      <c r="T16" s="59">
        <f t="shared" si="34"/>
        <v>217.57508587672368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5.5909090909090908</v>
      </c>
      <c r="N17" s="13">
        <f>IF('Données projet'!$A$36&gt;35,N16+M17-V16,IF(A17&lt;'Données projet'!$A$36,$K$205^A17,IF(A17='Données projet'!$A$36,'Données projet'!$B$36,N16+M17-V16)))</f>
        <v>21.376648512419013</v>
      </c>
      <c r="O17" s="13">
        <f>N17*VLOOKUP('Données projet'!$B$9,Paramètres!$A$1:$I$89,3,0)*VLOOKUP('Données projet'!$B$9,Paramètres!$A$1:$I$89,5,0)</f>
        <v>12.783235810426572</v>
      </c>
      <c r="P17" s="13">
        <f t="shared" si="33"/>
        <v>4.3790497183898731</v>
      </c>
      <c r="Q17" s="20">
        <f t="shared" si="2"/>
        <v>29.890980629355308</v>
      </c>
      <c r="R17" s="59">
        <f t="shared" si="0"/>
        <v>323.2243139626886</v>
      </c>
      <c r="S17" s="59">
        <f ca="1">AVERAGE(OFFSET($R$3,0,0,'Données projet'!$E$9+1,1))-AVERAGE(OFFSET($H$3,0,0,'Données projet'!$E$9+1,1))</f>
        <v>203.32669758211171</v>
      </c>
      <c r="T17" s="59">
        <f t="shared" si="34"/>
        <v>217.57508587672368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5.5909090909090908</v>
      </c>
      <c r="N18" s="13">
        <f>IF('Données projet'!$A$36&gt;35,N17+M18-V17,IF(A18&lt;'Données projet'!$A$36,$K$205^A18,IF(A18='Données projet'!$A$36,'Données projet'!$B$36,N17+M18-V17)))</f>
        <v>26.603287217402478</v>
      </c>
      <c r="O18" s="13">
        <f>N18*VLOOKUP('Données projet'!$B$9,Paramètres!$A$1:$I$89,3,0)*VLOOKUP('Données projet'!$B$9,Paramètres!$A$1:$I$89,5,0)</f>
        <v>15.908765756006684</v>
      </c>
      <c r="P18" s="13">
        <f t="shared" si="33"/>
        <v>5.312733913945455</v>
      </c>
      <c r="Q18" s="20">
        <f t="shared" si="2"/>
        <v>36.960778591833304</v>
      </c>
      <c r="R18" s="59">
        <f t="shared" si="0"/>
        <v>330.29411192516659</v>
      </c>
      <c r="S18" s="59">
        <f ca="1">AVERAGE(OFFSET($R$3,0,0,'Données projet'!$E$9+1,1))-AVERAGE(OFFSET($H$3,0,0,'Données projet'!$E$9+1,1))</f>
        <v>203.32669758211171</v>
      </c>
      <c r="T18" s="59">
        <f t="shared" si="34"/>
        <v>217.57508587672368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5.5909090909090908</v>
      </c>
      <c r="N19" s="13">
        <f>IF('Données projet'!$A$36&gt;35,N18+M19-V18,IF(A19&lt;'Données projet'!$A$36,$K$205^A19,IF(A19='Données projet'!$A$36,'Données projet'!$B$36,N18+M19-V18)))</f>
        <v>33.107850856996748</v>
      </c>
      <c r="O19" s="13">
        <f>N19*VLOOKUP('Données projet'!$B$9,Paramètres!$A$1:$I$89,3,0)*VLOOKUP('Données projet'!$B$9,Paramètres!$A$1:$I$89,5,0)</f>
        <v>19.798494812484059</v>
      </c>
      <c r="P19" s="13">
        <f t="shared" si="33"/>
        <v>6.4454946747588586</v>
      </c>
      <c r="Q19" s="20">
        <f t="shared" si="2"/>
        <v>45.70828169028141</v>
      </c>
      <c r="R19" s="59">
        <f t="shared" si="0"/>
        <v>339.04161502361472</v>
      </c>
      <c r="S19" s="59">
        <f ca="1">AVERAGE(OFFSET($R$3,0,0,'Données projet'!$E$9+1,1))-AVERAGE(OFFSET($H$3,0,0,'Données projet'!$E$9+1,1))</f>
        <v>203.32669758211171</v>
      </c>
      <c r="T19" s="59">
        <f t="shared" si="34"/>
        <v>217.57508587672368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5.5909090909090908</v>
      </c>
      <c r="N20" s="13">
        <f>IF('Données projet'!$A$36&gt;35,N19+M20-V19,IF(A20&lt;'Données projet'!$A$36,$K$205^A20,IF(A20='Données projet'!$A$36,'Données projet'!$B$36,N19+M20-V19)))</f>
        <v>41.202794955809431</v>
      </c>
      <c r="O20" s="13">
        <f>N20*VLOOKUP('Données projet'!$B$9,Paramètres!$A$1:$I$89,3,0)*VLOOKUP('Données projet'!$B$9,Paramètres!$A$1:$I$89,5,0)</f>
        <v>24.639271383574041</v>
      </c>
      <c r="P20" s="13">
        <f t="shared" si="33"/>
        <v>7.8197783429910519</v>
      </c>
      <c r="Q20" s="20">
        <f t="shared" si="2"/>
        <v>56.532844940434195</v>
      </c>
      <c r="R20" s="59">
        <f t="shared" si="0"/>
        <v>349.8661782737675</v>
      </c>
      <c r="S20" s="59">
        <f ca="1">AVERAGE(OFFSET($R$3,0,0,'Données projet'!$E$9+1,1))-AVERAGE(OFFSET($H$3,0,0,'Données projet'!$E$9+1,1))</f>
        <v>203.32669758211171</v>
      </c>
      <c r="T20" s="59">
        <f t="shared" si="34"/>
        <v>217.57508587672368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5.5909090909090908</v>
      </c>
      <c r="N21" s="13">
        <f>IF('Données projet'!$A$36&gt;35,N20+M21-V20,IF(A21&lt;'Données projet'!$A$36,$K$205^A21,IF(A21='Données projet'!$A$36,'Données projet'!$B$36,N20+M21-V20)))</f>
        <v>51.276971117915458</v>
      </c>
      <c r="O21" s="13">
        <f>N21*VLOOKUP('Données projet'!$B$9,Paramètres!$A$1:$I$89,3,0)*VLOOKUP('Données projet'!$B$9,Paramètres!$A$1:$I$89,5,0)</f>
        <v>30.663628728513448</v>
      </c>
      <c r="P21" s="13">
        <f t="shared" si="33"/>
        <v>9.4870815071768995</v>
      </c>
      <c r="Q21" s="20">
        <f t="shared" si="2"/>
        <v>69.929153660494023</v>
      </c>
      <c r="R21" s="59">
        <f t="shared" si="0"/>
        <v>363.26248699382734</v>
      </c>
      <c r="S21" s="59">
        <f ca="1">AVERAGE(OFFSET($R$3,0,0,'Données projet'!$E$9+1,1))-AVERAGE(OFFSET($H$3,0,0,'Données projet'!$E$9+1,1))</f>
        <v>203.32669758211171</v>
      </c>
      <c r="T21" s="59">
        <f t="shared" si="34"/>
        <v>217.57508587672368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5.5909090909090908</v>
      </c>
      <c r="N22" s="13">
        <f>IF('Données projet'!$A$36&gt;35,N21+M22-V21,IF(A22&lt;'Données projet'!$A$36,$K$205^A22,IF(A22='Données projet'!$A$36,'Données projet'!$B$36,N21+M22-V21)))</f>
        <v>63.814306040343304</v>
      </c>
      <c r="O22" s="13">
        <f>N22*VLOOKUP('Données projet'!$B$9,Paramètres!$A$1:$I$89,3,0)*VLOOKUP('Données projet'!$B$9,Paramètres!$A$1:$I$89,5,0)</f>
        <v>38.160955012125299</v>
      </c>
      <c r="P22" s="13">
        <f t="shared" si="33"/>
        <v>11.509880661066306</v>
      </c>
      <c r="Q22" s="20">
        <f t="shared" si="2"/>
        <v>86.510038797475374</v>
      </c>
      <c r="R22" s="59">
        <f t="shared" si="0"/>
        <v>379.84337213080869</v>
      </c>
      <c r="S22" s="59">
        <f ca="1">AVERAGE(OFFSET($R$3,0,0,'Données projet'!$E$9+1,1))-AVERAGE(OFFSET($H$3,0,0,'Données projet'!$E$9+1,1))</f>
        <v>203.32669758211171</v>
      </c>
      <c r="T22" s="59">
        <f t="shared" si="34"/>
        <v>217.57508587672368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5.5909090909090908</v>
      </c>
      <c r="N23" s="13">
        <f>IF('Données projet'!$A$36&gt;35,N22+M23-V22,IF(A23&lt;'Données projet'!$A$36,$K$205^A23,IF(A23='Données projet'!$A$36,'Données projet'!$B$36,N22+M23-V22)))</f>
        <v>79.417047587426694</v>
      </c>
      <c r="O23" s="13">
        <f>N23*VLOOKUP('Données projet'!$B$9,Paramètres!$A$1:$I$89,3,0)*VLOOKUP('Données projet'!$B$9,Paramètres!$A$1:$I$89,5,0)</f>
        <v>47.49139445728116</v>
      </c>
      <c r="P23" s="13">
        <f t="shared" si="33"/>
        <v>13.96397329692701</v>
      </c>
      <c r="Q23" s="20">
        <f t="shared" si="2"/>
        <v>107.03476550524589</v>
      </c>
      <c r="R23" s="59">
        <f t="shared" si="0"/>
        <v>400.36809883857921</v>
      </c>
      <c r="S23" s="59">
        <f ca="1">AVERAGE(OFFSET($R$3,0,0,'Données projet'!$E$9+1,1))-AVERAGE(OFFSET($H$3,0,0,'Données projet'!$E$9+1,1))</f>
        <v>203.32669758211171</v>
      </c>
      <c r="T23" s="59">
        <f t="shared" si="34"/>
        <v>217.57508587672368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5.5909090909090908</v>
      </c>
      <c r="N24" s="13">
        <f>IF('Données projet'!$A$36&gt;35,N23+M24-V23,IF(A24&lt;'Données projet'!$A$36,$K$205^A24,IF(A24='Données projet'!$A$36,'Données projet'!$B$36,N23+M24-V23)))</f>
        <v>98.834694582689295</v>
      </c>
      <c r="O24" s="13">
        <f>N24*VLOOKUP('Données projet'!$B$9,Paramètres!$A$1:$I$89,3,0)*VLOOKUP('Données projet'!$B$9,Paramètres!$A$1:$I$89,5,0)</f>
        <v>59.103147360448204</v>
      </c>
      <c r="P24" s="13">
        <f t="shared" si="33"/>
        <v>16.94131815778756</v>
      </c>
      <c r="Q24" s="20">
        <f t="shared" si="2"/>
        <v>132.44411077759398</v>
      </c>
      <c r="R24" s="59">
        <f t="shared" si="0"/>
        <v>425.77744411092726</v>
      </c>
      <c r="S24" s="59">
        <f ca="1">AVERAGE(OFFSET($R$3,0,0,'Données projet'!$E$9+1,1))-AVERAGE(OFFSET($H$3,0,0,'Données projet'!$E$9+1,1))</f>
        <v>203.32669758211171</v>
      </c>
      <c r="T24" s="59">
        <f t="shared" si="34"/>
        <v>217.57508587672368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123</v>
      </c>
      <c r="L25" s="12">
        <f>VLOOKUP(A25,'Données projet'!$A$35:$I$55,9,0)</f>
        <v>5.5909090909090908</v>
      </c>
      <c r="M25" s="12">
        <f t="array" ref="M25">INDEX(L:L,MIN(IF(ISNUMBER(L25:L221),ROW(L25:L221),"")))</f>
        <v>5.5909090909090908</v>
      </c>
      <c r="N25" s="13">
        <f>IF('Données projet'!$A$36&gt;35,N24+M25-V24,IF(A25&lt;'Données projet'!$A$36,$K$205^A25,IF(A25='Données projet'!$A$36,'Données projet'!$B$36,N24+M25-V24)))</f>
        <v>123</v>
      </c>
      <c r="O25" s="13">
        <f>N25*VLOOKUP('Données projet'!$B$9,Paramètres!$A$1:$I$89,3,0)*VLOOKUP('Données projet'!$B$9,Paramètres!$A$1:$I$89,5,0)</f>
        <v>73.554000000000016</v>
      </c>
      <c r="P25" s="13">
        <f t="shared" si="33"/>
        <v>20.553481077376691</v>
      </c>
      <c r="Q25" s="20">
        <f t="shared" si="2"/>
        <v>163.90386287643108</v>
      </c>
      <c r="R25" s="59">
        <f t="shared" si="0"/>
        <v>457.23719620976442</v>
      </c>
      <c r="S25" s="59">
        <f ca="1">AVERAGE(OFFSET($R$3,0,0,'Données projet'!$E$9+1,1))-AVERAGE(OFFSET($H$3,0,0,'Données projet'!$E$9+1,1))</f>
        <v>203.32669758211171</v>
      </c>
      <c r="T25" s="59">
        <f t="shared" si="34"/>
        <v>217.57508587672368</v>
      </c>
      <c r="U25" s="15">
        <f>IF(ISNA(VLOOKUP(A25,'Données projet'!$A$35:$I$55,3,0)),0,VLOOKUP(A25,'Données projet'!$A$35:$I$55,3,0))</f>
        <v>1</v>
      </c>
      <c r="V25" s="15">
        <f>IF(ISNA(VLOOKUP(A25,'Données projet'!$A$35:$I$55,4,0)),0,VLOOKUP(A25,'Données projet'!$A$35:$I$55,4,0))</f>
        <v>16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1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10.833198622733226</v>
      </c>
      <c r="AC25" s="22">
        <f t="shared" si="3"/>
        <v>10.833198622733226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12.333333333333334</v>
      </c>
      <c r="N26" s="13">
        <f>IF('Données projet'!$A$36&gt;35,N25+M26-V25,IF(A26&lt;'Données projet'!$A$36,$K$205^A26,IF(A26='Données projet'!$A$36,'Données projet'!$B$36,N25+M26-V25)))</f>
        <v>119.33333333333334</v>
      </c>
      <c r="O26" s="13">
        <f>N26*VLOOKUP('Données projet'!$B$9,Paramètres!$A$1:$I$89,3,0)*VLOOKUP('Données projet'!$B$9,Paramètres!$A$1:$I$89,5,0)</f>
        <v>71.361333333333349</v>
      </c>
      <c r="P26" s="13">
        <f t="shared" si="33"/>
        <v>20.011144716858571</v>
      </c>
      <c r="Q26" s="20">
        <f t="shared" si="2"/>
        <v>159.14039927075092</v>
      </c>
      <c r="R26" s="59">
        <f t="shared" si="0"/>
        <v>452.47373260408426</v>
      </c>
      <c r="S26" s="59">
        <f ca="1">AVERAGE(OFFSET($R$3,0,0,'Données projet'!$E$9+1,1))-AVERAGE(OFFSET($H$3,0,0,'Données projet'!$E$9+1,1))</f>
        <v>203.32669758211171</v>
      </c>
      <c r="T26" s="59">
        <f t="shared" si="34"/>
        <v>217.57508587672368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7.6602282080754316</v>
      </c>
      <c r="AC26" s="22">
        <f t="shared" si="3"/>
        <v>7.6602282080754316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12.333333333333334</v>
      </c>
      <c r="N27" s="13">
        <f>IF('Données projet'!$A$36&gt;35,N26+M27-V26,IF(A27&lt;'Données projet'!$A$36,$K$205^A27,IF(A27='Données projet'!$A$36,'Données projet'!$B$36,N26+M27-V26)))</f>
        <v>131.66666666666669</v>
      </c>
      <c r="O27" s="13">
        <f>N27*VLOOKUP('Données projet'!$B$9,Paramètres!$A$1:$I$89,3,0)*VLOOKUP('Données projet'!$B$9,Paramètres!$A$1:$I$89,5,0)</f>
        <v>78.736666666666679</v>
      </c>
      <c r="P27" s="13">
        <f t="shared" si="33"/>
        <v>21.828006984037064</v>
      </c>
      <c r="Q27" s="20">
        <f t="shared" si="2"/>
        <v>175.15013994164235</v>
      </c>
      <c r="R27" s="59">
        <f t="shared" si="0"/>
        <v>468.48347327497567</v>
      </c>
      <c r="S27" s="59">
        <f ca="1">AVERAGE(OFFSET($R$3,0,0,'Données projet'!$E$9+1,1))-AVERAGE(OFFSET($H$3,0,0,'Données projet'!$E$9+1,1))</f>
        <v>203.32669758211171</v>
      </c>
      <c r="T27" s="59">
        <f t="shared" si="34"/>
        <v>217.57508587672368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5.416599311366614</v>
      </c>
      <c r="AC27" s="22">
        <f t="shared" si="3"/>
        <v>5.416599311366614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144</v>
      </c>
      <c r="L28" s="12">
        <f>VLOOKUP(A28,'Données projet'!$A$35:$I$55,9,0)</f>
        <v>12.333333333333334</v>
      </c>
      <c r="M28" s="12">
        <f t="array" ref="M28">INDEX(L:L,MIN(IF(ISNUMBER(L28:L224),ROW(L28:L224),"")))</f>
        <v>12.333333333333334</v>
      </c>
      <c r="N28" s="13">
        <f>IF('Données projet'!$A$36&gt;35,N27+M28-V27,IF(A28&lt;'Données projet'!$A$36,$K$205^A28,IF(A28='Données projet'!$A$36,'Données projet'!$B$36,N27+M28-V27)))</f>
        <v>144.00000000000003</v>
      </c>
      <c r="O28" s="13">
        <f>N28*VLOOKUP('Données projet'!$B$9,Paramètres!$A$1:$I$89,3,0)*VLOOKUP('Données projet'!$B$9,Paramètres!$A$1:$I$89,5,0)</f>
        <v>86.112000000000009</v>
      </c>
      <c r="P28" s="13">
        <f t="shared" si="33"/>
        <v>23.625136642852297</v>
      </c>
      <c r="Q28" s="20">
        <f t="shared" si="2"/>
        <v>191.12551298630106</v>
      </c>
      <c r="R28" s="59">
        <f t="shared" si="0"/>
        <v>484.4588463196344</v>
      </c>
      <c r="S28" s="59">
        <f ca="1">AVERAGE(OFFSET($R$3,0,0,'Données projet'!$E$9+1,1))-AVERAGE(OFFSET($H$3,0,0,'Données projet'!$E$9+1,1))</f>
        <v>203.32669758211171</v>
      </c>
      <c r="T28" s="59">
        <f t="shared" si="34"/>
        <v>217.57508587672368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17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9.0000000000000011E-2</v>
      </c>
      <c r="Y28" s="16">
        <f>IF(ISNA(VLOOKUP(A28,'Données projet'!$A$35:$I$55,7,0)),0%,VLOOKUP(A28,'Données projet'!$A$35:$I$55,7,0))</f>
        <v>0.8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1.2089479776558347</v>
      </c>
      <c r="AB28" s="21">
        <f>EXP(-LN(2)/2)*AB27+(1-EXP(-LN(2)/2))/(LN(2)/2)*V28*Y28*VLOOKUP('Données projet'!$B$9,Paramètres!$A$1:$I$89,3,0)*0.475*44/12</f>
        <v>13.038332933360959</v>
      </c>
      <c r="AC28" s="22">
        <f t="shared" si="3"/>
        <v>14.247280911016794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13.4</v>
      </c>
      <c r="N29" s="13">
        <f>IF('Données projet'!$A$36&gt;35,N28+M29-V28,IF(A29&lt;'Données projet'!$A$36,$K$205^A29,IF(A29='Données projet'!$A$36,'Données projet'!$B$36,N28+M29-V28)))</f>
        <v>140.40000000000003</v>
      </c>
      <c r="O29" s="13">
        <f>N29*VLOOKUP('Données projet'!$B$9,Paramètres!$A$1:$I$89,3,0)*VLOOKUP('Données projet'!$B$9,Paramètres!$A$1:$I$89,5,0)</f>
        <v>83.959200000000024</v>
      </c>
      <c r="P29" s="13">
        <f t="shared" si="33"/>
        <v>23.102490880810642</v>
      </c>
      <c r="Q29" s="20">
        <f t="shared" si="2"/>
        <v>186.46577828407854</v>
      </c>
      <c r="R29" s="59">
        <f t="shared" si="0"/>
        <v>479.79911161741188</v>
      </c>
      <c r="S29" s="59">
        <f ca="1">AVERAGE(OFFSET($R$3,0,0,'Données projet'!$E$9+1,1))-AVERAGE(OFFSET($H$3,0,0,'Données projet'!$E$9+1,1))</f>
        <v>203.32669758211171</v>
      </c>
      <c r="T29" s="59">
        <f t="shared" si="34"/>
        <v>217.57508587672368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1.1758892316310248</v>
      </c>
      <c r="AB29" s="21">
        <f>EXP(-LN(2)/2)*AB28+(1-EXP(-LN(2)/2))/(LN(2)/2)*V29*Y29*VLOOKUP('Données projet'!$B$9,Paramètres!$A$1:$I$89,3,0)*0.475*44/12</f>
        <v>9.2194936325474242</v>
      </c>
      <c r="AC29" s="22">
        <f t="shared" si="3"/>
        <v>10.395382864178449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13.4</v>
      </c>
      <c r="N30" s="13">
        <f>IF('Données projet'!$A$36&gt;35,N29+M30-V29,IF(A30&lt;'Données projet'!$A$36,$K$205^A30,IF(A30='Données projet'!$A$36,'Données projet'!$B$36,N29+M30-V29)))</f>
        <v>153.80000000000004</v>
      </c>
      <c r="O30" s="13">
        <f>N30*VLOOKUP('Données projet'!$B$9,Paramètres!$A$1:$I$89,3,0)*VLOOKUP('Données projet'!$B$9,Paramètres!$A$1:$I$89,5,0)</f>
        <v>91.972400000000022</v>
      </c>
      <c r="P30" s="13">
        <f t="shared" si="33"/>
        <v>25.040318527820091</v>
      </c>
      <c r="Q30" s="20">
        <f t="shared" si="2"/>
        <v>203.79715143595334</v>
      </c>
      <c r="R30" s="59">
        <f t="shared" si="0"/>
        <v>497.13048476928668</v>
      </c>
      <c r="S30" s="59">
        <f ca="1">AVERAGE(OFFSET($R$3,0,0,'Données projet'!$E$9+1,1))-AVERAGE(OFFSET($H$3,0,0,'Données projet'!$E$9+1,1))</f>
        <v>203.32669758211171</v>
      </c>
      <c r="T30" s="59">
        <f t="shared" si="34"/>
        <v>217.57508587672368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1.1437344787547472</v>
      </c>
      <c r="AB30" s="21">
        <f>EXP(-LN(2)/2)*AB29+(1-EXP(-LN(2)/2))/(LN(2)/2)*V30*Y30*VLOOKUP('Données projet'!$B$9,Paramètres!$A$1:$I$89,3,0)*0.475*44/12</f>
        <v>6.5191664666804803</v>
      </c>
      <c r="AC30" s="22">
        <f t="shared" si="3"/>
        <v>7.6629009454352275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13.4</v>
      </c>
      <c r="N31" s="13">
        <f>IF('Données projet'!$A$36&gt;35,N30+M31-V30,IF(A31&lt;'Données projet'!$A$36,$K$205^A31,IF(A31='Données projet'!$A$36,'Données projet'!$B$36,N30+M31-V30)))</f>
        <v>167.20000000000005</v>
      </c>
      <c r="O31" s="13">
        <f>N31*VLOOKUP('Données projet'!$B$9,Paramètres!$A$1:$I$89,3,0)*VLOOKUP('Données projet'!$B$9,Paramètres!$A$1:$I$89,5,0)</f>
        <v>99.985600000000034</v>
      </c>
      <c r="P31" s="13">
        <f t="shared" si="33"/>
        <v>26.958566918169435</v>
      </c>
      <c r="Q31" s="20">
        <f t="shared" si="2"/>
        <v>221.09442404914515</v>
      </c>
      <c r="R31" s="59">
        <f t="shared" si="0"/>
        <v>514.42775738247849</v>
      </c>
      <c r="S31" s="59">
        <f ca="1">AVERAGE(OFFSET($R$3,0,0,'Données projet'!$E$9+1,1))-AVERAGE(OFFSET($H$3,0,0,'Données projet'!$E$9+1,1))</f>
        <v>203.32669758211171</v>
      </c>
      <c r="T31" s="59">
        <f t="shared" si="34"/>
        <v>217.57508587672368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1.1124589992868164</v>
      </c>
      <c r="AB31" s="21">
        <f>EXP(-LN(2)/2)*AB30+(1-EXP(-LN(2)/2))/(LN(2)/2)*V31*Y31*VLOOKUP('Données projet'!$B$9,Paramètres!$A$1:$I$89,3,0)*0.475*44/12</f>
        <v>4.609746816273713</v>
      </c>
      <c r="AC31" s="22">
        <f t="shared" si="3"/>
        <v>5.7222058155605291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13.4</v>
      </c>
      <c r="N32" s="13">
        <f>IF('Données projet'!$A$36&gt;35,N31+M32-V31,IF(A32&lt;'Données projet'!$A$36,$K$205^A32,IF(A32='Données projet'!$A$36,'Données projet'!$B$36,N31+M32-V31)))</f>
        <v>180.60000000000005</v>
      </c>
      <c r="O32" s="13">
        <f>N32*VLOOKUP('Données projet'!$B$9,Paramètres!$A$1:$I$89,3,0)*VLOOKUP('Données projet'!$B$9,Paramètres!$A$1:$I$89,5,0)</f>
        <v>107.99880000000003</v>
      </c>
      <c r="P32" s="13">
        <f t="shared" si="33"/>
        <v>28.85898360070161</v>
      </c>
      <c r="Q32" s="20">
        <f t="shared" si="2"/>
        <v>238.36063977122203</v>
      </c>
      <c r="R32" s="59">
        <f t="shared" si="0"/>
        <v>531.69397310455531</v>
      </c>
      <c r="S32" s="59">
        <f ca="1">AVERAGE(OFFSET($R$3,0,0,'Données projet'!$E$9+1,1))-AVERAGE(OFFSET($H$3,0,0,'Données projet'!$E$9+1,1))</f>
        <v>203.32669758211171</v>
      </c>
      <c r="T32" s="59">
        <f t="shared" si="34"/>
        <v>217.57508587672368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1.0820387494496422</v>
      </c>
      <c r="AB32" s="21">
        <f>EXP(-LN(2)/2)*AB31+(1-EXP(-LN(2)/2))/(LN(2)/2)*V32*Y32*VLOOKUP('Données projet'!$B$9,Paramètres!$A$1:$I$89,3,0)*0.475*44/12</f>
        <v>3.2595832333402406</v>
      </c>
      <c r="AC32" s="22">
        <f t="shared" si="3"/>
        <v>4.3416219827898832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194</v>
      </c>
      <c r="L33" s="12">
        <f>VLOOKUP(A33,'Données projet'!$A$35:$I$55,9,0)</f>
        <v>13.4</v>
      </c>
      <c r="M33" s="12">
        <f t="array" ref="M33">INDEX(L:L,MIN(IF(ISNUMBER(L33:L229),ROW(L33:L229),"")))</f>
        <v>13.4</v>
      </c>
      <c r="N33" s="13">
        <f>IF('Données projet'!$A$36&gt;35,N32+M33-V32,IF(A33&lt;'Données projet'!$A$36,$K$205^A33,IF(A33='Données projet'!$A$36,'Données projet'!$B$36,N32+M33-V32)))</f>
        <v>194.00000000000006</v>
      </c>
      <c r="O33" s="13">
        <f>N33*VLOOKUP('Données projet'!$B$9,Paramètres!$A$1:$I$89,3,0)*VLOOKUP('Données projet'!$B$9,Paramètres!$A$1:$I$89,5,0)</f>
        <v>116.01200000000003</v>
      </c>
      <c r="P33" s="13">
        <f t="shared" si="33"/>
        <v>30.743042086238173</v>
      </c>
      <c r="Q33" s="20">
        <f t="shared" si="2"/>
        <v>255.59836496686489</v>
      </c>
      <c r="R33" s="59">
        <f t="shared" si="0"/>
        <v>548.93169830019815</v>
      </c>
      <c r="S33" s="59">
        <f ca="1">AVERAGE(OFFSET($R$3,0,0,'Données projet'!$E$9+1,1))-AVERAGE(OFFSET($H$3,0,0,'Données projet'!$E$9+1,1))</f>
        <v>203.32669758211171</v>
      </c>
      <c r="T33" s="59">
        <f t="shared" si="34"/>
        <v>217.57508587672368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34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0.27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8.3061382088790054</v>
      </c>
      <c r="AB33" s="21">
        <f>EXP(-LN(2)/2)*AB32+(1-EXP(-LN(2)/2))/(LN(2)/2)*V33*Y33*VLOOKUP('Données projet'!$B$9,Paramètres!$A$1:$I$89,3,0)*0.475*44/12</f>
        <v>11.513092237460098</v>
      </c>
      <c r="AC33" s="22">
        <f t="shared" si="3"/>
        <v>19.819230446339105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14.6</v>
      </c>
      <c r="N34" s="13">
        <f>IF('Données projet'!$A$36&gt;35,N33+M34-V33,IF(A34&lt;'Données projet'!$A$36,$K$205^A34,IF(A34='Données projet'!$A$36,'Données projet'!$B$36,N33+M34-V33)))</f>
        <v>174.60000000000005</v>
      </c>
      <c r="O34" s="13">
        <f>N34*VLOOKUP('Données projet'!$B$9,Paramètres!$A$1:$I$89,3,0)*VLOOKUP('Données projet'!$B$9,Paramètres!$A$1:$I$89,5,0)</f>
        <v>104.41080000000004</v>
      </c>
      <c r="P34" s="13">
        <f t="shared" si="33"/>
        <v>28.010155571424168</v>
      </c>
      <c r="Q34" s="20">
        <f t="shared" si="2"/>
        <v>230.63316428689714</v>
      </c>
      <c r="R34" s="59">
        <f t="shared" si="0"/>
        <v>523.96649762023048</v>
      </c>
      <c r="S34" s="59">
        <f ca="1">AVERAGE(OFFSET($R$3,0,0,'Données projet'!$E$9+1,1))-AVERAGE(OFFSET($H$3,0,0,'Données projet'!$E$9+1,1))</f>
        <v>203.32669758211171</v>
      </c>
      <c r="T34" s="59">
        <f t="shared" si="34"/>
        <v>217.57508587672368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8.0790064227563843</v>
      </c>
      <c r="AB34" s="21">
        <f>EXP(-LN(2)/2)*AB33+(1-EXP(-LN(2)/2))/(LN(2)/2)*V34*Y34*VLOOKUP('Données projet'!$B$9,Paramètres!$A$1:$I$89,3,0)*0.475*44/12</f>
        <v>8.1409855935342375</v>
      </c>
      <c r="AC34" s="22">
        <f t="shared" si="3"/>
        <v>16.219992016290622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14.6</v>
      </c>
      <c r="N35" s="13">
        <f>IF('Données projet'!$A$36&gt;35,N34+M35-V34,IF(A35&lt;'Données projet'!$A$36,$K$205^A35,IF(A35='Données projet'!$A$36,'Données projet'!$B$36,N34+M35-V34)))</f>
        <v>189.20000000000005</v>
      </c>
      <c r="O35" s="13">
        <f>N35*VLOOKUP('Données projet'!$B$9,Paramètres!$A$1:$I$89,3,0)*VLOOKUP('Données projet'!$B$9,Paramètres!$A$1:$I$89,5,0)</f>
        <v>113.14160000000004</v>
      </c>
      <c r="P35" s="13">
        <f t="shared" si="33"/>
        <v>30.069952587742019</v>
      </c>
      <c r="Q35" s="20">
        <f t="shared" ref="Q35:Q66" si="53">(O35+P35)*0.475*44/12</f>
        <v>249.42678742365072</v>
      </c>
      <c r="R35" s="59">
        <f t="shared" si="0"/>
        <v>542.76012075698407</v>
      </c>
      <c r="S35" s="59">
        <f ca="1">AVERAGE(OFFSET($R$3,0,0,'Données projet'!$E$9+1,1))-AVERAGE(OFFSET($H$3,0,0,'Données projet'!$E$9+1,1))</f>
        <v>203.32669758211171</v>
      </c>
      <c r="T35" s="59">
        <f t="shared" si="34"/>
        <v>217.57508587672368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7.8580855672696277</v>
      </c>
      <c r="AB35" s="21">
        <f>EXP(-LN(2)/2)*AB34+(1-EXP(-LN(2)/2))/(LN(2)/2)*V35*Y35*VLOOKUP('Données projet'!$B$9,Paramètres!$A$1:$I$89,3,0)*0.475*44/12</f>
        <v>5.75654611873005</v>
      </c>
      <c r="AC35" s="22">
        <f t="shared" si="3"/>
        <v>13.614631685999678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14.6</v>
      </c>
      <c r="N36" s="13">
        <f>IF('Données projet'!$A$36&gt;35,N35+M36-V35,IF(A36&lt;'Données projet'!$A$36,$K$205^A36,IF(A36='Données projet'!$A$36,'Données projet'!$B$36,N35+M36-V35)))</f>
        <v>203.80000000000004</v>
      </c>
      <c r="O36" s="13">
        <f>N36*VLOOKUP('Données projet'!$B$9,Paramètres!$A$1:$I$89,3,0)*VLOOKUP('Données projet'!$B$9,Paramètres!$A$1:$I$89,5,0)</f>
        <v>121.87240000000003</v>
      </c>
      <c r="P36" s="13">
        <f t="shared" si="33"/>
        <v>32.111311550408985</v>
      </c>
      <c r="Q36" s="20">
        <f t="shared" si="53"/>
        <v>268.1882976169623</v>
      </c>
      <c r="R36" s="59">
        <f t="shared" si="0"/>
        <v>561.52163095029562</v>
      </c>
      <c r="S36" s="59">
        <f ca="1">AVERAGE(OFFSET($R$3,0,0,'Données projet'!$E$9+1,1))-AVERAGE(OFFSET($H$3,0,0,'Données projet'!$E$9+1,1))</f>
        <v>203.32669758211171</v>
      </c>
      <c r="T36" s="59">
        <f t="shared" si="34"/>
        <v>217.57508587672368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7.6432058041938795</v>
      </c>
      <c r="AB36" s="21">
        <f>EXP(-LN(2)/2)*AB35+(1-EXP(-LN(2)/2))/(LN(2)/2)*V36*Y36*VLOOKUP('Données projet'!$B$9,Paramètres!$A$1:$I$89,3,0)*0.475*44/12</f>
        <v>4.0704927967671187</v>
      </c>
      <c r="AC36" s="22">
        <f t="shared" si="3"/>
        <v>11.713698600960999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14.6</v>
      </c>
      <c r="N37" s="13">
        <f>IF('Données projet'!$A$36&gt;35,N36+M37-V36,IF(A37&lt;'Données projet'!$A$36,$K$205^A37,IF(A37='Données projet'!$A$36,'Données projet'!$B$36,N36+M37-V36)))</f>
        <v>218.40000000000003</v>
      </c>
      <c r="O37" s="13">
        <f>N37*VLOOKUP('Données projet'!$B$9,Paramètres!$A$1:$I$89,3,0)*VLOOKUP('Données projet'!$B$9,Paramètres!$A$1:$I$89,5,0)</f>
        <v>130.60320000000004</v>
      </c>
      <c r="P37" s="13">
        <f t="shared" si="33"/>
        <v>34.135703567016428</v>
      </c>
      <c r="Q37" s="20">
        <f t="shared" si="53"/>
        <v>286.92025704588701</v>
      </c>
      <c r="R37" s="59">
        <f t="shared" si="0"/>
        <v>580.25359037922033</v>
      </c>
      <c r="S37" s="59">
        <f ca="1">AVERAGE(OFFSET($R$3,0,0,'Données projet'!$E$9+1,1))-AVERAGE(OFFSET($H$3,0,0,'Données projet'!$E$9+1,1))</f>
        <v>203.32669758211171</v>
      </c>
      <c r="T37" s="59">
        <f t="shared" si="34"/>
        <v>217.57508587672368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7.4342019395394736</v>
      </c>
      <c r="AB37" s="21">
        <f>EXP(-LN(2)/2)*AB36+(1-EXP(-LN(2)/2))/(LN(2)/2)*V37*Y37*VLOOKUP('Données projet'!$B$9,Paramètres!$A$1:$I$89,3,0)*0.475*44/12</f>
        <v>2.878273059365025</v>
      </c>
      <c r="AC37" s="22">
        <f t="shared" si="3"/>
        <v>10.312474998904499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233</v>
      </c>
      <c r="L38" s="12">
        <f>VLOOKUP(A38,'Données projet'!$A$35:$I$55,9,0)</f>
        <v>14.6</v>
      </c>
      <c r="M38" s="12">
        <f t="array" ref="M38">INDEX(L:L,MIN(IF(ISNUMBER(L38:L234),ROW(L38:L234),"")))</f>
        <v>14.6</v>
      </c>
      <c r="N38" s="13">
        <f>IF('Données projet'!$A$36&gt;35,N37+M38-V37,IF(A38&lt;'Données projet'!$A$36,$K$205^A38,IF(A38='Données projet'!$A$36,'Données projet'!$B$36,N37+M38-V37)))</f>
        <v>233.00000000000003</v>
      </c>
      <c r="O38" s="13">
        <f>N38*VLOOKUP('Données projet'!$B$9,Paramètres!$A$1:$I$89,3,0)*VLOOKUP('Données projet'!$B$9,Paramètres!$A$1:$I$89,5,0)</f>
        <v>139.33400000000003</v>
      </c>
      <c r="P38" s="13">
        <f t="shared" si="33"/>
        <v>36.144391930570897</v>
      </c>
      <c r="Q38" s="20">
        <f t="shared" si="53"/>
        <v>305.62486594574438</v>
      </c>
      <c r="R38" s="59">
        <f t="shared" si="0"/>
        <v>598.95819927907769</v>
      </c>
      <c r="S38" s="59">
        <f ca="1">AVERAGE(OFFSET($R$3,0,0,'Données projet'!$E$9+1,1))-AVERAGE(OFFSET($H$3,0,0,'Données projet'!$E$9+1,1))</f>
        <v>203.32669758211171</v>
      </c>
      <c r="T38" s="59">
        <f t="shared" si="34"/>
        <v>217.57508587672368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41</v>
      </c>
      <c r="W38" s="16">
        <f>IF(ISNA(VLOOKUP(A38,'Données projet'!$A$35:$I$55,5,0)),0%,VLOOKUP(A38,'Données projet'!$A$35:$I$55,5,0)*VLOOKUP('Données projet'!$B$9,Paramètres!$A$1:$I$89,7,0))</f>
        <v>9.0000000000000011E-2</v>
      </c>
      <c r="X38" s="16">
        <f>IF(ISNA(VLOOKUP(A38,'Données projet'!$A$35:$I$55,6,0)),0%,VLOOKUP(A38,'Données projet'!$A$35:$I$55,6,0)*VLOOKUP('Données projet'!$B$9,Paramètres!$A$1:$I$89,7,0))</f>
        <v>0.27</v>
      </c>
      <c r="Y38" s="16">
        <f>IF(ISNA(VLOOKUP(A38,'Données projet'!$A$35:$I$55,7,0)),0%,VLOOKUP(A38,'Données projet'!$A$35:$I$55,7,0))</f>
        <v>0.2</v>
      </c>
      <c r="Z38" s="21">
        <f>EXP(-LN(2)/35)*Z37+(1-EXP(-LN(2)/35))/(LN(2)/35)*V38*W38*VLOOKUP('Données projet'!$B$9,Paramètres!$A$1:$I$89,3,0)*0.475*44/12</f>
        <v>2.9272236586619989</v>
      </c>
      <c r="AA38" s="21">
        <f>EXP(-LN(2)/25)*AA37+(1-EXP(-LN(2)/25))/(LN(2)/25)*Calculateur!V38*Calculateur!X38*VLOOKUP('Données projet'!$B$9,Paramètres!$A$1:$I$89,3,0)*0.475*44/12</f>
        <v>15.978007487829647</v>
      </c>
      <c r="AB38" s="21">
        <f>EXP(-LN(2)/2)*AB37+(1-EXP(-LN(2)/2))/(LN(2)/2)*V38*Y38*VLOOKUP('Données projet'!$B$9,Paramètres!$A$1:$I$89,3,0)*0.475*44/12</f>
        <v>7.587260692534338</v>
      </c>
      <c r="AC38" s="22">
        <f t="shared" si="3"/>
        <v>26.49249183902598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14.4</v>
      </c>
      <c r="N39" s="13">
        <f>IF('Données projet'!$A$36&gt;35,N38+M39-V38,IF(A39&lt;'Données projet'!$A$36,$K$205^A39,IF(A39='Données projet'!$A$36,'Données projet'!$B$36,N38+M39-V38)))</f>
        <v>206.40000000000003</v>
      </c>
      <c r="O39" s="13">
        <f>N39*VLOOKUP('Données projet'!$B$9,Paramètres!$A$1:$I$89,3,0)*VLOOKUP('Données projet'!$B$9,Paramètres!$A$1:$I$89,5,0)</f>
        <v>123.42720000000003</v>
      </c>
      <c r="P39" s="13">
        <f t="shared" si="33"/>
        <v>32.473022671122074</v>
      </c>
      <c r="Q39" s="20">
        <f t="shared" si="53"/>
        <v>271.5262211522043</v>
      </c>
      <c r="R39" s="59">
        <f t="shared" si="0"/>
        <v>564.85955448553761</v>
      </c>
      <c r="S39" s="59">
        <f ca="1">AVERAGE(OFFSET($R$3,0,0,'Données projet'!$E$9+1,1))-AVERAGE(OFFSET($H$3,0,0,'Données projet'!$E$9+1,1))</f>
        <v>203.32669758211171</v>
      </c>
      <c r="T39" s="59">
        <f t="shared" si="34"/>
        <v>217.57508587672368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2.8698225881457722</v>
      </c>
      <c r="AA39" s="21">
        <f>EXP(-LN(2)/25)*AA38+(1-EXP(-LN(2)/25))/(LN(2)/25)*Calculateur!V39*Calculateur!X39*VLOOKUP('Données projet'!$B$9,Paramètres!$A$1:$I$89,3,0)*0.475*44/12</f>
        <v>15.54108803282805</v>
      </c>
      <c r="AB39" s="21">
        <f>EXP(-LN(2)/2)*AB38+(1-EXP(-LN(2)/2))/(LN(2)/2)*V39*Y39*VLOOKUP('Données projet'!$B$9,Paramètres!$A$1:$I$89,3,0)*0.475*44/12</f>
        <v>5.3650034863211715</v>
      </c>
      <c r="AC39" s="22">
        <f t="shared" si="3"/>
        <v>23.775914107294994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14.4</v>
      </c>
      <c r="N40" s="13">
        <f>IF('Données projet'!$A$36&gt;35,N39+M40-V39,IF(A40&lt;'Données projet'!$A$36,$K$205^A40,IF(A40='Données projet'!$A$36,'Données projet'!$B$36,N39+M40-V39)))</f>
        <v>220.80000000000004</v>
      </c>
      <c r="O40" s="13">
        <f>N40*VLOOKUP('Données projet'!$B$9,Paramètres!$A$1:$I$89,3,0)*VLOOKUP('Données projet'!$B$9,Paramètres!$A$1:$I$89,5,0)</f>
        <v>132.03840000000005</v>
      </c>
      <c r="P40" s="13">
        <f t="shared" si="33"/>
        <v>34.466946374534373</v>
      </c>
      <c r="Q40" s="20">
        <f t="shared" si="53"/>
        <v>289.99681160231415</v>
      </c>
      <c r="R40" s="59">
        <f t="shared" si="0"/>
        <v>583.33014493564747</v>
      </c>
      <c r="S40" s="59">
        <f ca="1">AVERAGE(OFFSET($R$3,0,0,'Données projet'!$E$9+1,1))-AVERAGE(OFFSET($H$3,0,0,'Données projet'!$E$9+1,1))</f>
        <v>203.32669758211171</v>
      </c>
      <c r="T40" s="59">
        <f t="shared" si="34"/>
        <v>217.57508587672368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2.813547117611173</v>
      </c>
      <c r="AA40" s="21">
        <f>EXP(-LN(2)/25)*AA39+(1-EXP(-LN(2)/25))/(LN(2)/25)*Calculateur!V40*Calculateur!X40*VLOOKUP('Données projet'!$B$9,Paramètres!$A$1:$I$89,3,0)*0.475*44/12</f>
        <v>15.116116163300067</v>
      </c>
      <c r="AB40" s="21">
        <f>EXP(-LN(2)/2)*AB39+(1-EXP(-LN(2)/2))/(LN(2)/2)*V40*Y40*VLOOKUP('Données projet'!$B$9,Paramètres!$A$1:$I$89,3,0)*0.475*44/12</f>
        <v>3.7936303462671694</v>
      </c>
      <c r="AC40" s="22">
        <f t="shared" si="3"/>
        <v>21.723293627178407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14.4</v>
      </c>
      <c r="N41" s="13">
        <f>IF('Données projet'!$A$36&gt;35,N40+M41-V40,IF(A41&lt;'Données projet'!$A$36,$K$205^A41,IF(A41='Données projet'!$A$36,'Données projet'!$B$36,N40+M41-V40)))</f>
        <v>235.20000000000005</v>
      </c>
      <c r="O41" s="13">
        <f>N41*VLOOKUP('Données projet'!$B$9,Paramètres!$A$1:$I$89,3,0)*VLOOKUP('Données projet'!$B$9,Paramètres!$A$1:$I$89,5,0)</f>
        <v>140.64960000000002</v>
      </c>
      <c r="P41" s="13">
        <f t="shared" si="33"/>
        <v>36.445779615258601</v>
      </c>
      <c r="Q41" s="20">
        <f t="shared" si="53"/>
        <v>308.44111949657542</v>
      </c>
      <c r="R41" s="59">
        <f t="shared" si="0"/>
        <v>601.7744528299088</v>
      </c>
      <c r="S41" s="59">
        <f ca="1">AVERAGE(OFFSET($R$3,0,0,'Données projet'!$E$9+1,1))-AVERAGE(OFFSET($H$3,0,0,'Données projet'!$E$9+1,1))</f>
        <v>203.32669758211171</v>
      </c>
      <c r="T41" s="59">
        <f t="shared" si="34"/>
        <v>217.57508587672368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2.7583751747291094</v>
      </c>
      <c r="AA41" s="21">
        <f>EXP(-LN(2)/25)*AA40+(1-EXP(-LN(2)/25))/(LN(2)/25)*Calculateur!V41*Calculateur!X41*VLOOKUP('Données projet'!$B$9,Paramètres!$A$1:$I$89,3,0)*0.475*44/12</f>
        <v>14.702765171892626</v>
      </c>
      <c r="AB41" s="21">
        <f>EXP(-LN(2)/2)*AB40+(1-EXP(-LN(2)/2))/(LN(2)/2)*V41*Y41*VLOOKUP('Données projet'!$B$9,Paramètres!$A$1:$I$89,3,0)*0.475*44/12</f>
        <v>2.6825017431605862</v>
      </c>
      <c r="AC41" s="22">
        <f t="shared" si="3"/>
        <v>20.143642089782322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14.4</v>
      </c>
      <c r="N42" s="13">
        <f>IF('Données projet'!$A$36&gt;35,N41+M42-V41,IF(A42&lt;'Données projet'!$A$36,$K$205^A42,IF(A42='Données projet'!$A$36,'Données projet'!$B$36,N41+M42-V41)))</f>
        <v>249.60000000000005</v>
      </c>
      <c r="O42" s="13">
        <f>N42*VLOOKUP('Données projet'!$B$9,Paramètres!$A$1:$I$89,3,0)*VLOOKUP('Données projet'!$B$9,Paramètres!$A$1:$I$89,5,0)</f>
        <v>149.26080000000005</v>
      </c>
      <c r="P42" s="13">
        <f t="shared" si="33"/>
        <v>38.410551499792909</v>
      </c>
      <c r="Q42" s="20">
        <f t="shared" si="53"/>
        <v>326.86093719547273</v>
      </c>
      <c r="R42" s="59">
        <f t="shared" si="0"/>
        <v>620.1942705288061</v>
      </c>
      <c r="S42" s="59">
        <f ca="1">AVERAGE(OFFSET($R$3,0,0,'Données projet'!$E$9+1,1))-AVERAGE(OFFSET($H$3,0,0,'Données projet'!$E$9+1,1))</f>
        <v>203.32669758211171</v>
      </c>
      <c r="T42" s="59">
        <f t="shared" si="34"/>
        <v>217.57508587672368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2.7042851199954008</v>
      </c>
      <c r="AA42" s="21">
        <f>EXP(-LN(2)/25)*AA41+(1-EXP(-LN(2)/25))/(LN(2)/25)*Calculateur!V42*Calculateur!X42*VLOOKUP('Données projet'!$B$9,Paramètres!$A$1:$I$89,3,0)*0.475*44/12</f>
        <v>14.300717285082404</v>
      </c>
      <c r="AB42" s="21">
        <f>EXP(-LN(2)/2)*AB41+(1-EXP(-LN(2)/2))/(LN(2)/2)*V42*Y42*VLOOKUP('Données projet'!$B$9,Paramètres!$A$1:$I$89,3,0)*0.475*44/12</f>
        <v>1.8968151731335852</v>
      </c>
      <c r="AC42" s="22">
        <f t="shared" si="3"/>
        <v>18.901817578211389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264</v>
      </c>
      <c r="L43" s="12">
        <f>VLOOKUP(A43,'Données projet'!$A$35:$I$55,9,0)</f>
        <v>14.4</v>
      </c>
      <c r="M43" s="12">
        <f t="array" ref="M43">INDEX(L:L,MIN(IF(ISNUMBER(L43:L239),ROW(L43:L239),"")))</f>
        <v>14.4</v>
      </c>
      <c r="N43" s="13">
        <f>IF('Données projet'!$A$36&gt;35,N42+M43-V42,IF(A43&lt;'Données projet'!$A$36,$K$205^A43,IF(A43='Données projet'!$A$36,'Données projet'!$B$36,N42+M43-V42)))</f>
        <v>264.00000000000006</v>
      </c>
      <c r="O43" s="13">
        <f>N43*VLOOKUP('Données projet'!$B$9,Paramètres!$A$1:$I$89,3,0)*VLOOKUP('Données projet'!$B$9,Paramètres!$A$1:$I$89,5,0)</f>
        <v>157.87200000000004</v>
      </c>
      <c r="P43" s="13">
        <f t="shared" si="33"/>
        <v>40.362165684361159</v>
      </c>
      <c r="Q43" s="20">
        <f t="shared" si="53"/>
        <v>345.25783856692902</v>
      </c>
      <c r="R43" s="59">
        <f t="shared" si="0"/>
        <v>638.59117190026234</v>
      </c>
      <c r="S43" s="59">
        <f ca="1">AVERAGE(OFFSET($R$3,0,0,'Données projet'!$E$9+1,1))-AVERAGE(OFFSET($H$3,0,0,'Données projet'!$E$9+1,1))</f>
        <v>203.32669758211171</v>
      </c>
      <c r="T43" s="59">
        <f t="shared" si="34"/>
        <v>217.57508587672368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41</v>
      </c>
      <c r="W43" s="16">
        <f>IF(ISNA(VLOOKUP(A43,'Données projet'!$A$35:$I$55,5,0)),0%,VLOOKUP(A43,'Données projet'!$A$35:$I$55,5,0)*VLOOKUP('Données projet'!$B$9,Paramètres!$A$1:$I$89,7,0))</f>
        <v>0.18000000000000002</v>
      </c>
      <c r="X43" s="16">
        <f>IF(ISNA(VLOOKUP(A43,'Données projet'!$A$35:$I$55,6,0)),0%,VLOOKUP(A43,'Données projet'!$A$35:$I$55,6,0)*VLOOKUP('Données projet'!$B$9,Paramètres!$A$1:$I$89,7,0))</f>
        <v>0.22500000000000001</v>
      </c>
      <c r="Y43" s="16">
        <f>IF(ISNA(VLOOKUP(A43,'Données projet'!$A$35:$I$55,7,0)),0%,VLOOKUP(A43,'Données projet'!$A$35:$I$55,7,0))</f>
        <v>0.1</v>
      </c>
      <c r="Z43" s="21">
        <f>EXP(-LN(2)/35)*Z42+(1-EXP(-LN(2)/35))/(LN(2)/35)*V43*W43*VLOOKUP('Données projet'!$B$9,Paramètres!$A$1:$I$89,3,0)*0.475*44/12</f>
        <v>8.5057030555673414</v>
      </c>
      <c r="AA43" s="21">
        <f>EXP(-LN(2)/25)*AA42+(1-EXP(-LN(2)/25))/(LN(2)/25)*Calculateur!V43*Calculateur!X43*VLOOKUP('Données projet'!$B$9,Paramètres!$A$1:$I$89,3,0)*0.475*44/12</f>
        <v>21.198908578275265</v>
      </c>
      <c r="AB43" s="21">
        <f>EXP(-LN(2)/2)*AB42+(1-EXP(-LN(2)/2))/(LN(2)/2)*V43*Y43*VLOOKUP('Données projet'!$B$9,Paramètres!$A$1:$I$89,3,0)*0.475*44/12</f>
        <v>4.1172580186556829</v>
      </c>
      <c r="AC43" s="22">
        <f t="shared" si="3"/>
        <v>33.821869652498293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</v>
      </c>
      <c r="N44" s="13">
        <f>IF('Données projet'!$A$36&gt;35,N43+M44-V43,IF(A44&lt;'Données projet'!$A$36,$K$205^A44,IF(A44='Données projet'!$A$36,'Données projet'!$B$36,N43+M44-V43)))</f>
        <v>242.00000000000006</v>
      </c>
      <c r="O44" s="13">
        <f>N44*VLOOKUP('Données projet'!$B$9,Paramètres!$A$1:$I$89,3,0)*VLOOKUP('Données projet'!$B$9,Paramètres!$A$1:$I$89,5,0)</f>
        <v>144.71600000000007</v>
      </c>
      <c r="P44" s="13">
        <f t="shared" si="33"/>
        <v>37.375282885096105</v>
      </c>
      <c r="Q44" s="20">
        <f t="shared" si="53"/>
        <v>317.14231769154247</v>
      </c>
      <c r="R44" s="59">
        <f t="shared" si="0"/>
        <v>610.47565102487579</v>
      </c>
      <c r="S44" s="59">
        <f ca="1">AVERAGE(OFFSET($R$3,0,0,'Données projet'!$E$9+1,1))-AVERAGE(OFFSET($H$3,0,0,'Données projet'!$E$9+1,1))</f>
        <v>203.32669758211171</v>
      </c>
      <c r="T44" s="59">
        <f t="shared" si="34"/>
        <v>217.57508587672368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8.33891140661426</v>
      </c>
      <c r="AA44" s="21">
        <f>EXP(-LN(2)/25)*AA43+(1-EXP(-LN(2)/25))/(LN(2)/25)*Calculateur!V44*Calculateur!X44*VLOOKUP('Données projet'!$B$9,Paramètres!$A$1:$I$89,3,0)*0.475*44/12</f>
        <v>20.619223308400176</v>
      </c>
      <c r="AB44" s="21">
        <f>EXP(-LN(2)/2)*AB43+(1-EXP(-LN(2)/2))/(LN(2)/2)*V44*Y44*VLOOKUP('Données projet'!$B$9,Paramètres!$A$1:$I$89,3,0)*0.475*44/12</f>
        <v>2.9113410648861224</v>
      </c>
      <c r="AC44" s="22">
        <f t="shared" si="3"/>
        <v>31.869475779900561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</v>
      </c>
      <c r="N45" s="13">
        <f>IF('Données projet'!$A$36&gt;35,N44+M45-V44,IF(A45&lt;'Données projet'!$A$36,$K$205^A45,IF(A45='Données projet'!$A$36,'Données projet'!$B$36,N44+M45-V44)))</f>
        <v>261.00000000000006</v>
      </c>
      <c r="O45" s="13">
        <f>N45*VLOOKUP('Données projet'!$B$9,Paramètres!$A$1:$I$89,3,0)*VLOOKUP('Données projet'!$B$9,Paramètres!$A$1:$I$89,5,0)</f>
        <v>156.07800000000003</v>
      </c>
      <c r="P45" s="13">
        <f t="shared" si="33"/>
        <v>39.956623674978466</v>
      </c>
      <c r="Q45" s="20">
        <f t="shared" si="53"/>
        <v>341.42696956725422</v>
      </c>
      <c r="R45" s="59">
        <f t="shared" si="0"/>
        <v>634.76030290058748</v>
      </c>
      <c r="S45" s="59">
        <f ca="1">AVERAGE(OFFSET($R$3,0,0,'Données projet'!$E$9+1,1))-AVERAGE(OFFSET($H$3,0,0,'Données projet'!$E$9+1,1))</f>
        <v>203.32669758211171</v>
      </c>
      <c r="T45" s="59">
        <f t="shared" si="34"/>
        <v>217.57508587672368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8.1753904401642892</v>
      </c>
      <c r="AA45" s="21">
        <f>EXP(-LN(2)/25)*AA44+(1-EXP(-LN(2)/25))/(LN(2)/25)*Calculateur!V45*Calculateur!X45*VLOOKUP('Données projet'!$B$9,Paramètres!$A$1:$I$89,3,0)*0.475*44/12</f>
        <v>20.055389562714147</v>
      </c>
      <c r="AB45" s="21">
        <f>EXP(-LN(2)/2)*AB44+(1-EXP(-LN(2)/2))/(LN(2)/2)*V45*Y45*VLOOKUP('Données projet'!$B$9,Paramètres!$A$1:$I$89,3,0)*0.475*44/12</f>
        <v>2.0586290093278419</v>
      </c>
      <c r="AC45" s="22">
        <f t="shared" si="3"/>
        <v>30.289409012206278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</v>
      </c>
      <c r="N46" s="13">
        <f>IF('Données projet'!$A$36&gt;35,N45+M46-V45,IF(A46&lt;'Données projet'!$A$36,$K$205^A46,IF(A46='Données projet'!$A$36,'Données projet'!$B$36,N45+M46-V45)))</f>
        <v>280.00000000000006</v>
      </c>
      <c r="O46" s="13">
        <f>N46*VLOOKUP('Données projet'!$B$9,Paramètres!$A$1:$I$89,3,0)*VLOOKUP('Données projet'!$B$9,Paramètres!$A$1:$I$89,5,0)</f>
        <v>167.44000000000005</v>
      </c>
      <c r="P46" s="13">
        <f t="shared" si="33"/>
        <v>42.516163405082935</v>
      </c>
      <c r="Q46" s="20">
        <f t="shared" si="53"/>
        <v>365.67365126385283</v>
      </c>
      <c r="R46" s="59">
        <f t="shared" si="0"/>
        <v>659.00698459718615</v>
      </c>
      <c r="S46" s="59">
        <f ca="1">AVERAGE(OFFSET($R$3,0,0,'Données projet'!$E$9+1,1))-AVERAGE(OFFSET($H$3,0,0,'Données projet'!$E$9+1,1))</f>
        <v>203.32669758211171</v>
      </c>
      <c r="T46" s="59">
        <f t="shared" si="34"/>
        <v>217.57508587672368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8.0150760201284612</v>
      </c>
      <c r="AA46" s="21">
        <f>EXP(-LN(2)/25)*AA45+(1-EXP(-LN(2)/25))/(LN(2)/25)*Calculateur!V46*Calculateur!X46*VLOOKUP('Données projet'!$B$9,Paramètres!$A$1:$I$89,3,0)*0.475*44/12</f>
        <v>19.50697388045463</v>
      </c>
      <c r="AB46" s="21">
        <f>EXP(-LN(2)/2)*AB45+(1-EXP(-LN(2)/2))/(LN(2)/2)*V46*Y46*VLOOKUP('Données projet'!$B$9,Paramètres!$A$1:$I$89,3,0)*0.475*44/12</f>
        <v>1.4556705324430614</v>
      </c>
      <c r="AC46" s="22">
        <f t="shared" si="3"/>
        <v>28.977720433026153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</v>
      </c>
      <c r="N47" s="13">
        <f>IF('Données projet'!$A$36&gt;35,N46+M47-V46,IF(A47&lt;'Données projet'!$A$36,$K$205^A47,IF(A47='Données projet'!$A$36,'Données projet'!$B$36,N46+M47-V46)))</f>
        <v>299.00000000000006</v>
      </c>
      <c r="O47" s="13">
        <f>N47*VLOOKUP('Données projet'!$B$9,Paramètres!$A$1:$I$89,3,0)*VLOOKUP('Données projet'!$B$9,Paramètres!$A$1:$I$89,5,0)</f>
        <v>178.80200000000002</v>
      </c>
      <c r="P47" s="13">
        <f t="shared" si="33"/>
        <v>45.055549739375941</v>
      </c>
      <c r="Q47" s="20">
        <f t="shared" si="53"/>
        <v>389.88523246274644</v>
      </c>
      <c r="R47" s="59">
        <f t="shared" si="0"/>
        <v>683.2185657960797</v>
      </c>
      <c r="S47" s="59">
        <f ca="1">AVERAGE(OFFSET($R$3,0,0,'Données projet'!$E$9+1,1))-AVERAGE(OFFSET($H$3,0,0,'Données projet'!$E$9+1,1))</f>
        <v>203.32669758211171</v>
      </c>
      <c r="T47" s="59">
        <f t="shared" si="34"/>
        <v>217.57508587672368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7.8579052680873938</v>
      </c>
      <c r="AA47" s="21">
        <f>EXP(-LN(2)/25)*AA46+(1-EXP(-LN(2)/25))/(LN(2)/25)*Calculateur!V47*Calculateur!X47*VLOOKUP('Données projet'!$B$9,Paramètres!$A$1:$I$89,3,0)*0.475*44/12</f>
        <v>18.973554653866426</v>
      </c>
      <c r="AB47" s="21">
        <f>EXP(-LN(2)/2)*AB46+(1-EXP(-LN(2)/2))/(LN(2)/2)*V47*Y47*VLOOKUP('Données projet'!$B$9,Paramètres!$A$1:$I$89,3,0)*0.475*44/12</f>
        <v>1.0293145046639209</v>
      </c>
      <c r="AC47" s="22">
        <f t="shared" si="3"/>
        <v>27.860774426617741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318</v>
      </c>
      <c r="L48" s="12">
        <f>VLOOKUP(A48,'Données projet'!$A$35:$I$55,9,0)</f>
        <v>19</v>
      </c>
      <c r="M48" s="12">
        <f t="array" ref="M48">INDEX(L:L,MIN(IF(ISNUMBER(L48:L244),ROW(L48:L244),"")))</f>
        <v>19</v>
      </c>
      <c r="N48" s="13">
        <f>IF('Données projet'!$A$36&gt;35,N47+M48-V47,IF(A48&lt;'Données projet'!$A$36,$K$205^A48,IF(A48='Données projet'!$A$36,'Données projet'!$B$36,N47+M48-V47)))</f>
        <v>318.00000000000006</v>
      </c>
      <c r="O48" s="13">
        <f>N48*VLOOKUP('Données projet'!$B$9,Paramètres!$A$1:$I$89,3,0)*VLOOKUP('Données projet'!$B$9,Paramètres!$A$1:$I$89,5,0)</f>
        <v>190.16400000000004</v>
      </c>
      <c r="P48" s="13">
        <f t="shared" si="33"/>
        <v>47.576209101852911</v>
      </c>
      <c r="Q48" s="20">
        <f t="shared" si="53"/>
        <v>414.06419751906054</v>
      </c>
      <c r="R48" s="59">
        <f t="shared" si="0"/>
        <v>707.39753085239386</v>
      </c>
      <c r="S48" s="59">
        <f ca="1">AVERAGE(OFFSET($R$3,0,0,'Données projet'!$E$9+1,1))-AVERAGE(OFFSET($H$3,0,0,'Données projet'!$E$9+1,1))</f>
        <v>203.32669758211171</v>
      </c>
      <c r="T48" s="59">
        <f t="shared" si="34"/>
        <v>217.57508587672368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53</v>
      </c>
      <c r="W48" s="16">
        <f>IF(ISNA(VLOOKUP(A48,'Données projet'!$A$35:$I$55,5,0)),0%,VLOOKUP(A48,'Données projet'!$A$35:$I$55,5,0)*VLOOKUP('Données projet'!$B$9,Paramètres!$A$1:$I$89,7,0))</f>
        <v>0.22500000000000001</v>
      </c>
      <c r="X48" s="16">
        <f>IF(ISNA(VLOOKUP(A48,'Données projet'!$A$35:$I$55,6,0)),0%,VLOOKUP(A48,'Données projet'!$A$35:$I$55,6,0)*VLOOKUP('Données projet'!$B$9,Paramètres!$A$1:$I$89,7,0))</f>
        <v>0.22500000000000001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17.163746655036839</v>
      </c>
      <c r="AA48" s="21">
        <f>EXP(-LN(2)/25)*AA47+(1-EXP(-LN(2)/25))/(LN(2)/25)*Calculateur!V48*Calculateur!X48*VLOOKUP('Données projet'!$B$9,Paramètres!$A$1:$I$89,3,0)*0.475*44/12</f>
        <v>27.877404571103991</v>
      </c>
      <c r="AB48" s="21">
        <f>EXP(-LN(2)/2)*AB47+(1-EXP(-LN(2)/2))/(LN(2)/2)*V48*Y48*VLOOKUP('Données projet'!$B$9,Paramètres!$A$1:$I$89,3,0)*0.475*44/12</f>
        <v>0.72783526622153072</v>
      </c>
      <c r="AC48" s="22">
        <f t="shared" si="3"/>
        <v>45.768986492362359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17.399999999999999</v>
      </c>
      <c r="N49" s="13">
        <f>IF('Données projet'!$A$36&gt;35,N48+M49-V48,IF(A49&lt;'Données projet'!$A$36,$K$205^A49,IF(A49='Données projet'!$A$36,'Données projet'!$B$36,N48+M49-V48)))</f>
        <v>282.40000000000003</v>
      </c>
      <c r="O49" s="13">
        <f>N49*VLOOKUP('Données projet'!$B$9,Paramètres!$A$1:$I$89,3,0)*VLOOKUP('Données projet'!$B$9,Paramètres!$A$1:$I$89,5,0)</f>
        <v>168.87520000000004</v>
      </c>
      <c r="P49" s="13">
        <f t="shared" si="33"/>
        <v>42.838008554673955</v>
      </c>
      <c r="Q49" s="20">
        <f t="shared" si="53"/>
        <v>368.73383823272388</v>
      </c>
      <c r="R49" s="59">
        <f t="shared" si="0"/>
        <v>662.06717156605714</v>
      </c>
      <c r="S49" s="59">
        <f ca="1">AVERAGE(OFFSET($R$3,0,0,'Données projet'!$E$9+1,1))-AVERAGE(OFFSET($H$3,0,0,'Données projet'!$E$9+1,1))</f>
        <v>203.32669758211171</v>
      </c>
      <c r="T49" s="59">
        <f t="shared" si="34"/>
        <v>217.57508587672368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16.827176051983312</v>
      </c>
      <c r="AA49" s="21">
        <f>EXP(-LN(2)/25)*AA48+(1-EXP(-LN(2)/25))/(LN(2)/25)*Calculateur!V49*Calculateur!X49*VLOOKUP('Données projet'!$B$9,Paramètres!$A$1:$I$89,3,0)*0.475*44/12</f>
        <v>27.115095477098162</v>
      </c>
      <c r="AB49" s="21">
        <f>EXP(-LN(2)/2)*AB48+(1-EXP(-LN(2)/2))/(LN(2)/2)*V49*Y49*VLOOKUP('Données projet'!$B$9,Paramètres!$A$1:$I$89,3,0)*0.475*44/12</f>
        <v>0.51465725233196047</v>
      </c>
      <c r="AC49" s="22">
        <f t="shared" si="3"/>
        <v>44.456928781413431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17.399999999999999</v>
      </c>
      <c r="N50" s="13">
        <f>IF('Données projet'!$A$36&gt;35,N49+M50-V49,IF(A50&lt;'Données projet'!$A$36,$K$205^A50,IF(A50='Données projet'!$A$36,'Données projet'!$B$36,N49+M50-V49)))</f>
        <v>299.8</v>
      </c>
      <c r="O50" s="13">
        <f>N50*VLOOKUP('Données projet'!$B$9,Paramètres!$A$1:$I$89,3,0)*VLOOKUP('Données projet'!$B$9,Paramètres!$A$1:$I$89,5,0)</f>
        <v>179.28040000000001</v>
      </c>
      <c r="P50" s="13">
        <f t="shared" si="33"/>
        <v>45.162051118824294</v>
      </c>
      <c r="Q50" s="20">
        <f t="shared" si="53"/>
        <v>390.90393569861902</v>
      </c>
      <c r="R50" s="59">
        <f t="shared" si="0"/>
        <v>684.23726903195234</v>
      </c>
      <c r="S50" s="59">
        <f ca="1">AVERAGE(OFFSET($R$3,0,0,'Données projet'!$E$9+1,1))-AVERAGE(OFFSET($H$3,0,0,'Données projet'!$E$9+1,1))</f>
        <v>203.32669758211171</v>
      </c>
      <c r="T50" s="59">
        <f t="shared" si="34"/>
        <v>217.57508587672368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16.497205393167867</v>
      </c>
      <c r="AA50" s="21">
        <f>EXP(-LN(2)/25)*AA49+(1-EXP(-LN(2)/25))/(LN(2)/25)*Calculateur!V50*Calculateur!X50*VLOOKUP('Données projet'!$B$9,Paramètres!$A$1:$I$89,3,0)*0.475*44/12</f>
        <v>26.373631765356013</v>
      </c>
      <c r="AB50" s="21">
        <f>EXP(-LN(2)/2)*AB49+(1-EXP(-LN(2)/2))/(LN(2)/2)*V50*Y50*VLOOKUP('Données projet'!$B$9,Paramètres!$A$1:$I$89,3,0)*0.475*44/12</f>
        <v>0.36391763311076536</v>
      </c>
      <c r="AC50" s="22">
        <f t="shared" si="3"/>
        <v>43.23475479163465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17.399999999999999</v>
      </c>
      <c r="N51" s="13">
        <f>IF('Données projet'!$A$36&gt;35,N50+M51-V50,IF(A51&lt;'Données projet'!$A$36,$K$205^A51,IF(A51='Données projet'!$A$36,'Données projet'!$B$36,N50+M51-V50)))</f>
        <v>317.2</v>
      </c>
      <c r="O51" s="13">
        <f>N51*VLOOKUP('Données projet'!$B$9,Paramètres!$A$1:$I$89,3,0)*VLOOKUP('Données projet'!$B$9,Paramètres!$A$1:$I$89,5,0)</f>
        <v>189.68560000000002</v>
      </c>
      <c r="P51" s="13">
        <f t="shared" si="33"/>
        <v>47.470436776872745</v>
      </c>
      <c r="Q51" s="20">
        <f t="shared" si="53"/>
        <v>413.04676405305344</v>
      </c>
      <c r="R51" s="59">
        <f t="shared" si="0"/>
        <v>706.38009738638675</v>
      </c>
      <c r="S51" s="59">
        <f ca="1">AVERAGE(OFFSET($R$3,0,0,'Données projet'!$E$9+1,1))-AVERAGE(OFFSET($H$3,0,0,'Données projet'!$E$9+1,1))</f>
        <v>203.32669758211171</v>
      </c>
      <c r="T51" s="59">
        <f t="shared" si="34"/>
        <v>217.57508587672368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16.173705257709564</v>
      </c>
      <c r="AA51" s="21">
        <f>EXP(-LN(2)/25)*AA50+(1-EXP(-LN(2)/25))/(LN(2)/25)*Calculateur!V51*Calculateur!X51*VLOOKUP('Données projet'!$B$9,Paramètres!$A$1:$I$89,3,0)*0.475*44/12</f>
        <v>25.652443417803337</v>
      </c>
      <c r="AB51" s="21">
        <f>EXP(-LN(2)/2)*AB50+(1-EXP(-LN(2)/2))/(LN(2)/2)*V51*Y51*VLOOKUP('Données projet'!$B$9,Paramètres!$A$1:$I$89,3,0)*0.475*44/12</f>
        <v>0.25732862616598023</v>
      </c>
      <c r="AC51" s="22">
        <f t="shared" si="3"/>
        <v>42.083477301678876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17.399999999999999</v>
      </c>
      <c r="N52" s="13">
        <f>IF('Données projet'!$A$36&gt;35,N51+M52-V51,IF(A52&lt;'Données projet'!$A$36,$K$205^A52,IF(A52='Données projet'!$A$36,'Données projet'!$B$36,N51+M52-V51)))</f>
        <v>334.59999999999997</v>
      </c>
      <c r="O52" s="13">
        <f>N52*VLOOKUP('Données projet'!$B$9,Paramètres!$A$1:$I$89,3,0)*VLOOKUP('Données projet'!$B$9,Paramètres!$A$1:$I$89,5,0)</f>
        <v>200.0908</v>
      </c>
      <c r="P52" s="13">
        <f t="shared" si="33"/>
        <v>49.764122289960234</v>
      </c>
      <c r="Q52" s="20">
        <f t="shared" si="53"/>
        <v>435.16398965501406</v>
      </c>
      <c r="R52" s="59">
        <f t="shared" si="0"/>
        <v>728.49732298834738</v>
      </c>
      <c r="S52" s="59">
        <f ca="1">AVERAGE(OFFSET($R$3,0,0,'Données projet'!$E$9+1,1))-AVERAGE(OFFSET($H$3,0,0,'Données projet'!$E$9+1,1))</f>
        <v>203.32669758211171</v>
      </c>
      <c r="T52" s="59">
        <f t="shared" si="34"/>
        <v>217.57508587672368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15.856548762592</v>
      </c>
      <c r="AA52" s="21">
        <f>EXP(-LN(2)/25)*AA51+(1-EXP(-LN(2)/25))/(LN(2)/25)*Calculateur!V52*Calculateur!X52*VLOOKUP('Données projet'!$B$9,Paramètres!$A$1:$I$89,3,0)*0.475*44/12</f>
        <v>24.950976003540134</v>
      </c>
      <c r="AB52" s="21">
        <f>EXP(-LN(2)/2)*AB51+(1-EXP(-LN(2)/2))/(LN(2)/2)*V52*Y52*VLOOKUP('Données projet'!$B$9,Paramètres!$A$1:$I$89,3,0)*0.475*44/12</f>
        <v>0.18195881655538268</v>
      </c>
      <c r="AC52" s="22">
        <f t="shared" si="3"/>
        <v>40.989483582687512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352</v>
      </c>
      <c r="L53" s="12">
        <f>VLOOKUP(A53,'Données projet'!$A$35:$I$55,9,0)</f>
        <v>17.399999999999999</v>
      </c>
      <c r="M53" s="12">
        <f t="array" ref="M53">INDEX(L:L,MIN(IF(ISNUMBER(L53:L249),ROW(L53:L249),"")))</f>
        <v>17.399999999999999</v>
      </c>
      <c r="N53" s="13">
        <f>IF('Données projet'!$A$36&gt;35,N52+M53-V52,IF(A53&lt;'Données projet'!$A$36,$K$205^A53,IF(A53='Données projet'!$A$36,'Données projet'!$B$36,N52+M53-V52)))</f>
        <v>351.99999999999994</v>
      </c>
      <c r="O53" s="13">
        <f>N53*VLOOKUP('Données projet'!$B$9,Paramètres!$A$1:$I$89,3,0)*VLOOKUP('Données projet'!$B$9,Paramètres!$A$1:$I$89,5,0)</f>
        <v>210.49599999999998</v>
      </c>
      <c r="P53" s="13">
        <f t="shared" si="33"/>
        <v>52.043959291168463</v>
      </c>
      <c r="Q53" s="20">
        <f t="shared" si="53"/>
        <v>457.25709576545165</v>
      </c>
      <c r="R53" s="59">
        <f t="shared" si="0"/>
        <v>750.59042909878497</v>
      </c>
      <c r="S53" s="59">
        <f ca="1">AVERAGE(OFFSET($R$3,0,0,'Données projet'!$E$9+1,1))-AVERAGE(OFFSET($H$3,0,0,'Données projet'!$E$9+1,1))</f>
        <v>203.32669758211171</v>
      </c>
      <c r="T53" s="59">
        <f t="shared" si="34"/>
        <v>217.57508587672368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53</v>
      </c>
      <c r="W53" s="16">
        <f>IF(ISNA(VLOOKUP(A53,'Données projet'!$A$35:$I$55,5,0)),0%,VLOOKUP(A53,'Données projet'!$A$35:$I$55,5,0)*VLOOKUP('Données projet'!$B$9,Paramètres!$A$1:$I$89,7,0))</f>
        <v>0.22500000000000001</v>
      </c>
      <c r="X53" s="16">
        <f>IF(ISNA(VLOOKUP(A53,'Données projet'!$A$35:$I$55,6,0)),0%,VLOOKUP(A53,'Données projet'!$A$35:$I$55,6,0)*VLOOKUP('Données projet'!$B$9,Paramètres!$A$1:$I$89,7,0))</f>
        <v>0.22500000000000001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25.005541629305007</v>
      </c>
      <c r="AA53" s="21">
        <f>EXP(-LN(2)/25)*AA52+(1-EXP(-LN(2)/25))/(LN(2)/25)*Calculateur!V53*Calculateur!X53*VLOOKUP('Données projet'!$B$9,Paramètres!$A$1:$I$89,3,0)*0.475*44/12</f>
        <v>33.691373019631946</v>
      </c>
      <c r="AB53" s="21">
        <f>EXP(-LN(2)/2)*AB52+(1-EXP(-LN(2)/2))/(LN(2)/2)*V53*Y53*VLOOKUP('Données projet'!$B$9,Paramètres!$A$1:$I$89,3,0)*0.475*44/12</f>
        <v>0.12866431308299012</v>
      </c>
      <c r="AC53" s="22">
        <f t="shared" si="3"/>
        <v>58.825578962019947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17.625</v>
      </c>
      <c r="N54" s="13">
        <f>IF('Données projet'!$A$36&gt;35,N53+M54-V53,IF(A54&lt;'Données projet'!$A$36,$K$205^A54,IF(A54='Données projet'!$A$36,'Données projet'!$B$36,N53+M54-V53)))</f>
        <v>316.62499999999994</v>
      </c>
      <c r="O54" s="13">
        <f>N54*VLOOKUP('Données projet'!$B$9,Paramètres!$A$1:$I$89,3,0)*VLOOKUP('Données projet'!$B$9,Paramètres!$A$1:$I$89,5,0)</f>
        <v>189.34174999999999</v>
      </c>
      <c r="P54" s="13">
        <f t="shared" si="33"/>
        <v>47.394393740797923</v>
      </c>
      <c r="Q54" s="20">
        <f t="shared" si="53"/>
        <v>412.31545034855634</v>
      </c>
      <c r="R54" s="59">
        <f t="shared" si="0"/>
        <v>705.64878368188965</v>
      </c>
      <c r="S54" s="59">
        <f ca="1">AVERAGE(OFFSET($R$3,0,0,'Données projet'!$E$9+1,1))-AVERAGE(OFFSET($H$3,0,0,'Données projet'!$E$9+1,1))</f>
        <v>203.32669758211171</v>
      </c>
      <c r="T54" s="59">
        <f t="shared" si="34"/>
        <v>217.57508587672368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24.515198209828732</v>
      </c>
      <c r="AA54" s="21">
        <f>EXP(-LN(2)/25)*AA53+(1-EXP(-LN(2)/25))/(LN(2)/25)*Calculateur!V54*Calculateur!X54*VLOOKUP('Données projet'!$B$9,Paramètres!$A$1:$I$89,3,0)*0.475*44/12</f>
        <v>32.770080652657803</v>
      </c>
      <c r="AB54" s="21">
        <f>EXP(-LN(2)/2)*AB53+(1-EXP(-LN(2)/2))/(LN(2)/2)*V54*Y54*VLOOKUP('Données projet'!$B$9,Paramètres!$A$1:$I$89,3,0)*0.475*44/12</f>
        <v>9.097940827769134E-2</v>
      </c>
      <c r="AC54" s="22">
        <f t="shared" si="3"/>
        <v>57.376258270764225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17.625</v>
      </c>
      <c r="N55" s="13">
        <f>IF('Données projet'!$A$36&gt;35,N54+M55-V54,IF(A55&lt;'Données projet'!$A$36,$K$205^A55,IF(A55='Données projet'!$A$36,'Données projet'!$B$36,N54+M55-V54)))</f>
        <v>334.24999999999994</v>
      </c>
      <c r="O55" s="13">
        <f>N55*VLOOKUP('Données projet'!$B$9,Paramètres!$A$1:$I$89,3,0)*VLOOKUP('Données projet'!$B$9,Paramètres!$A$1:$I$89,5,0)</f>
        <v>199.88149999999996</v>
      </c>
      <c r="P55" s="13">
        <f t="shared" si="33"/>
        <v>49.71812411377941</v>
      </c>
      <c r="Q55" s="20">
        <f t="shared" si="53"/>
        <v>434.71934533149914</v>
      </c>
      <c r="R55" s="59">
        <f t="shared" si="0"/>
        <v>728.05267866483246</v>
      </c>
      <c r="S55" s="59">
        <f ca="1">AVERAGE(OFFSET($R$3,0,0,'Données projet'!$E$9+1,1))-AVERAGE(OFFSET($H$3,0,0,'Données projet'!$E$9+1,1))</f>
        <v>203.32669758211171</v>
      </c>
      <c r="T55" s="59">
        <f t="shared" si="34"/>
        <v>217.57508587672368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24.034470125728433</v>
      </c>
      <c r="AA55" s="21">
        <f>EXP(-LN(2)/25)*AA54+(1-EXP(-LN(2)/25))/(LN(2)/25)*Calculateur!V55*Calculateur!X55*VLOOKUP('Données projet'!$B$9,Paramètres!$A$1:$I$89,3,0)*0.475*44/12</f>
        <v>31.873981073907231</v>
      </c>
      <c r="AB55" s="21">
        <f>EXP(-LN(2)/2)*AB54+(1-EXP(-LN(2)/2))/(LN(2)/2)*V55*Y55*VLOOKUP('Données projet'!$B$9,Paramètres!$A$1:$I$89,3,0)*0.475*44/12</f>
        <v>6.4332156541495059E-2</v>
      </c>
      <c r="AC55" s="22">
        <f t="shared" si="3"/>
        <v>55.97278335617716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17.625</v>
      </c>
      <c r="N56" s="13">
        <f>IF('Données projet'!$A$36&gt;35,N55+M56-V55,IF(A56&lt;'Données projet'!$A$36,$K$205^A56,IF(A56='Données projet'!$A$36,'Données projet'!$B$36,N55+M56-V55)))</f>
        <v>351.87499999999994</v>
      </c>
      <c r="O56" s="13">
        <f>N56*VLOOKUP('Données projet'!$B$9,Paramètres!$A$1:$I$89,3,0)*VLOOKUP('Données projet'!$B$9,Paramètres!$A$1:$I$89,5,0)</f>
        <v>210.42124999999999</v>
      </c>
      <c r="P56" s="13">
        <f t="shared" si="33"/>
        <v>52.027628682866947</v>
      </c>
      <c r="Q56" s="20">
        <f t="shared" si="53"/>
        <v>457.09846370599325</v>
      </c>
      <c r="R56" s="59">
        <f t="shared" si="0"/>
        <v>750.43179703932651</v>
      </c>
      <c r="S56" s="59">
        <f ca="1">AVERAGE(OFFSET($R$3,0,0,'Données projet'!$E$9+1,1))-AVERAGE(OFFSET($H$3,0,0,'Données projet'!$E$9+1,1))</f>
        <v>203.32669758211171</v>
      </c>
      <c r="T56" s="59">
        <f t="shared" si="34"/>
        <v>217.57508587672368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23.56316882614216</v>
      </c>
      <c r="AA56" s="21">
        <f>EXP(-LN(2)/25)*AA55+(1-EXP(-LN(2)/25))/(LN(2)/25)*Calculateur!V56*Calculateur!X56*VLOOKUP('Données projet'!$B$9,Paramètres!$A$1:$I$89,3,0)*0.475*44/12</f>
        <v>31.002385385261423</v>
      </c>
      <c r="AB56" s="21">
        <f>EXP(-LN(2)/2)*AB55+(1-EXP(-LN(2)/2))/(LN(2)/2)*V56*Y56*VLOOKUP('Données projet'!$B$9,Paramètres!$A$1:$I$89,3,0)*0.475*44/12</f>
        <v>4.548970413884567E-2</v>
      </c>
      <c r="AC56" s="22">
        <f t="shared" si="3"/>
        <v>54.611043915542425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17.625</v>
      </c>
      <c r="N57" s="13">
        <f>IF('Données projet'!$A$36&gt;35,N56+M57-V56,IF(A57&lt;'Données projet'!$A$36,$K$205^A57,IF(A57='Données projet'!$A$36,'Données projet'!$B$36,N56+M57-V56)))</f>
        <v>369.49999999999994</v>
      </c>
      <c r="O57" s="13">
        <f>N57*VLOOKUP('Données projet'!$B$9,Paramètres!$A$1:$I$89,3,0)*VLOOKUP('Données projet'!$B$9,Paramètres!$A$1:$I$89,5,0)</f>
        <v>220.96099999999996</v>
      </c>
      <c r="P57" s="13">
        <f t="shared" si="33"/>
        <v>54.323701308314696</v>
      </c>
      <c r="Q57" s="20">
        <f t="shared" si="53"/>
        <v>479.45418811198141</v>
      </c>
      <c r="R57" s="59">
        <f t="shared" si="0"/>
        <v>772.78752144531472</v>
      </c>
      <c r="S57" s="59">
        <f ca="1">AVERAGE(OFFSET($R$3,0,0,'Données projet'!$E$9+1,1))-AVERAGE(OFFSET($H$3,0,0,'Données projet'!$E$9+1,1))</f>
        <v>203.32669758211171</v>
      </c>
      <c r="T57" s="59">
        <f t="shared" si="34"/>
        <v>217.57508587672368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23.101109457575369</v>
      </c>
      <c r="AA57" s="21">
        <f>EXP(-LN(2)/25)*AA56+(1-EXP(-LN(2)/25))/(LN(2)/25)*Calculateur!V57*Calculateur!X57*VLOOKUP('Données projet'!$B$9,Paramètres!$A$1:$I$89,3,0)*0.475*44/12</f>
        <v>30.154623526556858</v>
      </c>
      <c r="AB57" s="21">
        <f>EXP(-LN(2)/2)*AB56+(1-EXP(-LN(2)/2))/(LN(2)/2)*V57*Y57*VLOOKUP('Données projet'!$B$9,Paramètres!$A$1:$I$89,3,0)*0.475*44/12</f>
        <v>3.2166078270747529E-2</v>
      </c>
      <c r="AC57" s="22">
        <f t="shared" si="3"/>
        <v>53.287899062402971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17.625</v>
      </c>
      <c r="N58" s="13">
        <f>IF('Données projet'!$A$36&gt;35,N57+M58-V57,IF(A58&lt;'Données projet'!$A$36,$K$205^A58,IF(A58='Données projet'!$A$36,'Données projet'!$B$36,N57+M58-V57)))</f>
        <v>387.12499999999994</v>
      </c>
      <c r="O58" s="13">
        <f>N58*VLOOKUP('Données projet'!$B$9,Paramètres!$A$1:$I$89,3,0)*VLOOKUP('Données projet'!$B$9,Paramètres!$A$1:$I$89,5,0)</f>
        <v>231.50074999999998</v>
      </c>
      <c r="P58" s="13">
        <f t="shared" si="33"/>
        <v>56.607055837426749</v>
      </c>
      <c r="Q58" s="20">
        <f t="shared" si="53"/>
        <v>501.78776183351812</v>
      </c>
      <c r="R58" s="59">
        <f t="shared" si="0"/>
        <v>795.12109516685143</v>
      </c>
      <c r="S58" s="59">
        <f ca="1">AVERAGE(OFFSET($R$3,0,0,'Données projet'!$E$9+1,1))-AVERAGE(OFFSET($H$3,0,0,'Données projet'!$E$9+1,1))</f>
        <v>203.32669758211171</v>
      </c>
      <c r="T58" s="59">
        <f t="shared" si="34"/>
        <v>217.57508587672368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22.648110791397784</v>
      </c>
      <c r="AA58" s="21">
        <f>EXP(-LN(2)/25)*AA57+(1-EXP(-LN(2)/25))/(LN(2)/25)*Calculateur!V58*Calculateur!X58*VLOOKUP('Données projet'!$B$9,Paramètres!$A$1:$I$89,3,0)*0.475*44/12</f>
        <v>29.330043760460427</v>
      </c>
      <c r="AB58" s="21">
        <f>EXP(-LN(2)/2)*AB57+(1-EXP(-LN(2)/2))/(LN(2)/2)*V58*Y58*VLOOKUP('Données projet'!$B$9,Paramètres!$A$1:$I$89,3,0)*0.475*44/12</f>
        <v>2.2744852069422835E-2</v>
      </c>
      <c r="AC58" s="22">
        <f t="shared" si="3"/>
        <v>52.000899403927633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17.625</v>
      </c>
      <c r="N59" s="13">
        <f>IF('Données projet'!$A$36&gt;35,N58+M59-V58,IF(A59&lt;'Données projet'!$A$36,$K$205^A59,IF(A59='Données projet'!$A$36,'Données projet'!$B$36,N58+M59-V58)))</f>
        <v>404.74999999999994</v>
      </c>
      <c r="O59" s="13">
        <f>N59*VLOOKUP('Données projet'!$B$9,Paramètres!$A$1:$I$89,3,0)*VLOOKUP('Données projet'!$B$9,Paramètres!$A$1:$I$89,5,0)</f>
        <v>242.04049999999998</v>
      </c>
      <c r="P59" s="13">
        <f t="shared" si="33"/>
        <v>58.878337443371535</v>
      </c>
      <c r="Q59" s="20">
        <f t="shared" si="53"/>
        <v>524.10030854720526</v>
      </c>
      <c r="R59" s="59">
        <f t="shared" si="0"/>
        <v>817.43364188053852</v>
      </c>
      <c r="S59" s="59">
        <f ca="1">AVERAGE(OFFSET($R$3,0,0,'Données projet'!$E$9+1,1))-AVERAGE(OFFSET($H$3,0,0,'Données projet'!$E$9+1,1))</f>
        <v>203.32669758211171</v>
      </c>
      <c r="T59" s="59">
        <f t="shared" si="34"/>
        <v>217.57508587672368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22.203995152762037</v>
      </c>
      <c r="AA59" s="21">
        <f>EXP(-LN(2)/25)*AA58+(1-EXP(-LN(2)/25))/(LN(2)/25)*Calculateur!V59*Calculateur!X59*VLOOKUP('Données projet'!$B$9,Paramètres!$A$1:$I$89,3,0)*0.475*44/12</f>
        <v>28.528012171430671</v>
      </c>
      <c r="AB59" s="21">
        <f>EXP(-LN(2)/2)*AB58+(1-EXP(-LN(2)/2))/(LN(2)/2)*V59*Y59*VLOOKUP('Données projet'!$B$9,Paramètres!$A$1:$I$89,3,0)*0.475*44/12</f>
        <v>1.6083039135373765E-2</v>
      </c>
      <c r="AC59" s="22">
        <f t="shared" si="3"/>
        <v>50.748090363328082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17.625</v>
      </c>
      <c r="N60" s="13">
        <f>IF('Données projet'!$A$36&gt;35,N59+M60-V59,IF(A60&lt;'Données projet'!$A$36,$K$205^A60,IF(A60='Données projet'!$A$36,'Données projet'!$B$36,N59+M60-V59)))</f>
        <v>422.37499999999994</v>
      </c>
      <c r="O60" s="13">
        <f>N60*VLOOKUP('Données projet'!$B$9,Paramètres!$A$1:$I$89,3,0)*VLOOKUP('Données projet'!$B$9,Paramètres!$A$1:$I$89,5,0)</f>
        <v>252.58025000000001</v>
      </c>
      <c r="P60" s="13">
        <f t="shared" si="33"/>
        <v>61.138131933251593</v>
      </c>
      <c r="Q60" s="20">
        <f t="shared" si="53"/>
        <v>546.39284853374647</v>
      </c>
      <c r="R60" s="59">
        <f t="shared" si="0"/>
        <v>839.72618186707973</v>
      </c>
      <c r="S60" s="59">
        <f ca="1">AVERAGE(OFFSET($R$3,0,0,'Données projet'!$E$9+1,1))-AVERAGE(OFFSET($H$3,0,0,'Données projet'!$E$9+1,1))</f>
        <v>203.32669758211171</v>
      </c>
      <c r="T60" s="59">
        <f t="shared" si="34"/>
        <v>217.57508587672368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21.768588350916147</v>
      </c>
      <c r="AA60" s="21">
        <f>EXP(-LN(2)/25)*AA59+(1-EXP(-LN(2)/25))/(LN(2)/25)*Calculateur!V60*Calculateur!X60*VLOOKUP('Données projet'!$B$9,Paramètres!$A$1:$I$89,3,0)*0.475*44/12</f>
        <v>27.747912178379941</v>
      </c>
      <c r="AB60" s="21">
        <f>EXP(-LN(2)/2)*AB59+(1-EXP(-LN(2)/2))/(LN(2)/2)*V60*Y60*VLOOKUP('Données projet'!$B$9,Paramètres!$A$1:$I$89,3,0)*0.475*44/12</f>
        <v>1.1372426034711417E-2</v>
      </c>
      <c r="AC60" s="22">
        <f t="shared" si="3"/>
        <v>49.5278729553308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440</v>
      </c>
      <c r="L61" s="12">
        <f>VLOOKUP(A61,'Données projet'!$A$35:$I$55,9,0)</f>
        <v>17.625</v>
      </c>
      <c r="M61" s="12">
        <f t="array" ref="M61">INDEX(L:L,MIN(IF(ISNUMBER(L61:L257),ROW(L61:L257),"")))</f>
        <v>17.625</v>
      </c>
      <c r="N61" s="13">
        <f>IF('Données projet'!$A$36&gt;35,N60+M61-V60,IF(A61&lt;'Données projet'!$A$36,$K$205^A61,IF(A61='Données projet'!$A$36,'Données projet'!$B$36,N60+M61-V60)))</f>
        <v>439.99999999999994</v>
      </c>
      <c r="O61" s="13">
        <f>N61*VLOOKUP('Données projet'!$B$9,Paramètres!$A$1:$I$89,3,0)*VLOOKUP('Données projet'!$B$9,Paramètres!$A$1:$I$89,5,0)</f>
        <v>263.12</v>
      </c>
      <c r="P61" s="13">
        <f t="shared" si="33"/>
        <v>63.386973458752003</v>
      </c>
      <c r="Q61" s="20">
        <f t="shared" si="53"/>
        <v>568.66631210732646</v>
      </c>
      <c r="R61" s="59">
        <f t="shared" si="0"/>
        <v>861.99964544065983</v>
      </c>
      <c r="S61" s="59">
        <f ca="1">AVERAGE(OFFSET($R$3,0,0,'Données projet'!$E$9+1,1))-AVERAGE(OFFSET($H$3,0,0,'Données projet'!$E$9+1,1))</f>
        <v>203.32669758211171</v>
      </c>
      <c r="T61" s="59">
        <f t="shared" si="34"/>
        <v>217.57508587672368</v>
      </c>
      <c r="U61" s="15">
        <f>IF(ISNA(VLOOKUP(A61,'Données projet'!$A$35:$I$55,3,0)),0,VLOOKUP(A61,'Données projet'!$A$35:$I$55,3,0))</f>
        <v>8</v>
      </c>
      <c r="V61" s="15">
        <f>IF(ISNA(VLOOKUP(A61,'Données projet'!$A$35:$I$55,4,0)),0,VLOOKUP(A61,'Données projet'!$A$35:$I$55,4,0))</f>
        <v>78</v>
      </c>
      <c r="W61" s="16">
        <f>IF(ISNA(VLOOKUP(A61,'Données projet'!$A$35:$I$55,5,0)),0%,VLOOKUP(A61,'Données projet'!$A$35:$I$55,5,0)*VLOOKUP('Données projet'!$B$9,Paramètres!$A$1:$I$89,7,0))</f>
        <v>0.27</v>
      </c>
      <c r="X61" s="16">
        <f>IF(ISNA(VLOOKUP(A61,'Données projet'!$A$35:$I$55,6,0)),0%,VLOOKUP(A61,'Données projet'!$A$35:$I$55,6,0)*VLOOKUP('Données projet'!$B$9,Paramètres!$A$1:$I$89,7,0))</f>
        <v>0.18000000000000002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38.048313174953449</v>
      </c>
      <c r="AA61" s="21">
        <f>EXP(-LN(2)/25)*AA60+(1-EXP(-LN(2)/25))/(LN(2)/25)*Calculateur!V61*Calculateur!X61*VLOOKUP('Données projet'!$B$9,Paramètres!$A$1:$I$89,3,0)*0.475*44/12</f>
        <v>38.083019620328166</v>
      </c>
      <c r="AB61" s="21">
        <f>EXP(-LN(2)/2)*AB60+(1-EXP(-LN(2)/2))/(LN(2)/2)*V61*Y61*VLOOKUP('Données projet'!$B$9,Paramètres!$A$1:$I$89,3,0)*0.475*44/12</f>
        <v>8.0415195676868823E-3</v>
      </c>
      <c r="AC61" s="22">
        <f t="shared" si="3"/>
        <v>76.139374314849306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16.625</v>
      </c>
      <c r="N62" s="13">
        <f>IF('Données projet'!$A$36&gt;35,N61+M62-V61,IF(A62&lt;'Données projet'!$A$36,$K$205^A62,IF(A62='Données projet'!$A$36,'Données projet'!$B$36,N61+M62-V61)))</f>
        <v>378.62499999999994</v>
      </c>
      <c r="O62" s="13">
        <f>N62*VLOOKUP('Données projet'!$B$9,Paramètres!$A$1:$I$89,3,0)*VLOOKUP('Données projet'!$B$9,Paramètres!$A$1:$I$89,5,0)</f>
        <v>226.41774999999998</v>
      </c>
      <c r="P62" s="13">
        <f t="shared" si="33"/>
        <v>55.507409107649494</v>
      </c>
      <c r="Q62" s="20">
        <f t="shared" si="53"/>
        <v>491.0196521124895</v>
      </c>
      <c r="R62" s="59">
        <f t="shared" si="0"/>
        <v>784.35298544582281</v>
      </c>
      <c r="S62" s="59">
        <f ca="1">AVERAGE(OFFSET($R$3,0,0,'Données projet'!$E$9+1,1))-AVERAGE(OFFSET($H$3,0,0,'Données projet'!$E$9+1,1))</f>
        <v>203.32669758211171</v>
      </c>
      <c r="T62" s="59">
        <f t="shared" si="34"/>
        <v>217.57508587672368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37.302208960772127</v>
      </c>
      <c r="AA62" s="21">
        <f>EXP(-LN(2)/25)*AA61+(1-EXP(-LN(2)/25))/(LN(2)/25)*Calculateur!V62*Calculateur!X62*VLOOKUP('Données projet'!$B$9,Paramètres!$A$1:$I$89,3,0)*0.475*44/12</f>
        <v>37.041637446111331</v>
      </c>
      <c r="AB62" s="21">
        <f>EXP(-LN(2)/2)*AB61+(1-EXP(-LN(2)/2))/(LN(2)/2)*V62*Y62*VLOOKUP('Données projet'!$B$9,Paramètres!$A$1:$I$89,3,0)*0.475*44/12</f>
        <v>5.6862130173557087E-3</v>
      </c>
      <c r="AC62" s="22">
        <f t="shared" si="3"/>
        <v>74.349532619900813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16.625</v>
      </c>
      <c r="N63" s="13">
        <f>IF('Données projet'!$A$36&gt;35,N62+M63-V62,IF(A63&lt;'Données projet'!$A$36,$K$205^A63,IF(A63='Données projet'!$A$36,'Données projet'!$B$36,N62+M63-V62)))</f>
        <v>395.24999999999994</v>
      </c>
      <c r="O63" s="13">
        <f>N63*VLOOKUP('Données projet'!$B$9,Paramètres!$A$1:$I$89,3,0)*VLOOKUP('Données projet'!$B$9,Paramètres!$A$1:$I$89,5,0)</f>
        <v>236.35949999999997</v>
      </c>
      <c r="P63" s="13">
        <f t="shared" si="33"/>
        <v>57.655563749416167</v>
      </c>
      <c r="Q63" s="20">
        <f t="shared" si="53"/>
        <v>512.07623603023308</v>
      </c>
      <c r="R63" s="59">
        <f t="shared" si="0"/>
        <v>805.40956936356633</v>
      </c>
      <c r="S63" s="59">
        <f ca="1">AVERAGE(OFFSET($R$3,0,0,'Données projet'!$E$9+1,1))-AVERAGE(OFFSET($H$3,0,0,'Données projet'!$E$9+1,1))</f>
        <v>203.32669758211171</v>
      </c>
      <c r="T63" s="59">
        <f t="shared" si="34"/>
        <v>217.57508587672368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36.570735395152269</v>
      </c>
      <c r="AA63" s="21">
        <f>EXP(-LN(2)/25)*AA62+(1-EXP(-LN(2)/25))/(LN(2)/25)*Calculateur!V63*Calculateur!X63*VLOOKUP('Données projet'!$B$9,Paramètres!$A$1:$I$89,3,0)*0.475*44/12</f>
        <v>36.028731922212366</v>
      </c>
      <c r="AB63" s="21">
        <f>EXP(-LN(2)/2)*AB62+(1-EXP(-LN(2)/2))/(LN(2)/2)*V63*Y63*VLOOKUP('Données projet'!$B$9,Paramètres!$A$1:$I$89,3,0)*0.475*44/12</f>
        <v>4.0207597838434412E-3</v>
      </c>
      <c r="AC63" s="22">
        <f t="shared" si="3"/>
        <v>72.603488077148469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16.625</v>
      </c>
      <c r="N64" s="13">
        <f>IF('Données projet'!$A$36&gt;35,N63+M64-V63,IF(A64&lt;'Données projet'!$A$36,$K$205^A64,IF(A64='Données projet'!$A$36,'Données projet'!$B$36,N63+M64-V63)))</f>
        <v>411.87499999999994</v>
      </c>
      <c r="O64" s="13">
        <f>N64*VLOOKUP('Données projet'!$B$9,Paramètres!$A$1:$I$89,3,0)*VLOOKUP('Données projet'!$B$9,Paramètres!$A$1:$I$89,5,0)</f>
        <v>246.30124999999998</v>
      </c>
      <c r="P64" s="13">
        <f t="shared" si="33"/>
        <v>59.793223430016852</v>
      </c>
      <c r="Q64" s="20">
        <f t="shared" si="53"/>
        <v>533.11454122394582</v>
      </c>
      <c r="R64" s="59">
        <f t="shared" si="0"/>
        <v>826.44787455727919</v>
      </c>
      <c r="S64" s="59">
        <f ca="1">AVERAGE(OFFSET($R$3,0,0,'Données projet'!$E$9+1,1))-AVERAGE(OFFSET($H$3,0,0,'Données projet'!$E$9+1,1))</f>
        <v>203.32669758211171</v>
      </c>
      <c r="T64" s="59">
        <f t="shared" si="34"/>
        <v>217.57508587672368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35.853605579999396</v>
      </c>
      <c r="AA64" s="21">
        <f>EXP(-LN(2)/25)*AA63+(1-EXP(-LN(2)/25))/(LN(2)/25)*Calculateur!V64*Calculateur!X64*VLOOKUP('Données projet'!$B$9,Paramètres!$A$1:$I$89,3,0)*0.475*44/12</f>
        <v>35.043524353130799</v>
      </c>
      <c r="AB64" s="21">
        <f>EXP(-LN(2)/2)*AB63+(1-EXP(-LN(2)/2))/(LN(2)/2)*V64*Y64*VLOOKUP('Données projet'!$B$9,Paramètres!$A$1:$I$89,3,0)*0.475*44/12</f>
        <v>2.8431065086778544E-3</v>
      </c>
      <c r="AC64" s="22">
        <f t="shared" si="3"/>
        <v>70.89997303963888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16.625</v>
      </c>
      <c r="N65" s="13">
        <f>IF('Données projet'!$A$36&gt;35,N64+M65-V64,IF(A65&lt;'Données projet'!$A$36,$K$205^A65,IF(A65='Données projet'!$A$36,'Données projet'!$B$36,N64+M65-V64)))</f>
        <v>428.49999999999994</v>
      </c>
      <c r="O65" s="13">
        <f>N65*VLOOKUP('Données projet'!$B$9,Paramètres!$A$1:$I$89,3,0)*VLOOKUP('Données projet'!$B$9,Paramètres!$A$1:$I$89,5,0)</f>
        <v>256.24299999999999</v>
      </c>
      <c r="P65" s="13">
        <f t="shared" si="33"/>
        <v>61.920860231490025</v>
      </c>
      <c r="Q65" s="20">
        <f t="shared" si="53"/>
        <v>554.13538990317852</v>
      </c>
      <c r="R65" s="59">
        <f t="shared" si="0"/>
        <v>847.46872323651178</v>
      </c>
      <c r="S65" s="59">
        <f ca="1">AVERAGE(OFFSET($R$3,0,0,'Données projet'!$E$9+1,1))-AVERAGE(OFFSET($H$3,0,0,'Données projet'!$E$9+1,1))</f>
        <v>203.32669758211171</v>
      </c>
      <c r="T65" s="59">
        <f t="shared" si="34"/>
        <v>217.57508587672368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35.150538243115676</v>
      </c>
      <c r="AA65" s="21">
        <f>EXP(-LN(2)/25)*AA64+(1-EXP(-LN(2)/25))/(LN(2)/25)*Calculateur!V65*Calculateur!X65*VLOOKUP('Données projet'!$B$9,Paramètres!$A$1:$I$89,3,0)*0.475*44/12</f>
        <v>34.085257336835582</v>
      </c>
      <c r="AB65" s="21">
        <f>EXP(-LN(2)/2)*AB64+(1-EXP(-LN(2)/2))/(LN(2)/2)*V65*Y65*VLOOKUP('Données projet'!$B$9,Paramètres!$A$1:$I$89,3,0)*0.475*44/12</f>
        <v>2.0103798919217206E-3</v>
      </c>
      <c r="AC65" s="22">
        <f t="shared" si="3"/>
        <v>69.237805959843186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16.625</v>
      </c>
      <c r="N66" s="13">
        <f>IF('Données projet'!$A$36&gt;35,N65+M66-V65,IF(A66&lt;'Données projet'!$A$36,$K$205^A66,IF(A66='Données projet'!$A$36,'Données projet'!$B$36,N65+M66-V65)))</f>
        <v>445.12499999999994</v>
      </c>
      <c r="O66" s="13">
        <f>N66*VLOOKUP('Données projet'!$B$9,Paramètres!$A$1:$I$89,3,0)*VLOOKUP('Données projet'!$B$9,Paramètres!$A$1:$I$89,5,0)</f>
        <v>266.18475000000001</v>
      </c>
      <c r="P66" s="13">
        <f t="shared" si="33"/>
        <v>64.038907529798962</v>
      </c>
      <c r="Q66" s="20">
        <f t="shared" si="53"/>
        <v>575.13953686439993</v>
      </c>
      <c r="R66" s="59">
        <f t="shared" si="0"/>
        <v>868.4728701977333</v>
      </c>
      <c r="S66" s="59">
        <f ca="1">AVERAGE(OFFSET($R$3,0,0,'Données projet'!$E$9+1,1))-AVERAGE(OFFSET($H$3,0,0,'Données projet'!$E$9+1,1))</f>
        <v>203.32669758211171</v>
      </c>
      <c r="T66" s="59">
        <f t="shared" si="34"/>
        <v>217.57508587672368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34.461257627879512</v>
      </c>
      <c r="AA66" s="21">
        <f>EXP(-LN(2)/25)*AA65+(1-EXP(-LN(2)/25))/(LN(2)/25)*Calculateur!V66*Calculateur!X66*VLOOKUP('Données projet'!$B$9,Paramètres!$A$1:$I$89,3,0)*0.475*44/12</f>
        <v>33.153194182494033</v>
      </c>
      <c r="AB66" s="21">
        <f>EXP(-LN(2)/2)*AB65+(1-EXP(-LN(2)/2))/(LN(2)/2)*V66*Y66*VLOOKUP('Données projet'!$B$9,Paramètres!$A$1:$I$89,3,0)*0.475*44/12</f>
        <v>1.4215532543389272E-3</v>
      </c>
      <c r="AC66" s="22">
        <f t="shared" si="3"/>
        <v>67.615873363627884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16.625</v>
      </c>
      <c r="N67" s="13">
        <f>IF('Données projet'!$A$36&gt;35,N66+M67-V66,IF(A67&lt;'Données projet'!$A$36,$K$205^A67,IF(A67='Données projet'!$A$36,'Données projet'!$B$36,N66+M67-V66)))</f>
        <v>461.74999999999994</v>
      </c>
      <c r="O67" s="13">
        <f>N67*VLOOKUP('Données projet'!$B$9,Paramètres!$A$1:$I$89,3,0)*VLOOKUP('Données projet'!$B$9,Paramètres!$A$1:$I$89,5,0)</f>
        <v>276.12649999999996</v>
      </c>
      <c r="P67" s="13">
        <f t="shared" si="33"/>
        <v>66.147764494536574</v>
      </c>
      <c r="Q67" s="20">
        <f t="shared" ref="Q67:Q98" si="54">(O67+P67)*0.475*44/12</f>
        <v>596.12767732798443</v>
      </c>
      <c r="R67" s="59">
        <f t="shared" ref="R67:R130" si="55">Q67+(I67+J67)*44/12</f>
        <v>889.46101066131769</v>
      </c>
      <c r="S67" s="59">
        <f ca="1">AVERAGE(OFFSET($R$3,0,0,'Données projet'!$E$9+1,1))-AVERAGE(OFFSET($H$3,0,0,'Données projet'!$E$9+1,1))</f>
        <v>203.32669758211171</v>
      </c>
      <c r="T67" s="59">
        <f t="shared" si="34"/>
        <v>217.57508587672368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33.785493385088465</v>
      </c>
      <c r="AA67" s="21">
        <f>EXP(-LN(2)/25)*AA66+(1-EXP(-LN(2)/25))/(LN(2)/25)*Calculateur!V67*Calculateur!X67*VLOOKUP('Données projet'!$B$9,Paramètres!$A$1:$I$89,3,0)*0.475*44/12</f>
        <v>32.246618344123021</v>
      </c>
      <c r="AB67" s="21">
        <f>EXP(-LN(2)/2)*AB66+(1-EXP(-LN(2)/2))/(LN(2)/2)*V67*Y67*VLOOKUP('Données projet'!$B$9,Paramètres!$A$1:$I$89,3,0)*0.475*44/12</f>
        <v>1.0051899459608603E-3</v>
      </c>
      <c r="AC67" s="22">
        <f t="shared" si="3"/>
        <v>66.03311691915745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16.625</v>
      </c>
      <c r="N68" s="13">
        <f>IF('Données projet'!$A$36&gt;35,N67+M68-V67,IF(A68&lt;'Données projet'!$A$36,$K$205^A68,IF(A68='Données projet'!$A$36,'Données projet'!$B$36,N67+M68-V67)))</f>
        <v>478.37499999999994</v>
      </c>
      <c r="O68" s="13">
        <f>N68*VLOOKUP('Données projet'!$B$9,Paramètres!$A$1:$I$89,3,0)*VLOOKUP('Données projet'!$B$9,Paramètres!$A$1:$I$89,5,0)</f>
        <v>286.06824999999998</v>
      </c>
      <c r="P68" s="13">
        <f t="shared" si="33"/>
        <v>68.247799922382825</v>
      </c>
      <c r="Q68" s="20">
        <f t="shared" si="54"/>
        <v>617.10045361481673</v>
      </c>
      <c r="R68" s="59">
        <f t="shared" si="55"/>
        <v>910.4337869481501</v>
      </c>
      <c r="S68" s="59">
        <f ca="1">AVERAGE(OFFSET($R$3,0,0,'Données projet'!$E$9+1,1))-AVERAGE(OFFSET($H$3,0,0,'Données projet'!$E$9+1,1))</f>
        <v>203.32669758211171</v>
      </c>
      <c r="T68" s="59">
        <f t="shared" si="34"/>
        <v>217.57508587672368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33.12298046692306</v>
      </c>
      <c r="AA68" s="21">
        <f>EXP(-LN(2)/25)*AA67+(1-EXP(-LN(2)/25))/(LN(2)/25)*Calculateur!V68*Calculateur!X68*VLOOKUP('Données projet'!$B$9,Paramètres!$A$1:$I$89,3,0)*0.475*44/12</f>
        <v>31.364832869727021</v>
      </c>
      <c r="AB68" s="21">
        <f>EXP(-LN(2)/2)*AB67+(1-EXP(-LN(2)/2))/(LN(2)/2)*V68*Y68*VLOOKUP('Données projet'!$B$9,Paramètres!$A$1:$I$89,3,0)*0.475*44/12</f>
        <v>7.1077662716946359E-4</v>
      </c>
      <c r="AC68" s="22">
        <f t="shared" ref="AC68:AC131" si="57">SUM(Z68:AB68)</f>
        <v>64.488524113277251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495</v>
      </c>
      <c r="L69" s="12">
        <f>VLOOKUP(A69,'Données projet'!$A$35:$I$55,9,0)</f>
        <v>16.625</v>
      </c>
      <c r="M69" s="12">
        <f t="array" ref="M69">INDEX(L:L,MIN(IF(ISNUMBER(L69:L265),ROW(L69:L265),"")))</f>
        <v>16.625</v>
      </c>
      <c r="N69" s="13">
        <f>IF('Données projet'!$A$36&gt;35,N68+M69-V68,IF(A69&lt;'Données projet'!$A$36,$K$205^A69,IF(A69='Données projet'!$A$36,'Données projet'!$B$36,N68+M69-V68)))</f>
        <v>494.99999999999994</v>
      </c>
      <c r="O69" s="13">
        <f>N69*VLOOKUP('Données projet'!$B$9,Paramètres!$A$1:$I$89,3,0)*VLOOKUP('Données projet'!$B$9,Paramètres!$A$1:$I$89,5,0)</f>
        <v>296.01</v>
      </c>
      <c r="P69" s="13">
        <f t="shared" ref="P69:P132" si="87">EXP(-1.0587+0.8836*LN(O69)+0.284)</f>
        <v>70.339355522692159</v>
      </c>
      <c r="Q69" s="20">
        <f t="shared" si="54"/>
        <v>638.05846086868871</v>
      </c>
      <c r="R69" s="59">
        <f t="shared" si="55"/>
        <v>931.39179420202208</v>
      </c>
      <c r="S69" s="59">
        <f ca="1">AVERAGE(OFFSET($R$3,0,0,'Données projet'!$E$9+1,1))-AVERAGE(OFFSET($H$3,0,0,'Données projet'!$E$9+1,1))</f>
        <v>203.32669758211171</v>
      </c>
      <c r="T69" s="59">
        <f t="shared" ref="T69:T132" si="88">$T$3</f>
        <v>217.57508587672368</v>
      </c>
      <c r="U69" s="15">
        <f>IF(ISNA(VLOOKUP(A69,'Données projet'!$A$35:$I$55,3,0)),0,VLOOKUP(A69,'Données projet'!$A$35:$I$55,3,0))</f>
        <v>9</v>
      </c>
      <c r="V69" s="15">
        <f>IF(ISNA(VLOOKUP(A69,'Données projet'!$A$35:$I$55,4,0)),0,VLOOKUP(A69,'Données projet'!$A$35:$I$55,4,0))</f>
        <v>65</v>
      </c>
      <c r="W69" s="16">
        <f>IF(ISNA(VLOOKUP(A69,'Données projet'!$A$35:$I$55,5,0)),0%,VLOOKUP(A69,'Données projet'!$A$35:$I$55,5,0)*VLOOKUP('Données projet'!$B$9,Paramètres!$A$1:$I$89,7,0))</f>
        <v>0.315</v>
      </c>
      <c r="X69" s="16">
        <f>IF(ISNA(VLOOKUP(A69,'Données projet'!$A$35:$I$55,6,0)),0%,VLOOKUP(A69,'Données projet'!$A$35:$I$55,6,0)*VLOOKUP('Données projet'!$B$9,Paramètres!$A$1:$I$89,7,0))</f>
        <v>0.13500000000000001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48.715980543614407</v>
      </c>
      <c r="AA69" s="21">
        <f>EXP(-LN(2)/25)*AA68+(1-EXP(-LN(2)/25))/(LN(2)/25)*Calculateur!V69*Calculateur!X69*VLOOKUP('Données projet'!$B$9,Paramètres!$A$1:$I$89,3,0)*0.475*44/12</f>
        <v>37.440832090290279</v>
      </c>
      <c r="AB69" s="21">
        <f>EXP(-LN(2)/2)*AB68+(1-EXP(-LN(2)/2))/(LN(2)/2)*V69*Y69*VLOOKUP('Données projet'!$B$9,Paramètres!$A$1:$I$89,3,0)*0.475*44/12</f>
        <v>5.0259497298043015E-4</v>
      </c>
      <c r="AC69" s="22">
        <f t="shared" si="57"/>
        <v>86.157315228877664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12.875</v>
      </c>
      <c r="N70" s="13">
        <f>IF('Données projet'!$A$36&gt;35,N69+M70-V69,IF(A70&lt;'Données projet'!$A$36,$K$205^A70,IF(A70='Données projet'!$A$36,'Données projet'!$B$36,N69+M70-V69)))</f>
        <v>442.87499999999994</v>
      </c>
      <c r="O70" s="13">
        <f>N70*VLOOKUP('Données projet'!$B$9,Paramètres!$A$1:$I$89,3,0)*VLOOKUP('Données projet'!$B$9,Paramètres!$A$1:$I$89,5,0)</f>
        <v>264.83924999999999</v>
      </c>
      <c r="P70" s="13">
        <f t="shared" si="87"/>
        <v>63.752800756768096</v>
      </c>
      <c r="Q70" s="20">
        <f t="shared" si="54"/>
        <v>572.29782173470437</v>
      </c>
      <c r="R70" s="59">
        <f t="shared" si="55"/>
        <v>865.63115506803774</v>
      </c>
      <c r="S70" s="59">
        <f ca="1">AVERAGE(OFFSET($R$3,0,0,'Données projet'!$E$9+1,1))-AVERAGE(OFFSET($H$3,0,0,'Données projet'!$E$9+1,1))</f>
        <v>203.32669758211171</v>
      </c>
      <c r="T70" s="59">
        <f t="shared" si="88"/>
        <v>217.57508587672368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47.760689878968265</v>
      </c>
      <c r="AA70" s="21">
        <f>EXP(-LN(2)/25)*AA69+(1-EXP(-LN(2)/25))/(LN(2)/25)*Calculateur!V70*Calculateur!X70*VLOOKUP('Données projet'!$B$9,Paramètres!$A$1:$I$89,3,0)*0.475*44/12</f>
        <v>36.417010567853502</v>
      </c>
      <c r="AB70" s="21">
        <f>EXP(-LN(2)/2)*AB69+(1-EXP(-LN(2)/2))/(LN(2)/2)*V70*Y70*VLOOKUP('Données projet'!$B$9,Paramètres!$A$1:$I$89,3,0)*0.475*44/12</f>
        <v>3.553883135847318E-4</v>
      </c>
      <c r="AC70" s="22">
        <f t="shared" si="57"/>
        <v>84.178055835135353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12.875</v>
      </c>
      <c r="N71" s="13">
        <f>IF('Données projet'!$A$36&gt;35,N70+M71-V70,IF(A71&lt;'Données projet'!$A$36,$K$205^A71,IF(A71='Données projet'!$A$36,'Données projet'!$B$36,N70+M71-V70)))</f>
        <v>455.74999999999994</v>
      </c>
      <c r="O71" s="13">
        <f>N71*VLOOKUP('Données projet'!$B$9,Paramètres!$A$1:$I$89,3,0)*VLOOKUP('Données projet'!$B$9,Paramètres!$A$1:$I$89,5,0)</f>
        <v>272.5385</v>
      </c>
      <c r="P71" s="13">
        <f t="shared" si="87"/>
        <v>65.387709293034902</v>
      </c>
      <c r="Q71" s="20">
        <f t="shared" si="54"/>
        <v>588.55481451870241</v>
      </c>
      <c r="R71" s="59">
        <f t="shared" si="55"/>
        <v>881.88814785203567</v>
      </c>
      <c r="S71" s="59">
        <f ca="1">AVERAGE(OFFSET($R$3,0,0,'Données projet'!$E$9+1,1))-AVERAGE(OFFSET($H$3,0,0,'Données projet'!$E$9+1,1))</f>
        <v>203.32669758211171</v>
      </c>
      <c r="T71" s="59">
        <f t="shared" si="88"/>
        <v>217.57508587672368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46.824131881586062</v>
      </c>
      <c r="AA71" s="21">
        <f>EXP(-LN(2)/25)*AA70+(1-EXP(-LN(2)/25))/(LN(2)/25)*Calculateur!V71*Calculateur!X71*VLOOKUP('Données projet'!$B$9,Paramètres!$A$1:$I$89,3,0)*0.475*44/12</f>
        <v>35.421185498788198</v>
      </c>
      <c r="AB71" s="21">
        <f>EXP(-LN(2)/2)*AB70+(1-EXP(-LN(2)/2))/(LN(2)/2)*V71*Y71*VLOOKUP('Données projet'!$B$9,Paramètres!$A$1:$I$89,3,0)*0.475*44/12</f>
        <v>2.5129748649021507E-4</v>
      </c>
      <c r="AC71" s="22">
        <f t="shared" si="57"/>
        <v>82.245568677860746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12.875</v>
      </c>
      <c r="N72" s="13">
        <f>IF('Données projet'!$A$36&gt;35,N71+M72-V71,IF(A72&lt;'Données projet'!$A$36,$K$205^A72,IF(A72='Données projet'!$A$36,'Données projet'!$B$36,N71+M72-V71)))</f>
        <v>468.62499999999994</v>
      </c>
      <c r="O72" s="13">
        <f>N72*VLOOKUP('Données projet'!$B$9,Paramètres!$A$1:$I$89,3,0)*VLOOKUP('Données projet'!$B$9,Paramètres!$A$1:$I$89,5,0)</f>
        <v>280.23775000000001</v>
      </c>
      <c r="P72" s="13">
        <f t="shared" si="87"/>
        <v>67.017249808465152</v>
      </c>
      <c r="Q72" s="20">
        <f t="shared" si="54"/>
        <v>604.80245799974352</v>
      </c>
      <c r="R72" s="59">
        <f t="shared" si="55"/>
        <v>898.1357913330769</v>
      </c>
      <c r="S72" s="59">
        <f ca="1">AVERAGE(OFFSET($R$3,0,0,'Données projet'!$E$9+1,1))-AVERAGE(OFFSET($H$3,0,0,'Données projet'!$E$9+1,1))</f>
        <v>203.32669758211171</v>
      </c>
      <c r="T72" s="59">
        <f t="shared" si="88"/>
        <v>217.57508587672368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45.905939215288548</v>
      </c>
      <c r="AA72" s="21">
        <f>EXP(-LN(2)/25)*AA71+(1-EXP(-LN(2)/25))/(LN(2)/25)*Calculateur!V72*Calculateur!X72*VLOOKUP('Données projet'!$B$9,Paramètres!$A$1:$I$89,3,0)*0.475*44/12</f>
        <v>34.452591318604647</v>
      </c>
      <c r="AB72" s="21">
        <f>EXP(-LN(2)/2)*AB71+(1-EXP(-LN(2)/2))/(LN(2)/2)*V72*Y72*VLOOKUP('Données projet'!$B$9,Paramètres!$A$1:$I$89,3,0)*0.475*44/12</f>
        <v>1.776941567923659E-4</v>
      </c>
      <c r="AC72" s="22">
        <f t="shared" si="57"/>
        <v>80.358708228049991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12.875</v>
      </c>
      <c r="N73" s="13">
        <f>IF('Données projet'!$A$36&gt;35,N72+M73-V72,IF(A73&lt;'Données projet'!$A$36,$K$205^A73,IF(A73='Données projet'!$A$36,'Données projet'!$B$36,N72+M73-V72)))</f>
        <v>481.49999999999994</v>
      </c>
      <c r="O73" s="13">
        <f>N73*VLOOKUP('Données projet'!$B$9,Paramètres!$A$1:$I$89,3,0)*VLOOKUP('Données projet'!$B$9,Paramètres!$A$1:$I$89,5,0)</f>
        <v>287.93700000000001</v>
      </c>
      <c r="P73" s="13">
        <f t="shared" si="87"/>
        <v>68.641586729718156</v>
      </c>
      <c r="Q73" s="20">
        <f t="shared" si="54"/>
        <v>621.04103855425899</v>
      </c>
      <c r="R73" s="59">
        <f t="shared" si="55"/>
        <v>914.37437188759236</v>
      </c>
      <c r="S73" s="59">
        <f ca="1">AVERAGE(OFFSET($R$3,0,0,'Données projet'!$E$9+1,1))-AVERAGE(OFFSET($H$3,0,0,'Données projet'!$E$9+1,1))</f>
        <v>203.32669758211171</v>
      </c>
      <c r="T73" s="59">
        <f t="shared" si="88"/>
        <v>217.57508587672368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45.005751747134902</v>
      </c>
      <c r="AA73" s="21">
        <f>EXP(-LN(2)/25)*AA72+(1-EXP(-LN(2)/25))/(LN(2)/25)*Calculateur!V73*Calculateur!X73*VLOOKUP('Données projet'!$B$9,Paramètres!$A$1:$I$89,3,0)*0.475*44/12</f>
        <v>33.510483397214365</v>
      </c>
      <c r="AB73" s="21">
        <f>EXP(-LN(2)/2)*AB72+(1-EXP(-LN(2)/2))/(LN(2)/2)*V73*Y73*VLOOKUP('Données projet'!$B$9,Paramètres!$A$1:$I$89,3,0)*0.475*44/12</f>
        <v>1.2564874324510754E-4</v>
      </c>
      <c r="AC73" s="22">
        <f t="shared" si="57"/>
        <v>78.516360793092517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12.875</v>
      </c>
      <c r="N74" s="13">
        <f>IF('Données projet'!$A$36&gt;35,N73+M74-V73,IF(A74&lt;'Données projet'!$A$36,$K$205^A74,IF(A74='Données projet'!$A$36,'Données projet'!$B$36,N73+M74-V73)))</f>
        <v>494.37499999999994</v>
      </c>
      <c r="O74" s="13">
        <f>N74*VLOOKUP('Données projet'!$B$9,Paramètres!$A$1:$I$89,3,0)*VLOOKUP('Données projet'!$B$9,Paramètres!$A$1:$I$89,5,0)</f>
        <v>295.63625000000002</v>
      </c>
      <c r="P74" s="13">
        <f t="shared" si="87"/>
        <v>70.260875189476423</v>
      </c>
      <c r="Q74" s="20">
        <f t="shared" si="54"/>
        <v>637.27082637167155</v>
      </c>
      <c r="R74" s="59">
        <f t="shared" si="55"/>
        <v>930.6041597050048</v>
      </c>
      <c r="S74" s="59">
        <f ca="1">AVERAGE(OFFSET($R$3,0,0,'Données projet'!$E$9+1,1))-AVERAGE(OFFSET($H$3,0,0,'Données projet'!$E$9+1,1))</f>
        <v>203.32669758211171</v>
      </c>
      <c r="T74" s="59">
        <f t="shared" si="88"/>
        <v>217.57508587672368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44.123216406171608</v>
      </c>
      <c r="AA74" s="21">
        <f>EXP(-LN(2)/25)*AA73+(1-EXP(-LN(2)/25))/(LN(2)/25)*Calculateur!V74*Calculateur!X74*VLOOKUP('Données projet'!$B$9,Paramètres!$A$1:$I$89,3,0)*0.475*44/12</f>
        <v>32.594137466477804</v>
      </c>
      <c r="AB74" s="21">
        <f>EXP(-LN(2)/2)*AB73+(1-EXP(-LN(2)/2))/(LN(2)/2)*V74*Y74*VLOOKUP('Données projet'!$B$9,Paramètres!$A$1:$I$89,3,0)*0.475*44/12</f>
        <v>8.8847078396182949E-5</v>
      </c>
      <c r="AC74" s="22">
        <f t="shared" si="57"/>
        <v>76.717442719727813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12.875</v>
      </c>
      <c r="N75" s="13">
        <f>IF('Données projet'!$A$36&gt;35,N74+M75-V74,IF(A75&lt;'Données projet'!$A$36,$K$205^A75,IF(A75='Données projet'!$A$36,'Données projet'!$B$36,N74+M75-V74)))</f>
        <v>507.24999999999994</v>
      </c>
      <c r="O75" s="13">
        <f>N75*VLOOKUP('Données projet'!$B$9,Paramètres!$A$1:$I$89,3,0)*VLOOKUP('Données projet'!$B$9,Paramètres!$A$1:$I$89,5,0)</f>
        <v>303.33549999999997</v>
      </c>
      <c r="P75" s="13">
        <f t="shared" si="87"/>
        <v>71.875261779950591</v>
      </c>
      <c r="Q75" s="20">
        <f t="shared" si="54"/>
        <v>653.49207676674712</v>
      </c>
      <c r="R75" s="59">
        <f t="shared" si="55"/>
        <v>946.82541010008049</v>
      </c>
      <c r="S75" s="59">
        <f ca="1">AVERAGE(OFFSET($R$3,0,0,'Données projet'!$E$9+1,1))-AVERAGE(OFFSET($H$3,0,0,'Données projet'!$E$9+1,1))</f>
        <v>203.32669758211171</v>
      </c>
      <c r="T75" s="59">
        <f t="shared" si="88"/>
        <v>217.57508587672368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43.2579870449512</v>
      </c>
      <c r="AA75" s="21">
        <f>EXP(-LN(2)/25)*AA74+(1-EXP(-LN(2)/25))/(LN(2)/25)*Calculateur!V75*Calculateur!X75*VLOOKUP('Données projet'!$B$9,Paramètres!$A$1:$I$89,3,0)*0.475*44/12</f>
        <v>31.702849063405775</v>
      </c>
      <c r="AB75" s="21">
        <f>EXP(-LN(2)/2)*AB74+(1-EXP(-LN(2)/2))/(LN(2)/2)*V75*Y75*VLOOKUP('Données projet'!$B$9,Paramètres!$A$1:$I$89,3,0)*0.475*44/12</f>
        <v>6.2824371622553768E-5</v>
      </c>
      <c r="AC75" s="22">
        <f t="shared" si="57"/>
        <v>74.960898932728597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12.875</v>
      </c>
      <c r="N76" s="13">
        <f>IF('Données projet'!$A$36&gt;35,N75+M76-V75,IF(A76&lt;'Données projet'!$A$36,$K$205^A76,IF(A76='Données projet'!$A$36,'Données projet'!$B$36,N75+M76-V75)))</f>
        <v>520.125</v>
      </c>
      <c r="O76" s="13">
        <f>N76*VLOOKUP('Données projet'!$B$9,Paramètres!$A$1:$I$89,3,0)*VLOOKUP('Données projet'!$B$9,Paramètres!$A$1:$I$89,5,0)</f>
        <v>311.03475000000003</v>
      </c>
      <c r="P76" s="13">
        <f t="shared" si="87"/>
        <v>73.484885227728896</v>
      </c>
      <c r="Q76" s="20">
        <f t="shared" si="54"/>
        <v>669.70503135496119</v>
      </c>
      <c r="R76" s="59">
        <f t="shared" si="55"/>
        <v>963.03836468829445</v>
      </c>
      <c r="S76" s="59">
        <f ca="1">AVERAGE(OFFSET($R$3,0,0,'Données projet'!$E$9+1,1))-AVERAGE(OFFSET($H$3,0,0,'Données projet'!$E$9+1,1))</f>
        <v>203.32669758211171</v>
      </c>
      <c r="T76" s="59">
        <f t="shared" si="88"/>
        <v>217.57508587672368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42.409724303766524</v>
      </c>
      <c r="AA76" s="21">
        <f>EXP(-LN(2)/25)*AA75+(1-EXP(-LN(2)/25))/(LN(2)/25)*Calculateur!V76*Calculateur!X76*VLOOKUP('Données projet'!$B$9,Paramètres!$A$1:$I$89,3,0)*0.475*44/12</f>
        <v>30.835932988586571</v>
      </c>
      <c r="AB76" s="21">
        <f>EXP(-LN(2)/2)*AB75+(1-EXP(-LN(2)/2))/(LN(2)/2)*V76*Y76*VLOOKUP('Données projet'!$B$9,Paramètres!$A$1:$I$89,3,0)*0.475*44/12</f>
        <v>4.4423539198091475E-5</v>
      </c>
      <c r="AC76" s="22">
        <f t="shared" si="57"/>
        <v>73.245701715892281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533</v>
      </c>
      <c r="L77" s="12">
        <f>VLOOKUP(A77,'Données projet'!$A$35:$I$55,9,0)</f>
        <v>12.875</v>
      </c>
      <c r="M77" s="12">
        <f t="array" ref="M77">INDEX(L:L,MIN(IF(ISNUMBER(L77:L273),ROW(L77:L273),"")))</f>
        <v>12.875</v>
      </c>
      <c r="N77" s="13">
        <f>IF('Données projet'!$A$36&gt;35,N76+M77-V76,IF(A77&lt;'Données projet'!$A$36,$K$205^A77,IF(A77='Données projet'!$A$36,'Données projet'!$B$36,N76+M77-V76)))</f>
        <v>533</v>
      </c>
      <c r="O77" s="13">
        <f>N77*VLOOKUP('Données projet'!$B$9,Paramètres!$A$1:$I$89,3,0)*VLOOKUP('Données projet'!$B$9,Paramètres!$A$1:$I$89,5,0)</f>
        <v>318.73400000000004</v>
      </c>
      <c r="P77" s="13">
        <f t="shared" si="87"/>
        <v>75.089876999925679</v>
      </c>
      <c r="Q77" s="20">
        <f t="shared" si="54"/>
        <v>685.90991910820378</v>
      </c>
      <c r="R77" s="59">
        <f t="shared" si="55"/>
        <v>979.24325244153715</v>
      </c>
      <c r="S77" s="59">
        <f ca="1">AVERAGE(OFFSET($R$3,0,0,'Données projet'!$E$9+1,1))-AVERAGE(OFFSET($H$3,0,0,'Données projet'!$E$9+1,1))</f>
        <v>203.32669758211171</v>
      </c>
      <c r="T77" s="59">
        <f t="shared" si="88"/>
        <v>217.57508587672368</v>
      </c>
      <c r="U77" s="15">
        <f>IF(ISNA(VLOOKUP(A77,'Données projet'!$A$35:$I$55,3,0)),0,VLOOKUP(A77,'Données projet'!$A$35:$I$55,3,0))</f>
        <v>10</v>
      </c>
      <c r="V77" s="15">
        <f>IF(ISNA(VLOOKUP(A77,'Données projet'!$A$35:$I$55,4,0)),0,VLOOKUP(A77,'Données projet'!$A$35:$I$55,4,0))</f>
        <v>37</v>
      </c>
      <c r="W77" s="16">
        <f>IF(ISNA(VLOOKUP(A77,'Données projet'!$A$35:$I$55,5,0)),0%,VLOOKUP(A77,'Données projet'!$A$35:$I$55,5,0)*VLOOKUP('Données projet'!$B$9,Paramètres!$A$1:$I$89,7,0))</f>
        <v>0.40500000000000003</v>
      </c>
      <c r="X77" s="16">
        <f>IF(ISNA(VLOOKUP(A77,'Données projet'!$A$35:$I$55,6,0)),0%,VLOOKUP(A77,'Données projet'!$A$35:$I$55,6,0)*VLOOKUP('Données projet'!$B$9,Paramètres!$A$1:$I$89,7,0))</f>
        <v>4.5000000000000005E-2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53.465479359674681</v>
      </c>
      <c r="AA77" s="21">
        <f>EXP(-LN(2)/25)*AA76+(1-EXP(-LN(2)/25))/(LN(2)/25)*Calculateur!V77*Calculateur!X77*VLOOKUP('Données projet'!$B$9,Paramètres!$A$1:$I$89,3,0)*0.475*44/12</f>
        <v>31.308342637459663</v>
      </c>
      <c r="AB77" s="21">
        <f>EXP(-LN(2)/2)*AB76+(1-EXP(-LN(2)/2))/(LN(2)/2)*V77*Y77*VLOOKUP('Données projet'!$B$9,Paramètres!$A$1:$I$89,3,0)*0.475*44/12</f>
        <v>3.1412185811276884E-5</v>
      </c>
      <c r="AC77" s="22">
        <f t="shared" si="57"/>
        <v>84.773853409320154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8.875</v>
      </c>
      <c r="N78" s="13">
        <f>IF('Données projet'!$A$36&gt;35,N77+M78-V77,IF(A78&lt;'Données projet'!$A$36,$K$205^A78,IF(A78='Données projet'!$A$36,'Données projet'!$B$36,N77+M78-V77)))</f>
        <v>504.875</v>
      </c>
      <c r="O78" s="13">
        <f>N78*VLOOKUP('Données projet'!$B$9,Paramètres!$A$1:$I$89,3,0)*VLOOKUP('Données projet'!$B$9,Paramètres!$A$1:$I$89,5,0)</f>
        <v>301.91525000000001</v>
      </c>
      <c r="P78" s="13">
        <f t="shared" si="87"/>
        <v>71.577824610045951</v>
      </c>
      <c r="Q78" s="20">
        <f t="shared" si="54"/>
        <v>650.50043827916329</v>
      </c>
      <c r="R78" s="59">
        <f t="shared" si="55"/>
        <v>943.83377161249655</v>
      </c>
      <c r="S78" s="59">
        <f ca="1">AVERAGE(OFFSET($R$3,0,0,'Données projet'!$E$9+1,1))-AVERAGE(OFFSET($H$3,0,0,'Données projet'!$E$9+1,1))</f>
        <v>203.32669758211171</v>
      </c>
      <c r="T78" s="59">
        <f t="shared" si="88"/>
        <v>217.57508587672368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52.417053920153826</v>
      </c>
      <c r="AA78" s="21">
        <f>EXP(-LN(2)/25)*AA77+(1-EXP(-LN(2)/25))/(LN(2)/25)*Calculateur!V78*Calculateur!X78*VLOOKUP('Données projet'!$B$9,Paramètres!$A$1:$I$89,3,0)*0.475*44/12</f>
        <v>30.452214361604145</v>
      </c>
      <c r="AB78" s="21">
        <f>EXP(-LN(2)/2)*AB77+(1-EXP(-LN(2)/2))/(LN(2)/2)*V78*Y78*VLOOKUP('Données projet'!$B$9,Paramètres!$A$1:$I$89,3,0)*0.475*44/12</f>
        <v>2.2211769599045737E-5</v>
      </c>
      <c r="AC78" s="22">
        <f t="shared" si="57"/>
        <v>82.869290493527572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8.875</v>
      </c>
      <c r="N79" s="13">
        <f>IF('Données projet'!$A$36&gt;35,N78+M79-V78,IF(A79&lt;'Données projet'!$A$36,$K$205^A79,IF(A79='Données projet'!$A$36,'Données projet'!$B$36,N78+M79-V78)))</f>
        <v>513.75</v>
      </c>
      <c r="O79" s="13">
        <f>N79*VLOOKUP('Données projet'!$B$9,Paramètres!$A$1:$I$89,3,0)*VLOOKUP('Données projet'!$B$9,Paramètres!$A$1:$I$89,5,0)</f>
        <v>307.22250000000003</v>
      </c>
      <c r="P79" s="13">
        <f t="shared" si="87"/>
        <v>72.68847414066191</v>
      </c>
      <c r="Q79" s="20">
        <f t="shared" si="54"/>
        <v>661.67827996165295</v>
      </c>
      <c r="R79" s="59">
        <f t="shared" si="55"/>
        <v>955.01161329498632</v>
      </c>
      <c r="S79" s="59">
        <f ca="1">AVERAGE(OFFSET($R$3,0,0,'Données projet'!$E$9+1,1))-AVERAGE(OFFSET($H$3,0,0,'Données projet'!$E$9+1,1))</f>
        <v>203.32669758211171</v>
      </c>
      <c r="T79" s="59">
        <f t="shared" si="88"/>
        <v>217.57508587672368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51.389187464025603</v>
      </c>
      <c r="AA79" s="21">
        <f>EXP(-LN(2)/25)*AA78+(1-EXP(-LN(2)/25))/(LN(2)/25)*Calculateur!V79*Calculateur!X79*VLOOKUP('Données projet'!$B$9,Paramètres!$A$1:$I$89,3,0)*0.475*44/12</f>
        <v>29.619496958473725</v>
      </c>
      <c r="AB79" s="21">
        <f>EXP(-LN(2)/2)*AB78+(1-EXP(-LN(2)/2))/(LN(2)/2)*V79*Y79*VLOOKUP('Données projet'!$B$9,Paramètres!$A$1:$I$89,3,0)*0.475*44/12</f>
        <v>1.5706092905638442E-5</v>
      </c>
      <c r="AC79" s="22">
        <f t="shared" si="57"/>
        <v>81.008700128592238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8.875</v>
      </c>
      <c r="N80" s="13">
        <f>IF('Données projet'!$A$36&gt;35,N79+M80-V79,IF(A80&lt;'Données projet'!$A$36,$K$205^A80,IF(A80='Données projet'!$A$36,'Données projet'!$B$36,N79+M80-V79)))</f>
        <v>522.625</v>
      </c>
      <c r="O80" s="13">
        <f>N80*VLOOKUP('Données projet'!$B$9,Paramètres!$A$1:$I$89,3,0)*VLOOKUP('Données projet'!$B$9,Paramètres!$A$1:$I$89,5,0)</f>
        <v>312.52975000000004</v>
      </c>
      <c r="P80" s="13">
        <f t="shared" si="87"/>
        <v>73.796892500493684</v>
      </c>
      <c r="Q80" s="20">
        <f t="shared" si="54"/>
        <v>672.85223568835988</v>
      </c>
      <c r="R80" s="59">
        <f t="shared" si="55"/>
        <v>966.18556902169325</v>
      </c>
      <c r="S80" s="59">
        <f ca="1">AVERAGE(OFFSET($R$3,0,0,'Données projet'!$E$9+1,1))-AVERAGE(OFFSET($H$3,0,0,'Données projet'!$E$9+1,1))</f>
        <v>203.32669758211171</v>
      </c>
      <c r="T80" s="59">
        <f t="shared" si="88"/>
        <v>217.57508587672368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50.381476842165419</v>
      </c>
      <c r="AA80" s="21">
        <f>EXP(-LN(2)/25)*AA79+(1-EXP(-LN(2)/25))/(LN(2)/25)*Calculateur!V80*Calculateur!X80*VLOOKUP('Données projet'!$B$9,Paramètres!$A$1:$I$89,3,0)*0.475*44/12</f>
        <v>28.809550256522613</v>
      </c>
      <c r="AB80" s="21">
        <f>EXP(-LN(2)/2)*AB79+(1-EXP(-LN(2)/2))/(LN(2)/2)*V80*Y80*VLOOKUP('Données projet'!$B$9,Paramètres!$A$1:$I$89,3,0)*0.475*44/12</f>
        <v>1.1105884799522869E-5</v>
      </c>
      <c r="AC80" s="22">
        <f t="shared" si="57"/>
        <v>79.191038204572834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8.875</v>
      </c>
      <c r="N81" s="13">
        <f>IF('Données projet'!$A$36&gt;35,N80+M81-V80,IF(A81&lt;'Données projet'!$A$36,$K$205^A81,IF(A81='Données projet'!$A$36,'Données projet'!$B$36,N80+M81-V80)))</f>
        <v>531.5</v>
      </c>
      <c r="O81" s="13">
        <f>N81*VLOOKUP('Données projet'!$B$9,Paramètres!$A$1:$I$89,3,0)*VLOOKUP('Données projet'!$B$9,Paramètres!$A$1:$I$89,5,0)</f>
        <v>317.83700000000005</v>
      </c>
      <c r="P81" s="13">
        <f t="shared" si="87"/>
        <v>74.903121950927684</v>
      </c>
      <c r="Q81" s="20">
        <f t="shared" si="54"/>
        <v>684.0223790645324</v>
      </c>
      <c r="R81" s="59">
        <f t="shared" si="55"/>
        <v>977.35571239786577</v>
      </c>
      <c r="S81" s="59">
        <f ca="1">AVERAGE(OFFSET($R$3,0,0,'Données projet'!$E$9+1,1))-AVERAGE(OFFSET($H$3,0,0,'Données projet'!$E$9+1,1))</f>
        <v>203.32669758211171</v>
      </c>
      <c r="T81" s="59">
        <f t="shared" si="88"/>
        <v>217.57508587672368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49.393526810957127</v>
      </c>
      <c r="AA81" s="21">
        <f>EXP(-LN(2)/25)*AA80+(1-EXP(-LN(2)/25))/(LN(2)/25)*Calculateur!V81*Calculateur!X81*VLOOKUP('Données projet'!$B$9,Paramètres!$A$1:$I$89,3,0)*0.475*44/12</f>
        <v>28.0217515897296</v>
      </c>
      <c r="AB81" s="21">
        <f>EXP(-LN(2)/2)*AB80+(1-EXP(-LN(2)/2))/(LN(2)/2)*V81*Y81*VLOOKUP('Données projet'!$B$9,Paramètres!$A$1:$I$89,3,0)*0.475*44/12</f>
        <v>7.853046452819221E-6</v>
      </c>
      <c r="AC81" s="22">
        <f t="shared" si="57"/>
        <v>77.415286253733186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8.875</v>
      </c>
      <c r="N82" s="13">
        <f>IF('Données projet'!$A$36&gt;35,N81+M82-V81,IF(A82&lt;'Données projet'!$A$36,$K$205^A82,IF(A82='Données projet'!$A$36,'Données projet'!$B$36,N81+M82-V81)))</f>
        <v>540.375</v>
      </c>
      <c r="O82" s="13">
        <f>N82*VLOOKUP('Données projet'!$B$9,Paramètres!$A$1:$I$89,3,0)*VLOOKUP('Données projet'!$B$9,Paramètres!$A$1:$I$89,5,0)</f>
        <v>323.14425000000006</v>
      </c>
      <c r="P82" s="13">
        <f t="shared" si="87"/>
        <v>76.007203261088534</v>
      </c>
      <c r="Q82" s="20">
        <f t="shared" si="54"/>
        <v>695.18878109639593</v>
      </c>
      <c r="R82" s="59">
        <f t="shared" si="55"/>
        <v>988.5221144297293</v>
      </c>
      <c r="S82" s="59">
        <f ca="1">AVERAGE(OFFSET($R$3,0,0,'Données projet'!$E$9+1,1))-AVERAGE(OFFSET($H$3,0,0,'Données projet'!$E$9+1,1))</f>
        <v>203.32669758211171</v>
      </c>
      <c r="T82" s="59">
        <f t="shared" si="88"/>
        <v>217.57508587672368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48.424949877270812</v>
      </c>
      <c r="AA82" s="21">
        <f>EXP(-LN(2)/25)*AA81+(1-EXP(-LN(2)/25))/(LN(2)/25)*Calculateur!V82*Calculateur!X82*VLOOKUP('Données projet'!$B$9,Paramètres!$A$1:$I$89,3,0)*0.475*44/12</f>
        <v>27.255495318908572</v>
      </c>
      <c r="AB82" s="21">
        <f>EXP(-LN(2)/2)*AB81+(1-EXP(-LN(2)/2))/(LN(2)/2)*V82*Y82*VLOOKUP('Données projet'!$B$9,Paramètres!$A$1:$I$89,3,0)*0.475*44/12</f>
        <v>5.5529423997614343E-6</v>
      </c>
      <c r="AC82" s="22">
        <f t="shared" si="57"/>
        <v>75.680450749121789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8.875</v>
      </c>
      <c r="N83" s="13">
        <f>IF('Données projet'!$A$36&gt;35,N82+M83-V82,IF(A83&lt;'Données projet'!$A$36,$K$205^A83,IF(A83='Données projet'!$A$36,'Données projet'!$B$36,N82+M83-V82)))</f>
        <v>549.25</v>
      </c>
      <c r="O83" s="13">
        <f>N83*VLOOKUP('Données projet'!$B$9,Paramètres!$A$1:$I$89,3,0)*VLOOKUP('Données projet'!$B$9,Paramètres!$A$1:$I$89,5,0)</f>
        <v>328.45150000000001</v>
      </c>
      <c r="P83" s="13">
        <f t="shared" si="87"/>
        <v>77.109175784158708</v>
      </c>
      <c r="Q83" s="20">
        <f t="shared" si="54"/>
        <v>706.35151032407646</v>
      </c>
      <c r="R83" s="59">
        <f t="shared" si="55"/>
        <v>999.68484365740983</v>
      </c>
      <c r="S83" s="59">
        <f ca="1">AVERAGE(OFFSET($R$3,0,0,'Données projet'!$E$9+1,1))-AVERAGE(OFFSET($H$3,0,0,'Données projet'!$E$9+1,1))</f>
        <v>203.32669758211171</v>
      </c>
      <c r="T83" s="59">
        <f t="shared" si="88"/>
        <v>217.57508587672368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47.475366146480489</v>
      </c>
      <c r="AA83" s="21">
        <f>EXP(-LN(2)/25)*AA82+(1-EXP(-LN(2)/25))/(LN(2)/25)*Calculateur!V83*Calculateur!X83*VLOOKUP('Données projet'!$B$9,Paramètres!$A$1:$I$89,3,0)*0.475*44/12</f>
        <v>26.510192366108811</v>
      </c>
      <c r="AB83" s="21">
        <f>EXP(-LN(2)/2)*AB82+(1-EXP(-LN(2)/2))/(LN(2)/2)*V83*Y83*VLOOKUP('Données projet'!$B$9,Paramètres!$A$1:$I$89,3,0)*0.475*44/12</f>
        <v>3.9265232264096105E-6</v>
      </c>
      <c r="AC83" s="22">
        <f t="shared" si="57"/>
        <v>73.985562439112527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8.875</v>
      </c>
      <c r="N84" s="13">
        <f>IF('Données projet'!$A$36&gt;35,N83+M84-V83,IF(A84&lt;'Données projet'!$A$36,$K$205^A84,IF(A84='Données projet'!$A$36,'Données projet'!$B$36,N83+M84-V83)))</f>
        <v>558.125</v>
      </c>
      <c r="O84" s="13">
        <f>N84*VLOOKUP('Données projet'!$B$9,Paramètres!$A$1:$I$89,3,0)*VLOOKUP('Données projet'!$B$9,Paramètres!$A$1:$I$89,5,0)</f>
        <v>333.75875000000002</v>
      </c>
      <c r="P84" s="13">
        <f t="shared" si="87"/>
        <v>78.209077528625059</v>
      </c>
      <c r="Q84" s="20">
        <f t="shared" si="54"/>
        <v>717.5106329456886</v>
      </c>
      <c r="R84" s="59">
        <f t="shared" si="55"/>
        <v>1010.843966279022</v>
      </c>
      <c r="S84" s="59">
        <f ca="1">AVERAGE(OFFSET($R$3,0,0,'Données projet'!$E$9+1,1))-AVERAGE(OFFSET($H$3,0,0,'Données projet'!$E$9+1,1))</f>
        <v>203.32669758211171</v>
      </c>
      <c r="T84" s="59">
        <f t="shared" si="88"/>
        <v>217.57508587672368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46.544403173462079</v>
      </c>
      <c r="AA84" s="21">
        <f>EXP(-LN(2)/25)*AA83+(1-EXP(-LN(2)/25))/(LN(2)/25)*Calculateur!V84*Calculateur!X84*VLOOKUP('Données projet'!$B$9,Paramètres!$A$1:$I$89,3,0)*0.475*44/12</f>
        <v>25.785269761747138</v>
      </c>
      <c r="AB84" s="21">
        <f>EXP(-LN(2)/2)*AB83+(1-EXP(-LN(2)/2))/(LN(2)/2)*V84*Y84*VLOOKUP('Données projet'!$B$9,Paramètres!$A$1:$I$89,3,0)*0.475*44/12</f>
        <v>2.7764711998807172E-6</v>
      </c>
      <c r="AC84" s="22">
        <f t="shared" si="57"/>
        <v>72.329675711680423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567</v>
      </c>
      <c r="L85" s="12">
        <f>VLOOKUP(A85,'Données projet'!$A$35:$I$55,9,0)</f>
        <v>8.875</v>
      </c>
      <c r="M85" s="12">
        <f t="array" ref="M85">INDEX(L:L,MIN(IF(ISNUMBER(L85:L281),ROW(L85:L281),"")))</f>
        <v>8.875</v>
      </c>
      <c r="N85" s="13">
        <f>IF('Données projet'!$A$36&gt;35,N84+M85-V84,IF(A85&lt;'Données projet'!$A$36,$K$205^A85,IF(A85='Données projet'!$A$36,'Données projet'!$B$36,N84+M85-V84)))</f>
        <v>567</v>
      </c>
      <c r="O85" s="13">
        <f>N85*VLOOKUP('Données projet'!$B$9,Paramètres!$A$1:$I$89,3,0)*VLOOKUP('Données projet'!$B$9,Paramètres!$A$1:$I$89,5,0)</f>
        <v>339.06600000000003</v>
      </c>
      <c r="P85" s="13">
        <f t="shared" si="87"/>
        <v>79.30694522486489</v>
      </c>
      <c r="Q85" s="20">
        <f t="shared" si="54"/>
        <v>728.66621293330627</v>
      </c>
      <c r="R85" s="59">
        <f t="shared" si="55"/>
        <v>1021.9995462666395</v>
      </c>
      <c r="S85" s="59">
        <f ca="1">AVERAGE(OFFSET($R$3,0,0,'Données projet'!$E$9+1,1))-AVERAGE(OFFSET($H$3,0,0,'Données projet'!$E$9+1,1))</f>
        <v>203.32669758211171</v>
      </c>
      <c r="T85" s="59">
        <f t="shared" si="88"/>
        <v>217.57508587672368</v>
      </c>
      <c r="U85" s="15">
        <f>IF(ISNA(VLOOKUP(A85,'Données projet'!$A$35:$I$55,3,0)),0,VLOOKUP(A85,'Données projet'!$A$35:$I$55,3,0))</f>
        <v>11</v>
      </c>
      <c r="V85" s="15">
        <f>IF(ISNA(VLOOKUP(A85,'Données projet'!$A$35:$I$55,4,0)),0,VLOOKUP(A85,'Données projet'!$A$35:$I$55,4,0))</f>
        <v>567</v>
      </c>
      <c r="W85" s="16">
        <f>IF(ISNA(VLOOKUP(A85,'Données projet'!$A$35:$I$55,5,0)),0%,VLOOKUP(A85,'Données projet'!$A$35:$I$55,5,0)*VLOOKUP('Données projet'!$B$9,Paramètres!$A$1:$I$89,7,0))</f>
        <v>0.40500000000000003</v>
      </c>
      <c r="X85" s="16">
        <f>IF(ISNA(VLOOKUP(A85,'Données projet'!$A$35:$I$55,6,0)),0%,VLOOKUP(A85,'Données projet'!$A$35:$I$55,6,0)*VLOOKUP('Données projet'!$B$9,Paramètres!$A$1:$I$89,7,0))</f>
        <v>4.5000000000000005E-2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227.79782179397881</v>
      </c>
      <c r="AA85" s="21">
        <f>EXP(-LN(2)/25)*AA84+(1-EXP(-LN(2)/25))/(LN(2)/25)*Calculateur!V85*Calculateur!X85*VLOOKUP('Données projet'!$B$9,Paramètres!$A$1:$I$89,3,0)*0.475*44/12</f>
        <v>45.241155596207825</v>
      </c>
      <c r="AB85" s="21">
        <f>EXP(-LN(2)/2)*AB84+(1-EXP(-LN(2)/2))/(LN(2)/2)*V85*Y85*VLOOKUP('Données projet'!$B$9,Paramètres!$A$1:$I$89,3,0)*0.475*44/12</f>
        <v>1.9632616132048053E-6</v>
      </c>
      <c r="AC85" s="22">
        <f t="shared" si="57"/>
        <v>273.03897935344827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203.32669758211171</v>
      </c>
      <c r="T86" s="59">
        <f t="shared" si="88"/>
        <v>217.57508587672368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223.33084545155072</v>
      </c>
      <c r="AA86" s="21">
        <f>EXP(-LN(2)/25)*AA85+(1-EXP(-LN(2)/25))/(LN(2)/25)*Calculateur!V86*Calculateur!X86*VLOOKUP('Données projet'!$B$9,Paramètres!$A$1:$I$89,3,0)*0.475*44/12</f>
        <v>44.004033817300552</v>
      </c>
      <c r="AB86" s="21">
        <f>EXP(-LN(2)/2)*AB85+(1-EXP(-LN(2)/2))/(LN(2)/2)*V86*Y86*VLOOKUP('Données projet'!$B$9,Paramètres!$A$1:$I$89,3,0)*0.475*44/12</f>
        <v>1.3882355999403586E-6</v>
      </c>
      <c r="AC86" s="22">
        <f t="shared" si="57"/>
        <v>267.3348806570869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203.32669758211171</v>
      </c>
      <c r="T87" s="59">
        <f t="shared" si="88"/>
        <v>217.57508587672368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218.95146379061109</v>
      </c>
      <c r="AA87" s="21">
        <f>EXP(-LN(2)/25)*AA86+(1-EXP(-LN(2)/25))/(LN(2)/25)*Calculateur!V87*Calculateur!X87*VLOOKUP('Données projet'!$B$9,Paramètres!$A$1:$I$89,3,0)*0.475*44/12</f>
        <v>42.800741198494904</v>
      </c>
      <c r="AB87" s="21">
        <f>EXP(-LN(2)/2)*AB86+(1-EXP(-LN(2)/2))/(LN(2)/2)*V87*Y87*VLOOKUP('Données projet'!$B$9,Paramètres!$A$1:$I$89,3,0)*0.475*44/12</f>
        <v>9.8163080660240263E-7</v>
      </c>
      <c r="AC87" s="22">
        <f t="shared" si="57"/>
        <v>261.75220597073678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203.32669758211171</v>
      </c>
      <c r="T88" s="59">
        <f t="shared" si="88"/>
        <v>217.57508587672368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214.65795913288343</v>
      </c>
      <c r="AA88" s="21">
        <f>EXP(-LN(2)/25)*AA87+(1-EXP(-LN(2)/25))/(LN(2)/25)*Calculateur!V88*Calculateur!X88*VLOOKUP('Données projet'!$B$9,Paramètres!$A$1:$I$89,3,0)*0.475*44/12</f>
        <v>41.630352679628906</v>
      </c>
      <c r="AB88" s="21">
        <f>EXP(-LN(2)/2)*AB87+(1-EXP(-LN(2)/2))/(LN(2)/2)*V88*Y88*VLOOKUP('Données projet'!$B$9,Paramètres!$A$1:$I$89,3,0)*0.475*44/12</f>
        <v>6.9411779997017929E-7</v>
      </c>
      <c r="AC88" s="22">
        <f t="shared" si="57"/>
        <v>256.28831250663012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203.32669758211171</v>
      </c>
      <c r="T89" s="59">
        <f t="shared" si="88"/>
        <v>217.57508587672368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210.44864748271456</v>
      </c>
      <c r="AA89" s="21">
        <f>EXP(-LN(2)/25)*AA88+(1-EXP(-LN(2)/25))/(LN(2)/25)*Calculateur!V89*Calculateur!X89*VLOOKUP('Données projet'!$B$9,Paramètres!$A$1:$I$89,3,0)*0.475*44/12</f>
        <v>40.491968496359355</v>
      </c>
      <c r="AB89" s="21">
        <f>EXP(-LN(2)/2)*AB88+(1-EXP(-LN(2)/2))/(LN(2)/2)*V89*Y89*VLOOKUP('Données projet'!$B$9,Paramètres!$A$1:$I$89,3,0)*0.475*44/12</f>
        <v>4.9081540330120131E-7</v>
      </c>
      <c r="AC89" s="22">
        <f t="shared" si="57"/>
        <v>250.94061646988933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203.32669758211171</v>
      </c>
      <c r="T90" s="59">
        <f t="shared" si="88"/>
        <v>217.57508587672368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206.32187786657889</v>
      </c>
      <c r="AA90" s="21">
        <f>EXP(-LN(2)/25)*AA89+(1-EXP(-LN(2)/25))/(LN(2)/25)*Calculateur!V90*Calculateur!X90*VLOOKUP('Données projet'!$B$9,Paramètres!$A$1:$I$89,3,0)*0.475*44/12</f>
        <v>39.38471348844633</v>
      </c>
      <c r="AB90" s="21">
        <f>EXP(-LN(2)/2)*AB89+(1-EXP(-LN(2)/2))/(LN(2)/2)*V90*Y90*VLOOKUP('Données projet'!$B$9,Paramètres!$A$1:$I$89,3,0)*0.475*44/12</f>
        <v>3.4705889998508964E-7</v>
      </c>
      <c r="AC90" s="22">
        <f t="shared" si="57"/>
        <v>245.7065917020841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203.32669758211171</v>
      </c>
      <c r="T91" s="59">
        <f t="shared" si="88"/>
        <v>217.57508587672368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202.27603168553472</v>
      </c>
      <c r="AA91" s="21">
        <f>EXP(-LN(2)/25)*AA90+(1-EXP(-LN(2)/25))/(LN(2)/25)*Calculateur!V91*Calculateur!X91*VLOOKUP('Données projet'!$B$9,Paramètres!$A$1:$I$89,3,0)*0.475*44/12</f>
        <v>38.307736426952701</v>
      </c>
      <c r="AB91" s="21">
        <f>EXP(-LN(2)/2)*AB90+(1-EXP(-LN(2)/2))/(LN(2)/2)*V91*Y91*VLOOKUP('Données projet'!$B$9,Paramètres!$A$1:$I$89,3,0)*0.475*44/12</f>
        <v>2.4540770165060066E-7</v>
      </c>
      <c r="AC91" s="22">
        <f t="shared" si="57"/>
        <v>240.58376835789511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203.32669758211171</v>
      </c>
      <c r="T92" s="59">
        <f t="shared" si="88"/>
        <v>217.57508587672368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198.30952208037831</v>
      </c>
      <c r="AA92" s="21">
        <f>EXP(-LN(2)/25)*AA91+(1-EXP(-LN(2)/25))/(LN(2)/25)*Calculateur!V92*Calculateur!X92*VLOOKUP('Données projet'!$B$9,Paramètres!$A$1:$I$89,3,0)*0.475*44/12</f>
        <v>37.260209359841376</v>
      </c>
      <c r="AB92" s="21">
        <f>EXP(-LN(2)/2)*AB91+(1-EXP(-LN(2)/2))/(LN(2)/2)*V92*Y92*VLOOKUP('Données projet'!$B$9,Paramètres!$A$1:$I$89,3,0)*0.475*44/12</f>
        <v>1.7352944999254482E-7</v>
      </c>
      <c r="AC92" s="22">
        <f t="shared" si="57"/>
        <v>235.56973161374916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203.32669758211171</v>
      </c>
      <c r="T93" s="59">
        <f t="shared" si="88"/>
        <v>217.57508587672368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194.42079330924707</v>
      </c>
      <c r="AA93" s="21">
        <f>EXP(-LN(2)/25)*AA92+(1-EXP(-LN(2)/25))/(LN(2)/25)*Calculateur!V93*Calculateur!X93*VLOOKUP('Données projet'!$B$9,Paramètres!$A$1:$I$89,3,0)*0.475*44/12</f>
        <v>36.24132697546726</v>
      </c>
      <c r="AB93" s="21">
        <f>EXP(-LN(2)/2)*AB92+(1-EXP(-LN(2)/2))/(LN(2)/2)*V93*Y93*VLOOKUP('Données projet'!$B$9,Paramètres!$A$1:$I$89,3,0)*0.475*44/12</f>
        <v>1.2270385082530033E-7</v>
      </c>
      <c r="AC93" s="22">
        <f t="shared" si="57"/>
        <v>230.66212040741817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203.32669758211171</v>
      </c>
      <c r="T94" s="59">
        <f t="shared" si="88"/>
        <v>217.57508587672368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190.60832013742737</v>
      </c>
      <c r="AA94" s="21">
        <f>EXP(-LN(2)/25)*AA93+(1-EXP(-LN(2)/25))/(LN(2)/25)*Calculateur!V94*Calculateur!X94*VLOOKUP('Données projet'!$B$9,Paramètres!$A$1:$I$89,3,0)*0.475*44/12</f>
        <v>35.250305983474554</v>
      </c>
      <c r="AB94" s="21">
        <f>EXP(-LN(2)/2)*AB93+(1-EXP(-LN(2)/2))/(LN(2)/2)*V94*Y94*VLOOKUP('Données projet'!$B$9,Paramètres!$A$1:$I$89,3,0)*0.475*44/12</f>
        <v>8.6764724996272411E-8</v>
      </c>
      <c r="AC94" s="22">
        <f t="shared" si="57"/>
        <v>225.85862620766665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203.32669758211171</v>
      </c>
      <c r="T95" s="59">
        <f t="shared" si="88"/>
        <v>217.57508587672368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186.87060723912802</v>
      </c>
      <c r="AA95" s="21">
        <f>EXP(-LN(2)/25)*AA94+(1-EXP(-LN(2)/25))/(LN(2)/25)*Calculateur!V95*Calculateur!X95*VLOOKUP('Données projet'!$B$9,Paramètres!$A$1:$I$89,3,0)*0.475*44/12</f>
        <v>34.286384512623414</v>
      </c>
      <c r="AB95" s="21">
        <f>EXP(-LN(2)/2)*AB94+(1-EXP(-LN(2)/2))/(LN(2)/2)*V95*Y95*VLOOKUP('Données projet'!$B$9,Paramètres!$A$1:$I$89,3,0)*0.475*44/12</f>
        <v>6.1351925412650164E-8</v>
      </c>
      <c r="AC95" s="22">
        <f t="shared" si="57"/>
        <v>221.15699181310336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203.32669758211171</v>
      </c>
      <c r="T96" s="59">
        <f t="shared" si="88"/>
        <v>217.57508587672368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183.20618861098455</v>
      </c>
      <c r="AA96" s="21">
        <f>EXP(-LN(2)/25)*AA95+(1-EXP(-LN(2)/25))/(LN(2)/25)*Calculateur!V96*Calculateur!X96*VLOOKUP('Données projet'!$B$9,Paramètres!$A$1:$I$89,3,0)*0.475*44/12</f>
        <v>33.348821525083125</v>
      </c>
      <c r="AB96" s="21">
        <f>EXP(-LN(2)/2)*AB95+(1-EXP(-LN(2)/2))/(LN(2)/2)*V96*Y96*VLOOKUP('Données projet'!$B$9,Paramètres!$A$1:$I$89,3,0)*0.475*44/12</f>
        <v>4.3382362498136206E-8</v>
      </c>
      <c r="AC96" s="22">
        <f t="shared" si="57"/>
        <v>216.55501017945002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203.32669758211171</v>
      </c>
      <c r="T97" s="59">
        <f t="shared" si="88"/>
        <v>217.57508587672368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179.61362699706433</v>
      </c>
      <c r="AA97" s="21">
        <f>EXP(-LN(2)/25)*AA96+(1-EXP(-LN(2)/25))/(LN(2)/25)*Calculateur!V97*Calculateur!X97*VLOOKUP('Données projet'!$B$9,Paramètres!$A$1:$I$89,3,0)*0.475*44/12</f>
        <v>32.436896246741419</v>
      </c>
      <c r="AB97" s="21">
        <f>EXP(-LN(2)/2)*AB96+(1-EXP(-LN(2)/2))/(LN(2)/2)*V97*Y97*VLOOKUP('Données projet'!$B$9,Paramètres!$A$1:$I$89,3,0)*0.475*44/12</f>
        <v>3.0675962706325082E-8</v>
      </c>
      <c r="AC97" s="22">
        <f t="shared" si="57"/>
        <v>212.05052327448169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203.32669758211171</v>
      </c>
      <c r="T98" s="59">
        <f t="shared" si="88"/>
        <v>217.57508587672368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176.09151332514685</v>
      </c>
      <c r="AA98" s="21">
        <f>EXP(-LN(2)/25)*AA97+(1-EXP(-LN(2)/25))/(LN(2)/25)*Calculateur!V98*Calculateur!X98*VLOOKUP('Données projet'!$B$9,Paramètres!$A$1:$I$89,3,0)*0.475*44/12</f>
        <v>31.549907613092039</v>
      </c>
      <c r="AB98" s="21">
        <f>EXP(-LN(2)/2)*AB97+(1-EXP(-LN(2)/2))/(LN(2)/2)*V98*Y98*VLOOKUP('Données projet'!$B$9,Paramètres!$A$1:$I$89,3,0)*0.475*44/12</f>
        <v>2.1691181249068103E-8</v>
      </c>
      <c r="AC98" s="22">
        <f t="shared" si="57"/>
        <v>207.64142095993009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203.32669758211171</v>
      </c>
      <c r="T99" s="59">
        <f t="shared" si="88"/>
        <v>217.57508587672368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172.63846615405848</v>
      </c>
      <c r="AA99" s="21">
        <f>EXP(-LN(2)/25)*AA98+(1-EXP(-LN(2)/25))/(LN(2)/25)*Calculateur!V99*Calculateur!X99*VLOOKUP('Données projet'!$B$9,Paramètres!$A$1:$I$89,3,0)*0.475*44/12</f>
        <v>30.687173730274505</v>
      </c>
      <c r="AB99" s="21">
        <f>EXP(-LN(2)/2)*AB98+(1-EXP(-LN(2)/2))/(LN(2)/2)*V99*Y99*VLOOKUP('Données projet'!$B$9,Paramètres!$A$1:$I$89,3,0)*0.475*44/12</f>
        <v>1.5337981353162541E-8</v>
      </c>
      <c r="AC99" s="22">
        <f t="shared" si="57"/>
        <v>203.32563989967096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203.32669758211171</v>
      </c>
      <c r="T100" s="59">
        <f t="shared" si="88"/>
        <v>217.57508587672368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169.25313113184433</v>
      </c>
      <c r="AA100" s="21">
        <f>EXP(-LN(2)/25)*AA99+(1-EXP(-LN(2)/25))/(LN(2)/25)*Calculateur!V100*Calculateur!X100*VLOOKUP('Données projet'!$B$9,Paramètres!$A$1:$I$89,3,0)*0.475*44/12</f>
        <v>29.848031350851819</v>
      </c>
      <c r="AB100" s="21">
        <f>EXP(-LN(2)/2)*AB99+(1-EXP(-LN(2)/2))/(LN(2)/2)*V100*Y100*VLOOKUP('Données projet'!$B$9,Paramètres!$A$1:$I$89,3,0)*0.475*44/12</f>
        <v>1.0845590624534051E-8</v>
      </c>
      <c r="AC100" s="22">
        <f t="shared" si="57"/>
        <v>199.10116249354172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203.32669758211171</v>
      </c>
      <c r="T101" s="59">
        <f t="shared" si="88"/>
        <v>217.57508587672368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165.93418046456532</v>
      </c>
      <c r="AA101" s="21">
        <f>EXP(-LN(2)/25)*AA100+(1-EXP(-LN(2)/25))/(LN(2)/25)*Calculateur!V101*Calculateur!X101*VLOOKUP('Données projet'!$B$9,Paramètres!$A$1:$I$89,3,0)*0.475*44/12</f>
        <v>29.031835363923026</v>
      </c>
      <c r="AB101" s="21">
        <f>EXP(-LN(2)/2)*AB100+(1-EXP(-LN(2)/2))/(LN(2)/2)*V101*Y101*VLOOKUP('Données projet'!$B$9,Paramètres!$A$1:$I$89,3,0)*0.475*44/12</f>
        <v>7.6689906765812705E-9</v>
      </c>
      <c r="AC101" s="22">
        <f t="shared" si="57"/>
        <v>194.96601583615734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203.32669758211171</v>
      </c>
      <c r="T102" s="59">
        <f t="shared" si="88"/>
        <v>217.57508587672368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162.68031239551163</v>
      </c>
      <c r="AA102" s="21">
        <f>EXP(-LN(2)/25)*AA101+(1-EXP(-LN(2)/25))/(LN(2)/25)*Calculateur!V102*Calculateur!X102*VLOOKUP('Données projet'!$B$9,Paramètres!$A$1:$I$89,3,0)*0.475*44/12</f>
        <v>28.237958299178683</v>
      </c>
      <c r="AB102" s="21">
        <f>EXP(-LN(2)/2)*AB101+(1-EXP(-LN(2)/2))/(LN(2)/2)*V102*Y102*VLOOKUP('Données projet'!$B$9,Paramètres!$A$1:$I$89,3,0)*0.475*44/12</f>
        <v>5.4227953122670257E-9</v>
      </c>
      <c r="AC102" s="22">
        <f t="shared" si="57"/>
        <v>190.91827070011311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203.32669758211171</v>
      </c>
      <c r="T103" s="59">
        <f t="shared" si="88"/>
        <v>217.57508587672368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159.49025069462854</v>
      </c>
      <c r="AA103" s="21">
        <f>EXP(-LN(2)/25)*AA102+(1-EXP(-LN(2)/25))/(LN(2)/25)*Calculateur!V103*Calculateur!X103*VLOOKUP('Données projet'!$B$9,Paramètres!$A$1:$I$89,3,0)*0.475*44/12</f>
        <v>27.465789844517953</v>
      </c>
      <c r="AB103" s="21">
        <f>EXP(-LN(2)/2)*AB102+(1-EXP(-LN(2)/2))/(LN(2)/2)*V103*Y103*VLOOKUP('Données projet'!$B$9,Paramètres!$A$1:$I$89,3,0)*0.475*44/12</f>
        <v>3.8344953382906353E-9</v>
      </c>
      <c r="AC103" s="22">
        <f t="shared" si="57"/>
        <v>186.95604054298099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203.32669758211171</v>
      </c>
      <c r="T104" s="59">
        <f t="shared" si="88"/>
        <v>217.57508587672368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156.36274415795424</v>
      </c>
      <c r="AA104" s="21">
        <f>EXP(-LN(2)/25)*AA103+(1-EXP(-LN(2)/25))/(LN(2)/25)*Calculateur!V104*Calculateur!X104*VLOOKUP('Données projet'!$B$9,Paramètres!$A$1:$I$89,3,0)*0.475*44/12</f>
        <v>26.714736376856496</v>
      </c>
      <c r="AB104" s="21">
        <f>EXP(-LN(2)/2)*AB103+(1-EXP(-LN(2)/2))/(LN(2)/2)*V104*Y104*VLOOKUP('Données projet'!$B$9,Paramètres!$A$1:$I$89,3,0)*0.475*44/12</f>
        <v>2.7113976561335129E-9</v>
      </c>
      <c r="AC104" s="22">
        <f t="shared" si="57"/>
        <v>183.07748053752215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203.32669758211171</v>
      </c>
      <c r="T105" s="59">
        <f t="shared" si="88"/>
        <v>217.57508587672368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153.29656611687349</v>
      </c>
      <c r="AA105" s="21">
        <f>EXP(-LN(2)/25)*AA104+(1-EXP(-LN(2)/25))/(LN(2)/25)*Calculateur!V105*Calculateur!X105*VLOOKUP('Données projet'!$B$9,Paramètres!$A$1:$I$89,3,0)*0.475*44/12</f>
        <v>25.984220505764426</v>
      </c>
      <c r="AB105" s="21">
        <f>EXP(-LN(2)/2)*AB104+(1-EXP(-LN(2)/2))/(LN(2)/2)*V105*Y105*VLOOKUP('Données projet'!$B$9,Paramètres!$A$1:$I$89,3,0)*0.475*44/12</f>
        <v>1.9172476691453176E-9</v>
      </c>
      <c r="AC105" s="22">
        <f t="shared" si="57"/>
        <v>179.28078662455516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203.32669758211171</v>
      </c>
      <c r="T106" s="59">
        <f t="shared" si="88"/>
        <v>217.57508587672368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150.2905139569944</v>
      </c>
      <c r="AA106" s="21">
        <f>EXP(-LN(2)/25)*AA105+(1-EXP(-LN(2)/25))/(LN(2)/25)*Calculateur!V106*Calculateur!X106*VLOOKUP('Données projet'!$B$9,Paramètres!$A$1:$I$89,3,0)*0.475*44/12</f>
        <v>25.273680629583531</v>
      </c>
      <c r="AB106" s="21">
        <f>EXP(-LN(2)/2)*AB105+(1-EXP(-LN(2)/2))/(LN(2)/2)*V106*Y106*VLOOKUP('Données projet'!$B$9,Paramètres!$A$1:$I$89,3,0)*0.475*44/12</f>
        <v>1.3556988280667564E-9</v>
      </c>
      <c r="AC106" s="22">
        <f t="shared" si="57"/>
        <v>175.56419458793363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203.32669758211171</v>
      </c>
      <c r="T107" s="59">
        <f t="shared" si="88"/>
        <v>217.57508587672368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147.34340864645978</v>
      </c>
      <c r="AA107" s="21">
        <f>EXP(-LN(2)/25)*AA106+(1-EXP(-LN(2)/25))/(LN(2)/25)*Calculateur!V107*Calculateur!X107*VLOOKUP('Données projet'!$B$9,Paramètres!$A$1:$I$89,3,0)*0.475*44/12</f>
        <v>24.582570503682469</v>
      </c>
      <c r="AB107" s="21">
        <f>EXP(-LN(2)/2)*AB106+(1-EXP(-LN(2)/2))/(LN(2)/2)*V107*Y107*VLOOKUP('Données projet'!$B$9,Paramètres!$A$1:$I$89,3,0)*0.475*44/12</f>
        <v>9.5862383457265882E-10</v>
      </c>
      <c r="AC107" s="22">
        <f t="shared" si="57"/>
        <v>171.92597915110088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203.32669758211171</v>
      </c>
      <c r="T108" s="59">
        <f t="shared" si="88"/>
        <v>217.57508587672368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144.45409427350799</v>
      </c>
      <c r="AA108" s="21">
        <f>EXP(-LN(2)/25)*AA107+(1-EXP(-LN(2)/25))/(LN(2)/25)*Calculateur!V108*Calculateur!X108*VLOOKUP('Données projet'!$B$9,Paramètres!$A$1:$I$89,3,0)*0.475*44/12</f>
        <v>23.910358820518073</v>
      </c>
      <c r="AB108" s="21">
        <f>EXP(-LN(2)/2)*AB107+(1-EXP(-LN(2)/2))/(LN(2)/2)*V108*Y108*VLOOKUP('Données projet'!$B$9,Paramètres!$A$1:$I$89,3,0)*0.475*44/12</f>
        <v>6.7784941403337821E-10</v>
      </c>
      <c r="AC108" s="22">
        <f t="shared" si="57"/>
        <v>168.36445309470392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203.32669758211171</v>
      </c>
      <c r="T109" s="59">
        <f t="shared" si="88"/>
        <v>217.57508587672368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141.62143759310203</v>
      </c>
      <c r="AA109" s="21">
        <f>EXP(-LN(2)/25)*AA108+(1-EXP(-LN(2)/25))/(LN(2)/25)*Calculateur!V109*Calculateur!X109*VLOOKUP('Données projet'!$B$9,Paramètres!$A$1:$I$89,3,0)*0.475*44/12</f>
        <v>23.256528801179883</v>
      </c>
      <c r="AB109" s="21">
        <f>EXP(-LN(2)/2)*AB108+(1-EXP(-LN(2)/2))/(LN(2)/2)*V109*Y109*VLOOKUP('Données projet'!$B$9,Paramètres!$A$1:$I$89,3,0)*0.475*44/12</f>
        <v>4.7931191728632941E-10</v>
      </c>
      <c r="AC109" s="22">
        <f t="shared" si="57"/>
        <v>164.87796639476122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203.32669758211171</v>
      </c>
      <c r="T110" s="59">
        <f t="shared" si="88"/>
        <v>217.57508587672368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138.84432758244887</v>
      </c>
      <c r="AA110" s="21">
        <f>EXP(-LN(2)/25)*AA109+(1-EXP(-LN(2)/25))/(LN(2)/25)*Calculateur!V110*Calculateur!X110*VLOOKUP('Données projet'!$B$9,Paramètres!$A$1:$I$89,3,0)*0.475*44/12</f>
        <v>22.620577798103923</v>
      </c>
      <c r="AB110" s="21">
        <f>EXP(-LN(2)/2)*AB109+(1-EXP(-LN(2)/2))/(LN(2)/2)*V110*Y110*VLOOKUP('Données projet'!$B$9,Paramètres!$A$1:$I$89,3,0)*0.475*44/12</f>
        <v>3.3892470701668911E-10</v>
      </c>
      <c r="AC110" s="22">
        <f t="shared" si="57"/>
        <v>161.46490538089174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203.32669758211171</v>
      </c>
      <c r="T111" s="59">
        <f t="shared" si="88"/>
        <v>217.57508587672368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136.12167500523475</v>
      </c>
      <c r="AA111" s="21">
        <f>EXP(-LN(2)/25)*AA110+(1-EXP(-LN(2)/25))/(LN(2)/25)*Calculateur!V111*Calculateur!X111*VLOOKUP('Données projet'!$B$9,Paramètres!$A$1:$I$89,3,0)*0.475*44/12</f>
        <v>22.002016908650287</v>
      </c>
      <c r="AB111" s="21">
        <f>EXP(-LN(2)/2)*AB110+(1-EXP(-LN(2)/2))/(LN(2)/2)*V111*Y111*VLOOKUP('Données projet'!$B$9,Paramètres!$A$1:$I$89,3,0)*0.475*44/12</f>
        <v>2.396559586431647E-10</v>
      </c>
      <c r="AC111" s="22">
        <f t="shared" si="57"/>
        <v>158.12369191412469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203.32669758211171</v>
      </c>
      <c r="T112" s="59">
        <f t="shared" si="88"/>
        <v>217.57508587672368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133.4524119844057</v>
      </c>
      <c r="AA112" s="21">
        <f>EXP(-LN(2)/25)*AA111+(1-EXP(-LN(2)/25))/(LN(2)/25)*Calculateur!V112*Calculateur!X112*VLOOKUP('Données projet'!$B$9,Paramètres!$A$1:$I$89,3,0)*0.475*44/12</f>
        <v>21.400370599247463</v>
      </c>
      <c r="AB112" s="21">
        <f>EXP(-LN(2)/2)*AB111+(1-EXP(-LN(2)/2))/(LN(2)/2)*V112*Y112*VLOOKUP('Données projet'!$B$9,Paramètres!$A$1:$I$89,3,0)*0.475*44/12</f>
        <v>1.6946235350834455E-10</v>
      </c>
      <c r="AC112" s="22">
        <f t="shared" si="57"/>
        <v>154.8527825838226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203.32669758211171</v>
      </c>
      <c r="T113" s="59">
        <f t="shared" si="88"/>
        <v>217.57508587672368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130.83549158332545</v>
      </c>
      <c r="AA113" s="21">
        <f>EXP(-LN(2)/25)*AA112+(1-EXP(-LN(2)/25))/(LN(2)/25)*Calculateur!V113*Calculateur!X113*VLOOKUP('Données projet'!$B$9,Paramètres!$A$1:$I$89,3,0)*0.475*44/12</f>
        <v>20.815176339814464</v>
      </c>
      <c r="AB113" s="21">
        <f>EXP(-LN(2)/2)*AB112+(1-EXP(-LN(2)/2))/(LN(2)/2)*V113*Y113*VLOOKUP('Données projet'!$B$9,Paramètres!$A$1:$I$89,3,0)*0.475*44/12</f>
        <v>1.1982797932158235E-10</v>
      </c>
      <c r="AC113" s="22">
        <f t="shared" si="57"/>
        <v>151.65066792325973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203.32669758211171</v>
      </c>
      <c r="T114" s="59">
        <f t="shared" si="88"/>
        <v>217.57508587672368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128.26988739514653</v>
      </c>
      <c r="AA114" s="21">
        <f>EXP(-LN(2)/25)*AA113+(1-EXP(-LN(2)/25))/(LN(2)/25)*Calculateur!V114*Calculateur!X114*VLOOKUP('Données projet'!$B$9,Paramètres!$A$1:$I$89,3,0)*0.475*44/12</f>
        <v>20.245984248179688</v>
      </c>
      <c r="AB114" s="21">
        <f>EXP(-LN(2)/2)*AB113+(1-EXP(-LN(2)/2))/(LN(2)/2)*V114*Y114*VLOOKUP('Données projet'!$B$9,Paramètres!$A$1:$I$89,3,0)*0.475*44/12</f>
        <v>8.4731176754172277E-11</v>
      </c>
      <c r="AC114" s="22">
        <f t="shared" si="57"/>
        <v>148.51587164341095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203.32669758211171</v>
      </c>
      <c r="T115" s="59">
        <f t="shared" si="88"/>
        <v>217.57508587672368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125.75459314023377</v>
      </c>
      <c r="AA115" s="21">
        <f>EXP(-LN(2)/25)*AA114+(1-EXP(-LN(2)/25))/(LN(2)/25)*Calculateur!V115*Calculateur!X115*VLOOKUP('Données projet'!$B$9,Paramètres!$A$1:$I$89,3,0)*0.475*44/12</f>
        <v>19.692356744223176</v>
      </c>
      <c r="AB115" s="21">
        <f>EXP(-LN(2)/2)*AB114+(1-EXP(-LN(2)/2))/(LN(2)/2)*V115*Y115*VLOOKUP('Données projet'!$B$9,Paramètres!$A$1:$I$89,3,0)*0.475*44/12</f>
        <v>5.9913989660791176E-11</v>
      </c>
      <c r="AC115" s="22">
        <f t="shared" si="57"/>
        <v>145.44694988451687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203.32669758211171</v>
      </c>
      <c r="T116" s="59">
        <f t="shared" si="88"/>
        <v>217.57508587672368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123.28862227148183</v>
      </c>
      <c r="AA116" s="21">
        <f>EXP(-LN(2)/25)*AA115+(1-EXP(-LN(2)/25))/(LN(2)/25)*Calculateur!V116*Calculateur!X116*VLOOKUP('Données projet'!$B$9,Paramètres!$A$1:$I$89,3,0)*0.475*44/12</f>
        <v>19.153868213476358</v>
      </c>
      <c r="AB116" s="21">
        <f>EXP(-LN(2)/2)*AB115+(1-EXP(-LN(2)/2))/(LN(2)/2)*V116*Y116*VLOOKUP('Données projet'!$B$9,Paramètres!$A$1:$I$89,3,0)*0.475*44/12</f>
        <v>4.2365588377086138E-11</v>
      </c>
      <c r="AC116" s="22">
        <f t="shared" si="57"/>
        <v>142.44249048500055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203.32669758211171</v>
      </c>
      <c r="T117" s="59">
        <f t="shared" si="88"/>
        <v>217.57508587672368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120.8710075873724</v>
      </c>
      <c r="AA117" s="21">
        <f>EXP(-LN(2)/25)*AA116+(1-EXP(-LN(2)/25))/(LN(2)/25)*Calculateur!V117*Calculateur!X117*VLOOKUP('Données projet'!$B$9,Paramètres!$A$1:$I$89,3,0)*0.475*44/12</f>
        <v>18.630104679920695</v>
      </c>
      <c r="AB117" s="21">
        <f>EXP(-LN(2)/2)*AB116+(1-EXP(-LN(2)/2))/(LN(2)/2)*V117*Y117*VLOOKUP('Données projet'!$B$9,Paramètres!$A$1:$I$89,3,0)*0.475*44/12</f>
        <v>2.9956994830395588E-11</v>
      </c>
      <c r="AC117" s="22">
        <f t="shared" si="57"/>
        <v>139.50111226732307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203.32669758211171</v>
      </c>
      <c r="T118" s="59">
        <f t="shared" si="88"/>
        <v>217.57508587672368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118.50080085261902</v>
      </c>
      <c r="AA118" s="21">
        <f>EXP(-LN(2)/25)*AA117+(1-EXP(-LN(2)/25))/(LN(2)/25)*Calculateur!V118*Calculateur!X118*VLOOKUP('Données projet'!$B$9,Paramètres!$A$1:$I$89,3,0)*0.475*44/12</f>
        <v>18.120663487733637</v>
      </c>
      <c r="AB118" s="21">
        <f>EXP(-LN(2)/2)*AB117+(1-EXP(-LN(2)/2))/(LN(2)/2)*V118*Y118*VLOOKUP('Données projet'!$B$9,Paramètres!$A$1:$I$89,3,0)*0.475*44/12</f>
        <v>2.1182794188543069E-11</v>
      </c>
      <c r="AC118" s="22">
        <f t="shared" si="57"/>
        <v>136.62146434037382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203.32669758211171</v>
      </c>
      <c r="T119" s="59">
        <f t="shared" si="88"/>
        <v>217.57508587672368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116.17707242625079</v>
      </c>
      <c r="AA119" s="21">
        <f>EXP(-LN(2)/25)*AA118+(1-EXP(-LN(2)/25))/(LN(2)/25)*Calculateur!V119*Calculateur!X119*VLOOKUP('Données projet'!$B$9,Paramètres!$A$1:$I$89,3,0)*0.475*44/12</f>
        <v>17.625152991737284</v>
      </c>
      <c r="AB119" s="21">
        <f>EXP(-LN(2)/2)*AB118+(1-EXP(-LN(2)/2))/(LN(2)/2)*V119*Y119*VLOOKUP('Données projet'!$B$9,Paramètres!$A$1:$I$89,3,0)*0.475*44/12</f>
        <v>1.4978497415197794E-11</v>
      </c>
      <c r="AC119" s="22">
        <f t="shared" si="57"/>
        <v>133.80222541800305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203.32669758211171</v>
      </c>
      <c r="T120" s="59">
        <f t="shared" si="88"/>
        <v>217.57508587672368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113.89891089698925</v>
      </c>
      <c r="AA120" s="21">
        <f>EXP(-LN(2)/25)*AA119+(1-EXP(-LN(2)/25))/(LN(2)/25)*Calculateur!V120*Calculateur!X120*VLOOKUP('Données projet'!$B$9,Paramètres!$A$1:$I$89,3,0)*0.475*44/12</f>
        <v>17.143192256311714</v>
      </c>
      <c r="AB120" s="21">
        <f>EXP(-LN(2)/2)*AB119+(1-EXP(-LN(2)/2))/(LN(2)/2)*V120*Y120*VLOOKUP('Données projet'!$B$9,Paramètres!$A$1:$I$89,3,0)*0.475*44/12</f>
        <v>1.0591397094271535E-11</v>
      </c>
      <c r="AC120" s="22">
        <f t="shared" si="57"/>
        <v>131.04210315331156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203.32669758211171</v>
      </c>
      <c r="T121" s="59">
        <f t="shared" si="88"/>
        <v>217.57508587672368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111.6654227257752</v>
      </c>
      <c r="AA121" s="21">
        <f>EXP(-LN(2)/25)*AA120+(1-EXP(-LN(2)/25))/(LN(2)/25)*Calculateur!V121*Calculateur!X121*VLOOKUP('Données projet'!$B$9,Paramètres!$A$1:$I$89,3,0)*0.475*44/12</f>
        <v>16.674410762541569</v>
      </c>
      <c r="AB121" s="21">
        <f>EXP(-LN(2)/2)*AB120+(1-EXP(-LN(2)/2))/(LN(2)/2)*V121*Y121*VLOOKUP('Données projet'!$B$9,Paramètres!$A$1:$I$89,3,0)*0.475*44/12</f>
        <v>7.489248707598897E-12</v>
      </c>
      <c r="AC121" s="22">
        <f t="shared" si="57"/>
        <v>128.33983348832427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203.32669758211171</v>
      </c>
      <c r="T122" s="59">
        <f t="shared" si="88"/>
        <v>217.57508587672368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109.47573189530539</v>
      </c>
      <c r="AA122" s="21">
        <f>EXP(-LN(2)/25)*AA121+(1-EXP(-LN(2)/25))/(LN(2)/25)*Calculateur!V122*Calculateur!X122*VLOOKUP('Données projet'!$B$9,Paramètres!$A$1:$I$89,3,0)*0.475*44/12</f>
        <v>16.218448123370717</v>
      </c>
      <c r="AB122" s="21">
        <f>EXP(-LN(2)/2)*AB121+(1-EXP(-LN(2)/2))/(LN(2)/2)*V122*Y122*VLOOKUP('Données projet'!$B$9,Paramètres!$A$1:$I$89,3,0)*0.475*44/12</f>
        <v>5.2956985471357673E-12</v>
      </c>
      <c r="AC122" s="22">
        <f t="shared" si="57"/>
        <v>125.69418001868141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203.32669758211171</v>
      </c>
      <c r="T123" s="59">
        <f t="shared" si="88"/>
        <v>217.57508587672368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107.32897956644156</v>
      </c>
      <c r="AA123" s="21">
        <f>EXP(-LN(2)/25)*AA122+(1-EXP(-LN(2)/25))/(LN(2)/25)*Calculateur!V123*Calculateur!X123*VLOOKUP('Données projet'!$B$9,Paramètres!$A$1:$I$89,3,0)*0.475*44/12</f>
        <v>15.774953806546025</v>
      </c>
      <c r="AB123" s="21">
        <f>EXP(-LN(2)/2)*AB122+(1-EXP(-LN(2)/2))/(LN(2)/2)*V123*Y123*VLOOKUP('Données projet'!$B$9,Paramètres!$A$1:$I$89,3,0)*0.475*44/12</f>
        <v>3.7446243537994485E-12</v>
      </c>
      <c r="AC123" s="22">
        <f t="shared" si="57"/>
        <v>123.10393337299134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203.32669758211171</v>
      </c>
      <c r="T124" s="59">
        <f t="shared" si="88"/>
        <v>217.57508587672368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105.22432374135713</v>
      </c>
      <c r="AA124" s="21">
        <f>EXP(-LN(2)/25)*AA123+(1-EXP(-LN(2)/25))/(LN(2)/25)*Calculateur!V124*Calculateur!X124*VLOOKUP('Données projet'!$B$9,Paramètres!$A$1:$I$89,3,0)*0.475*44/12</f>
        <v>15.343586865137256</v>
      </c>
      <c r="AB124" s="21">
        <f>EXP(-LN(2)/2)*AB123+(1-EXP(-LN(2)/2))/(LN(2)/2)*V124*Y124*VLOOKUP('Données projet'!$B$9,Paramètres!$A$1:$I$89,3,0)*0.475*44/12</f>
        <v>2.6478492735678836E-12</v>
      </c>
      <c r="AC124" s="22">
        <f t="shared" si="57"/>
        <v>120.56791060649702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203.32669758211171</v>
      </c>
      <c r="T125" s="59">
        <f t="shared" si="88"/>
        <v>217.57508587672368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103.1609389332893</v>
      </c>
      <c r="AA125" s="21">
        <f>EXP(-LN(2)/25)*AA124+(1-EXP(-LN(2)/25))/(LN(2)/25)*Calculateur!V125*Calculateur!X125*VLOOKUP('Données projet'!$B$9,Paramètres!$A$1:$I$89,3,0)*0.475*44/12</f>
        <v>14.924015675425913</v>
      </c>
      <c r="AB125" s="21">
        <f>EXP(-LN(2)/2)*AB124+(1-EXP(-LN(2)/2))/(LN(2)/2)*V125*Y125*VLOOKUP('Données projet'!$B$9,Paramètres!$A$1:$I$89,3,0)*0.475*44/12</f>
        <v>1.8723121768997242E-12</v>
      </c>
      <c r="AC125" s="22">
        <f t="shared" si="57"/>
        <v>118.08495460871708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203.32669758211171</v>
      </c>
      <c r="T126" s="59">
        <f t="shared" si="88"/>
        <v>217.57508587672368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101.13801584276722</v>
      </c>
      <c r="AA126" s="21">
        <f>EXP(-LN(2)/25)*AA125+(1-EXP(-LN(2)/25))/(LN(2)/25)*Calculateur!V126*Calculateur!X126*VLOOKUP('Données projet'!$B$9,Paramètres!$A$1:$I$89,3,0)*0.475*44/12</f>
        <v>14.515917681961517</v>
      </c>
      <c r="AB126" s="21">
        <f>EXP(-LN(2)/2)*AB125+(1-EXP(-LN(2)/2))/(LN(2)/2)*V126*Y126*VLOOKUP('Données projet'!$B$9,Paramètres!$A$1:$I$89,3,0)*0.475*44/12</f>
        <v>1.3239246367839418E-12</v>
      </c>
      <c r="AC126" s="22">
        <f t="shared" si="57"/>
        <v>115.65393352473005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203.32669758211171</v>
      </c>
      <c r="T127" s="59">
        <f t="shared" si="88"/>
        <v>217.57508587672368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99.154761040189015</v>
      </c>
      <c r="AA127" s="21">
        <f>EXP(-LN(2)/25)*AA126+(1-EXP(-LN(2)/25))/(LN(2)/25)*Calculateur!V127*Calculateur!X127*VLOOKUP('Données projet'!$B$9,Paramètres!$A$1:$I$89,3,0)*0.475*44/12</f>
        <v>14.118979149589345</v>
      </c>
      <c r="AB127" s="21">
        <f>EXP(-LN(2)/2)*AB126+(1-EXP(-LN(2)/2))/(LN(2)/2)*V127*Y127*VLOOKUP('Données projet'!$B$9,Paramètres!$A$1:$I$89,3,0)*0.475*44/12</f>
        <v>9.3615608844986212E-13</v>
      </c>
      <c r="AC127" s="22">
        <f t="shared" si="57"/>
        <v>113.2737401897793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203.32669758211171</v>
      </c>
      <c r="T128" s="59">
        <f t="shared" si="88"/>
        <v>217.57508587672368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97.210396654623395</v>
      </c>
      <c r="AA128" s="21">
        <f>EXP(-LN(2)/25)*AA127+(1-EXP(-LN(2)/25))/(LN(2)/25)*Calculateur!V128*Calculateur!X128*VLOOKUP('Données projet'!$B$9,Paramètres!$A$1:$I$89,3,0)*0.475*44/12</f>
        <v>13.73289492225898</v>
      </c>
      <c r="AB128" s="21">
        <f>EXP(-LN(2)/2)*AB127+(1-EXP(-LN(2)/2))/(LN(2)/2)*V128*Y128*VLOOKUP('Données projet'!$B$9,Paramètres!$A$1:$I$89,3,0)*0.475*44/12</f>
        <v>6.6196231839197091E-13</v>
      </c>
      <c r="AC128" s="22">
        <f t="shared" si="57"/>
        <v>110.94329157688304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203.32669758211171</v>
      </c>
      <c r="T129" s="59">
        <f t="shared" si="88"/>
        <v>217.57508587672368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95.304160068713543</v>
      </c>
      <c r="AA129" s="21">
        <f>EXP(-LN(2)/25)*AA128+(1-EXP(-LN(2)/25))/(LN(2)/25)*Calculateur!V129*Calculateur!X129*VLOOKUP('Données projet'!$B$9,Paramètres!$A$1:$I$89,3,0)*0.475*44/12</f>
        <v>13.357368188428252</v>
      </c>
      <c r="AB129" s="21">
        <f>EXP(-LN(2)/2)*AB128+(1-EXP(-LN(2)/2))/(LN(2)/2)*V129*Y129*VLOOKUP('Données projet'!$B$9,Paramètres!$A$1:$I$89,3,0)*0.475*44/12</f>
        <v>4.6807804422493106E-13</v>
      </c>
      <c r="AC129" s="22">
        <f t="shared" si="57"/>
        <v>108.66152825714227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203.32669758211171</v>
      </c>
      <c r="T130" s="59">
        <f t="shared" si="88"/>
        <v>217.57508587672368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93.435303619563868</v>
      </c>
      <c r="AA130" s="21">
        <f>EXP(-LN(2)/25)*AA129+(1-EXP(-LN(2)/25))/(LN(2)/25)*Calculateur!V130*Calculateur!X130*VLOOKUP('Données projet'!$B$9,Paramètres!$A$1:$I$89,3,0)*0.475*44/12</f>
        <v>12.992110252882217</v>
      </c>
      <c r="AB130" s="21">
        <f>EXP(-LN(2)/2)*AB129+(1-EXP(-LN(2)/2))/(LN(2)/2)*V130*Y130*VLOOKUP('Données projet'!$B$9,Paramètres!$A$1:$I$89,3,0)*0.475*44/12</f>
        <v>3.3098115919598546E-13</v>
      </c>
      <c r="AC130" s="22">
        <f t="shared" si="57"/>
        <v>106.42741387244641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203.32669758211171</v>
      </c>
      <c r="T131" s="59">
        <f t="shared" si="88"/>
        <v>217.57508587672368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91.603094305492149</v>
      </c>
      <c r="AA131" s="21">
        <f>EXP(-LN(2)/25)*AA130+(1-EXP(-LN(2)/25))/(LN(2)/25)*Calculateur!V131*Calculateur!X131*VLOOKUP('Données projet'!$B$9,Paramètres!$A$1:$I$89,3,0)*0.475*44/12</f>
        <v>12.636840314791769</v>
      </c>
      <c r="AB131" s="21">
        <f>EXP(-LN(2)/2)*AB130+(1-EXP(-LN(2)/2))/(LN(2)/2)*V131*Y131*VLOOKUP('Données projet'!$B$9,Paramètres!$A$1:$I$89,3,0)*0.475*44/12</f>
        <v>2.3403902211246553E-13</v>
      </c>
      <c r="AC131" s="22">
        <f t="shared" si="57"/>
        <v>104.23993462028415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203.32669758211171</v>
      </c>
      <c r="T132" s="59">
        <f t="shared" si="88"/>
        <v>217.57508587672368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89.806813498532037</v>
      </c>
      <c r="AA132" s="21">
        <f>EXP(-LN(2)/25)*AA131+(1-EXP(-LN(2)/25))/(LN(2)/25)*Calculateur!V132*Calculateur!X132*VLOOKUP('Données projet'!$B$9,Paramètres!$A$1:$I$89,3,0)*0.475*44/12</f>
        <v>12.291285251841238</v>
      </c>
      <c r="AB132" s="21">
        <f>EXP(-LN(2)/2)*AB131+(1-EXP(-LN(2)/2))/(LN(2)/2)*V132*Y132*VLOOKUP('Données projet'!$B$9,Paramètres!$A$1:$I$89,3,0)*0.475*44/12</f>
        <v>1.6549057959799273E-13</v>
      </c>
      <c r="AC132" s="22">
        <f t="shared" ref="AC132:AC153" si="111">SUM(Z132:AB132)</f>
        <v>102.09809875037345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203.32669758211171</v>
      </c>
      <c r="T133" s="59">
        <f t="shared" ref="T133:T196" si="142">$T$3</f>
        <v>217.57508587672368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88.045756662573297</v>
      </c>
      <c r="AA133" s="21">
        <f>EXP(-LN(2)/25)*AA132+(1-EXP(-LN(2)/25))/(LN(2)/25)*Calculateur!V133*Calculateur!X133*VLOOKUP('Données projet'!$B$9,Paramètres!$A$1:$I$89,3,0)*0.475*44/12</f>
        <v>11.95517941025904</v>
      </c>
      <c r="AB133" s="21">
        <f>EXP(-LN(2)/2)*AB132+(1-EXP(-LN(2)/2))/(LN(2)/2)*V133*Y133*VLOOKUP('Données projet'!$B$9,Paramètres!$A$1:$I$89,3,0)*0.475*44/12</f>
        <v>1.1701951105623277E-13</v>
      </c>
      <c r="AC133" s="22">
        <f t="shared" si="111"/>
        <v>100.00093607283245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203.32669758211171</v>
      </c>
      <c r="T134" s="59">
        <f t="shared" si="142"/>
        <v>217.57508587672368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86.319233077029111</v>
      </c>
      <c r="AA134" s="21">
        <f>EXP(-LN(2)/25)*AA133+(1-EXP(-LN(2)/25))/(LN(2)/25)*Calculateur!V134*Calculateur!X134*VLOOKUP('Données projet'!$B$9,Paramètres!$A$1:$I$89,3,0)*0.475*44/12</f>
        <v>11.628264400589945</v>
      </c>
      <c r="AB134" s="21">
        <f>EXP(-LN(2)/2)*AB133+(1-EXP(-LN(2)/2))/(LN(2)/2)*V134*Y134*VLOOKUP('Données projet'!$B$9,Paramètres!$A$1:$I$89,3,0)*0.475*44/12</f>
        <v>8.2745289798996364E-14</v>
      </c>
      <c r="AC134" s="22">
        <f t="shared" si="111"/>
        <v>97.947497477619137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203.32669758211171</v>
      </c>
      <c r="T135" s="59">
        <f t="shared" si="142"/>
        <v>217.57508587672368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84.626565565922036</v>
      </c>
      <c r="AA135" s="21">
        <f>EXP(-LN(2)/25)*AA134+(1-EXP(-LN(2)/25))/(LN(2)/25)*Calculateur!V135*Calculateur!X135*VLOOKUP('Données projet'!$B$9,Paramètres!$A$1:$I$89,3,0)*0.475*44/12</f>
        <v>11.310288899051965</v>
      </c>
      <c r="AB135" s="21">
        <f>EXP(-LN(2)/2)*AB134+(1-EXP(-LN(2)/2))/(LN(2)/2)*V135*Y135*VLOOKUP('Données projet'!$B$9,Paramètres!$A$1:$I$89,3,0)*0.475*44/12</f>
        <v>5.8509755528116383E-14</v>
      </c>
      <c r="AC135" s="22">
        <f t="shared" si="111"/>
        <v>95.936854464974061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203.32669758211171</v>
      </c>
      <c r="T136" s="59">
        <f t="shared" si="142"/>
        <v>217.57508587672368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82.96709023228253</v>
      </c>
      <c r="AA136" s="21">
        <f>EXP(-LN(2)/25)*AA135+(1-EXP(-LN(2)/25))/(LN(2)/25)*Calculateur!V136*Calculateur!X136*VLOOKUP('Données projet'!$B$9,Paramètres!$A$1:$I$89,3,0)*0.475*44/12</f>
        <v>11.001008454325145</v>
      </c>
      <c r="AB136" s="21">
        <f>EXP(-LN(2)/2)*AB135+(1-EXP(-LN(2)/2))/(LN(2)/2)*V136*Y136*VLOOKUP('Données projet'!$B$9,Paramètres!$A$1:$I$89,3,0)*0.475*44/12</f>
        <v>4.1372644899498182E-14</v>
      </c>
      <c r="AC136" s="22">
        <f t="shared" si="111"/>
        <v>93.968098686607718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203.32669758211171</v>
      </c>
      <c r="T137" s="59">
        <f t="shared" si="142"/>
        <v>217.57508587672368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81.34015619775569</v>
      </c>
      <c r="AA137" s="21">
        <f>EXP(-LN(2)/25)*AA136+(1-EXP(-LN(2)/25))/(LN(2)/25)*Calculateur!V137*Calculateur!X137*VLOOKUP('Données projet'!$B$9,Paramètres!$A$1:$I$89,3,0)*0.475*44/12</f>
        <v>10.700185299623733</v>
      </c>
      <c r="AB137" s="21">
        <f>EXP(-LN(2)/2)*AB136+(1-EXP(-LN(2)/2))/(LN(2)/2)*V137*Y137*VLOOKUP('Données projet'!$B$9,Paramètres!$A$1:$I$89,3,0)*0.475*44/12</f>
        <v>2.9254877764058191E-14</v>
      </c>
      <c r="AC137" s="22">
        <f t="shared" si="111"/>
        <v>92.040341497379444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203.32669758211171</v>
      </c>
      <c r="T138" s="59">
        <f t="shared" si="142"/>
        <v>217.57508587672368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79.745125347314143</v>
      </c>
      <c r="AA138" s="21">
        <f>EXP(-LN(2)/25)*AA137+(1-EXP(-LN(2)/25))/(LN(2)/25)*Calculateur!V138*Calculateur!X138*VLOOKUP('Données projet'!$B$9,Paramètres!$A$1:$I$89,3,0)*0.475*44/12</f>
        <v>10.407588169907234</v>
      </c>
      <c r="AB138" s="21">
        <f>EXP(-LN(2)/2)*AB137+(1-EXP(-LN(2)/2))/(LN(2)/2)*V138*Y138*VLOOKUP('Données projet'!$B$9,Paramètres!$A$1:$I$89,3,0)*0.475*44/12</f>
        <v>2.0686322449749091E-14</v>
      </c>
      <c r="AC138" s="22">
        <f t="shared" si="111"/>
        <v>90.152713517221386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203.32669758211171</v>
      </c>
      <c r="T139" s="59">
        <f t="shared" si="142"/>
        <v>217.57508587672368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78.181372078977006</v>
      </c>
      <c r="AA139" s="21">
        <f>EXP(-LN(2)/25)*AA138+(1-EXP(-LN(2)/25))/(LN(2)/25)*Calculateur!V139*Calculateur!X139*VLOOKUP('Données projet'!$B$9,Paramètres!$A$1:$I$89,3,0)*0.475*44/12</f>
        <v>10.122992124089846</v>
      </c>
      <c r="AB139" s="21">
        <f>EXP(-LN(2)/2)*AB138+(1-EXP(-LN(2)/2))/(LN(2)/2)*V139*Y139*VLOOKUP('Données projet'!$B$9,Paramètres!$A$1:$I$89,3,0)*0.475*44/12</f>
        <v>1.4627438882029096E-14</v>
      </c>
      <c r="AC139" s="22">
        <f t="shared" si="111"/>
        <v>88.304364203066868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203.32669758211171</v>
      </c>
      <c r="T140" s="59">
        <f t="shared" si="142"/>
        <v>217.57508587672368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76.648283058436647</v>
      </c>
      <c r="AA140" s="21">
        <f>EXP(-LN(2)/25)*AA139+(1-EXP(-LN(2)/25))/(LN(2)/25)*Calculateur!V140*Calculateur!X140*VLOOKUP('Données projet'!$B$9,Paramètres!$A$1:$I$89,3,0)*0.475*44/12</f>
        <v>9.8461783721115896</v>
      </c>
      <c r="AB140" s="21">
        <f>EXP(-LN(2)/2)*AB139+(1-EXP(-LN(2)/2))/(LN(2)/2)*V140*Y140*VLOOKUP('Données projet'!$B$9,Paramètres!$A$1:$I$89,3,0)*0.475*44/12</f>
        <v>1.0343161224874545E-14</v>
      </c>
      <c r="AC140" s="22">
        <f t="shared" si="111"/>
        <v>86.494461430548256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203.32669758211171</v>
      </c>
      <c r="T141" s="59">
        <f t="shared" si="142"/>
        <v>217.57508587672368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75.145256978497102</v>
      </c>
      <c r="AA141" s="21">
        <f>EXP(-LN(2)/25)*AA140+(1-EXP(-LN(2)/25))/(LN(2)/25)*Calculateur!V141*Calculateur!X141*VLOOKUP('Données projet'!$B$9,Paramètres!$A$1:$I$89,3,0)*0.475*44/12</f>
        <v>9.5769341067381806</v>
      </c>
      <c r="AB141" s="21">
        <f>EXP(-LN(2)/2)*AB140+(1-EXP(-LN(2)/2))/(LN(2)/2)*V141*Y141*VLOOKUP('Données projet'!$B$9,Paramètres!$A$1:$I$89,3,0)*0.475*44/12</f>
        <v>7.3137194410145478E-15</v>
      </c>
      <c r="AC141" s="22">
        <f t="shared" si="111"/>
        <v>84.722191085235295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203.32669758211171</v>
      </c>
      <c r="T142" s="59">
        <f t="shared" si="142"/>
        <v>217.57508587672368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73.67170432322979</v>
      </c>
      <c r="AA142" s="21">
        <f>EXP(-LN(2)/25)*AA141+(1-EXP(-LN(2)/25))/(LN(2)/25)*Calculateur!V142*Calculateur!X142*VLOOKUP('Données projet'!$B$9,Paramètres!$A$1:$I$89,3,0)*0.475*44/12</f>
        <v>9.3150523399603493</v>
      </c>
      <c r="AB142" s="21">
        <f>EXP(-LN(2)/2)*AB141+(1-EXP(-LN(2)/2))/(LN(2)/2)*V142*Y142*VLOOKUP('Données projet'!$B$9,Paramètres!$A$1:$I$89,3,0)*0.475*44/12</f>
        <v>5.1715806124372727E-15</v>
      </c>
      <c r="AC142" s="22">
        <f t="shared" si="111"/>
        <v>82.986756663190135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203.32669758211171</v>
      </c>
      <c r="T143" s="59">
        <f t="shared" si="142"/>
        <v>217.57508587672368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72.227047136753896</v>
      </c>
      <c r="AA143" s="21">
        <f>EXP(-LN(2)/25)*AA142+(1-EXP(-LN(2)/25))/(LN(2)/25)*Calculateur!V143*Calculateur!X143*VLOOKUP('Données projet'!$B$9,Paramètres!$A$1:$I$89,3,0)*0.475*44/12</f>
        <v>9.0603317438668203</v>
      </c>
      <c r="AB143" s="21">
        <f>EXP(-LN(2)/2)*AB142+(1-EXP(-LN(2)/2))/(LN(2)/2)*V143*Y143*VLOOKUP('Données projet'!$B$9,Paramètres!$A$1:$I$89,3,0)*0.475*44/12</f>
        <v>3.6568597205072739E-15</v>
      </c>
      <c r="AC143" s="22">
        <f t="shared" si="111"/>
        <v>81.287378880620722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203.32669758211171</v>
      </c>
      <c r="T144" s="59">
        <f t="shared" si="142"/>
        <v>217.57508587672368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70.810718796550915</v>
      </c>
      <c r="AA144" s="21">
        <f>EXP(-LN(2)/25)*AA143+(1-EXP(-LN(2)/25))/(LN(2)/25)*Calculateur!V144*Calculateur!X144*VLOOKUP('Données projet'!$B$9,Paramètres!$A$1:$I$89,3,0)*0.475*44/12</f>
        <v>8.8125764958686439</v>
      </c>
      <c r="AB144" s="21">
        <f>EXP(-LN(2)/2)*AB143+(1-EXP(-LN(2)/2))/(LN(2)/2)*V144*Y144*VLOOKUP('Données projet'!$B$9,Paramètres!$A$1:$I$89,3,0)*0.475*44/12</f>
        <v>2.5857903062186364E-15</v>
      </c>
      <c r="AC144" s="22">
        <f t="shared" si="111"/>
        <v>79.623295292419556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203.32669758211171</v>
      </c>
      <c r="T145" s="59">
        <f t="shared" si="142"/>
        <v>217.57508587672368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69.422163791224335</v>
      </c>
      <c r="AA145" s="21">
        <f>EXP(-LN(2)/25)*AA144+(1-EXP(-LN(2)/25))/(LN(2)/25)*Calculateur!V145*Calculateur!X145*VLOOKUP('Données projet'!$B$9,Paramètres!$A$1:$I$89,3,0)*0.475*44/12</f>
        <v>8.5715961281558588</v>
      </c>
      <c r="AB145" s="21">
        <f>EXP(-LN(2)/2)*AB144+(1-EXP(-LN(2)/2))/(LN(2)/2)*V145*Y145*VLOOKUP('Données projet'!$B$9,Paramètres!$A$1:$I$89,3,0)*0.475*44/12</f>
        <v>1.828429860253637E-15</v>
      </c>
      <c r="AC145" s="22">
        <f t="shared" si="111"/>
        <v>77.993759919380196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203.32669758211171</v>
      </c>
      <c r="T146" s="59">
        <f t="shared" si="142"/>
        <v>217.57508587672368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68.060837502617275</v>
      </c>
      <c r="AA146" s="21">
        <f>EXP(-LN(2)/25)*AA145+(1-EXP(-LN(2)/25))/(LN(2)/25)*Calculateur!V146*Calculateur!X146*VLOOKUP('Données projet'!$B$9,Paramètres!$A$1:$I$89,3,0)*0.475*44/12</f>
        <v>8.3372053812707865</v>
      </c>
      <c r="AB146" s="21">
        <f>EXP(-LN(2)/2)*AB145+(1-EXP(-LN(2)/2))/(LN(2)/2)*V146*Y146*VLOOKUP('Données projet'!$B$9,Paramètres!$A$1:$I$89,3,0)*0.475*44/12</f>
        <v>1.2928951531093182E-15</v>
      </c>
      <c r="AC146" s="22">
        <f t="shared" si="111"/>
        <v>76.398042883888067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203.32669758211171</v>
      </c>
      <c r="T147" s="59">
        <f t="shared" si="142"/>
        <v>217.57508587672368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66.726205992202765</v>
      </c>
      <c r="AA147" s="21">
        <f>EXP(-LN(2)/25)*AA146+(1-EXP(-LN(2)/25))/(LN(2)/25)*Calculateur!V147*Calculateur!X147*VLOOKUP('Données projet'!$B$9,Paramètres!$A$1:$I$89,3,0)*0.475*44/12</f>
        <v>8.1092240616853601</v>
      </c>
      <c r="AB147" s="21">
        <f>EXP(-LN(2)/2)*AB146+(1-EXP(-LN(2)/2))/(LN(2)/2)*V147*Y147*VLOOKUP('Données projet'!$B$9,Paramètres!$A$1:$I$89,3,0)*0.475*44/12</f>
        <v>9.1421493012681848E-16</v>
      </c>
      <c r="AC147" s="22">
        <f t="shared" si="111"/>
        <v>74.835430053888132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203.32669758211171</v>
      </c>
      <c r="T148" s="59">
        <f t="shared" si="142"/>
        <v>217.57508587672368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65.417745791662639</v>
      </c>
      <c r="AA148" s="21">
        <f>EXP(-LN(2)/25)*AA147+(1-EXP(-LN(2)/25))/(LN(2)/25)*Calculateur!V148*Calculateur!X148*VLOOKUP('Données projet'!$B$9,Paramètres!$A$1:$I$89,3,0)*0.475*44/12</f>
        <v>7.8874769032730141</v>
      </c>
      <c r="AB148" s="21">
        <f>EXP(-LN(2)/2)*AB147+(1-EXP(-LN(2)/2))/(LN(2)/2)*V148*Y148*VLOOKUP('Données projet'!$B$9,Paramètres!$A$1:$I$89,3,0)*0.475*44/12</f>
        <v>6.4644757655465909E-16</v>
      </c>
      <c r="AC148" s="22">
        <f t="shared" si="111"/>
        <v>73.305222694935651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203.32669758211171</v>
      </c>
      <c r="T149" s="59">
        <f t="shared" si="142"/>
        <v>217.57508587672368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64.134943697573178</v>
      </c>
      <c r="AA149" s="21">
        <f>EXP(-LN(2)/25)*AA148+(1-EXP(-LN(2)/25))/(LN(2)/25)*Calculateur!V149*Calculateur!X149*VLOOKUP('Données projet'!$B$9,Paramètres!$A$1:$I$89,3,0)*0.475*44/12</f>
        <v>7.6717934325686299</v>
      </c>
      <c r="AB149" s="21">
        <f>EXP(-LN(2)/2)*AB148+(1-EXP(-LN(2)/2))/(LN(2)/2)*V149*Y149*VLOOKUP('Données projet'!$B$9,Paramètres!$A$1:$I$89,3,0)*0.475*44/12</f>
        <v>4.5710746506340924E-16</v>
      </c>
      <c r="AC149" s="22">
        <f t="shared" si="111"/>
        <v>71.806737130141812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203.32669758211171</v>
      </c>
      <c r="T150" s="59">
        <f t="shared" si="142"/>
        <v>217.57508587672368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62.877296570116798</v>
      </c>
      <c r="AA150" s="21">
        <f>EXP(-LN(2)/25)*AA149+(1-EXP(-LN(2)/25))/(LN(2)/25)*Calculateur!V150*Calculateur!X150*VLOOKUP('Données projet'!$B$9,Paramètres!$A$1:$I$89,3,0)*0.475*44/12</f>
        <v>7.4620078377129584</v>
      </c>
      <c r="AB150" s="21">
        <f>EXP(-LN(2)/2)*AB149+(1-EXP(-LN(2)/2))/(LN(2)/2)*V150*Y150*VLOOKUP('Données projet'!$B$9,Paramètres!$A$1:$I$89,3,0)*0.475*44/12</f>
        <v>3.2322378827732955E-16</v>
      </c>
      <c r="AC150" s="22">
        <f t="shared" si="111"/>
        <v>70.339304407829758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203.32669758211171</v>
      </c>
      <c r="T151" s="59">
        <f t="shared" si="142"/>
        <v>217.57508587672368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61.644311135740836</v>
      </c>
      <c r="AA151" s="21">
        <f>EXP(-LN(2)/25)*AA150+(1-EXP(-LN(2)/25))/(LN(2)/25)*Calculateur!V151*Calculateur!X151*VLOOKUP('Données projet'!$B$9,Paramètres!$A$1:$I$89,3,0)*0.475*44/12</f>
        <v>7.2579588409807601</v>
      </c>
      <c r="AB151" s="21">
        <f>EXP(-LN(2)/2)*AB150+(1-EXP(-LN(2)/2))/(LN(2)/2)*V151*Y151*VLOOKUP('Données projet'!$B$9,Paramètres!$A$1:$I$89,3,0)*0.475*44/12</f>
        <v>2.2855373253170462E-16</v>
      </c>
      <c r="AC151" s="22">
        <f t="shared" si="111"/>
        <v>68.902269976721598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203.32669758211171</v>
      </c>
      <c r="T152" s="59">
        <f t="shared" si="142"/>
        <v>217.57508587672368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60.435503793686124</v>
      </c>
      <c r="AA152" s="21">
        <f>EXP(-LN(2)/25)*AA151+(1-EXP(-LN(2)/25))/(LN(2)/25)*Calculateur!V152*Calculateur!X152*VLOOKUP('Données projet'!$B$9,Paramètres!$A$1:$I$89,3,0)*0.475*44/12</f>
        <v>7.0594895747946742</v>
      </c>
      <c r="AB152" s="21">
        <f>EXP(-LN(2)/2)*AB151+(1-EXP(-LN(2)/2))/(LN(2)/2)*V152*Y152*VLOOKUP('Données projet'!$B$9,Paramètres!$A$1:$I$89,3,0)*0.475*44/12</f>
        <v>1.6161189413866477E-16</v>
      </c>
      <c r="AC152" s="22">
        <f t="shared" si="111"/>
        <v>67.494993368480792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203.32669758211171</v>
      </c>
      <c r="T153" s="59">
        <f t="shared" si="142"/>
        <v>217.57508587672368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59.250400426309433</v>
      </c>
      <c r="AA153" s="21">
        <f>EXP(-LN(2)/25)*AA152+(1-EXP(-LN(2)/25))/(LN(2)/25)*Calculateur!V153*Calculateur!X153*VLOOKUP('Données projet'!$B$9,Paramètres!$A$1:$I$89,3,0)*0.475*44/12</f>
        <v>6.8664474611294919</v>
      </c>
      <c r="AB153" s="21">
        <f>EXP(-LN(2)/2)*AB152+(1-EXP(-LN(2)/2))/(LN(2)/2)*V153*Y153*VLOOKUP('Données projet'!$B$9,Paramètres!$A$1:$I$89,3,0)*0.475*44/12</f>
        <v>1.1427686626585231E-16</v>
      </c>
      <c r="AC153" s="22">
        <f t="shared" si="111"/>
        <v>66.116847887438922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203.32669758211171</v>
      </c>
      <c r="T154" s="59">
        <f t="shared" si="142"/>
        <v>217.57508587672368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58.088536213125316</v>
      </c>
      <c r="AA154" s="21">
        <f>EXP(-LN(2)/25)*AA153+(1-EXP(-LN(2)/25))/(LN(2)/25)*Calculateur!V154*Calculateur!X154*VLOOKUP('Données projet'!$B$9,Paramètres!$A$1:$I$89,3,0)*0.475*44/12</f>
        <v>6.6786840942141277</v>
      </c>
      <c r="AB154" s="21">
        <f>EXP(-LN(2)/2)*AB153+(1-EXP(-LN(2)/2))/(LN(2)/2)*V154*Y154*VLOOKUP('Données projet'!$B$9,Paramètres!$A$1:$I$89,3,0)*0.475*44/12</f>
        <v>8.0805947069332387E-17</v>
      </c>
      <c r="AC154" s="22">
        <f t="shared" ref="AC154:AC203" si="163">SUM(Z154:AB154)</f>
        <v>64.767220307339443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203.32669758211171</v>
      </c>
      <c r="T155" s="59">
        <f t="shared" si="142"/>
        <v>217.57508587672368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56.949455448494547</v>
      </c>
      <c r="AA155" s="21">
        <f>EXP(-LN(2)/25)*AA154+(1-EXP(-LN(2)/25))/(LN(2)/25)*Calculateur!V155*Calculateur!X155*VLOOKUP('Données projet'!$B$9,Paramètres!$A$1:$I$89,3,0)*0.475*44/12</f>
        <v>6.4960551264411102</v>
      </c>
      <c r="AB155" s="21">
        <f>EXP(-LN(2)/2)*AB154+(1-EXP(-LN(2)/2))/(LN(2)/2)*V155*Y155*VLOOKUP('Données projet'!$B$9,Paramètres!$A$1:$I$89,3,0)*0.475*44/12</f>
        <v>5.7138433132926155E-17</v>
      </c>
      <c r="AC155" s="22">
        <f t="shared" si="163"/>
        <v>63.445510574935653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203.32669758211171</v>
      </c>
      <c r="T156" s="59">
        <f t="shared" si="142"/>
        <v>217.57508587672368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55.832711362887522</v>
      </c>
      <c r="AA156" s="21">
        <f>EXP(-LN(2)/25)*AA155+(1-EXP(-LN(2)/25))/(LN(2)/25)*Calculateur!V156*Calculateur!X156*VLOOKUP('Données projet'!$B$9,Paramètres!$A$1:$I$89,3,0)*0.475*44/12</f>
        <v>6.3184201573958862</v>
      </c>
      <c r="AB156" s="21">
        <f>EXP(-LN(2)/2)*AB155+(1-EXP(-LN(2)/2))/(LN(2)/2)*V156*Y156*VLOOKUP('Données projet'!$B$9,Paramètres!$A$1:$I$89,3,0)*0.475*44/12</f>
        <v>4.0402973534666193E-17</v>
      </c>
      <c r="AC156" s="22">
        <f t="shared" si="163"/>
        <v>62.151131520283407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203.32669758211171</v>
      </c>
      <c r="T157" s="59">
        <f t="shared" si="142"/>
        <v>217.57508587672368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54.737865947652615</v>
      </c>
      <c r="AA157" s="21">
        <f>EXP(-LN(2)/25)*AA156+(1-EXP(-LN(2)/25))/(LN(2)/25)*Calculateur!V157*Calculateur!X157*VLOOKUP('Données projet'!$B$9,Paramètres!$A$1:$I$89,3,0)*0.475*44/12</f>
        <v>6.1456426259206207</v>
      </c>
      <c r="AB157" s="21">
        <f>EXP(-LN(2)/2)*AB156+(1-EXP(-LN(2)/2))/(LN(2)/2)*V157*Y157*VLOOKUP('Données projet'!$B$9,Paramètres!$A$1:$I$89,3,0)*0.475*44/12</f>
        <v>2.8569216566463078E-17</v>
      </c>
      <c r="AC157" s="22">
        <f t="shared" si="163"/>
        <v>60.883508573573238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203.32669758211171</v>
      </c>
      <c r="T158" s="59">
        <f t="shared" si="142"/>
        <v>217.57508587672368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53.664489783220702</v>
      </c>
      <c r="AA158" s="21">
        <f>EXP(-LN(2)/25)*AA157+(1-EXP(-LN(2)/25))/(LN(2)/25)*Calculateur!V158*Calculateur!X158*VLOOKUP('Données projet'!$B$9,Paramètres!$A$1:$I$89,3,0)*0.475*44/12</f>
        <v>5.9775897051295219</v>
      </c>
      <c r="AB158" s="21">
        <f>EXP(-LN(2)/2)*AB157+(1-EXP(-LN(2)/2))/(LN(2)/2)*V158*Y158*VLOOKUP('Données projet'!$B$9,Paramètres!$A$1:$I$89,3,0)*0.475*44/12</f>
        <v>2.0201486767333097E-17</v>
      </c>
      <c r="AC158" s="22">
        <f t="shared" si="163"/>
        <v>59.642079488350227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203.32669758211171</v>
      </c>
      <c r="T159" s="59">
        <f t="shared" si="142"/>
        <v>217.57508587672368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52.612161870678484</v>
      </c>
      <c r="AA159" s="21">
        <f>EXP(-LN(2)/25)*AA158+(1-EXP(-LN(2)/25))/(LN(2)/25)*Calculateur!V159*Calculateur!X159*VLOOKUP('Données projet'!$B$9,Paramètres!$A$1:$I$89,3,0)*0.475*44/12</f>
        <v>5.8141322002949742</v>
      </c>
      <c r="AB159" s="21">
        <f>EXP(-LN(2)/2)*AB158+(1-EXP(-LN(2)/2))/(LN(2)/2)*V159*Y159*VLOOKUP('Données projet'!$B$9,Paramètres!$A$1:$I$89,3,0)*0.475*44/12</f>
        <v>1.4284608283231539E-17</v>
      </c>
      <c r="AC159" s="22">
        <f t="shared" si="163"/>
        <v>58.426294070973455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203.32669758211171</v>
      </c>
      <c r="T160" s="59">
        <f t="shared" si="142"/>
        <v>217.57508587672368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51.580469466644573</v>
      </c>
      <c r="AA160" s="21">
        <f>EXP(-LN(2)/25)*AA159+(1-EXP(-LN(2)/25))/(LN(2)/25)*Calculateur!V160*Calculateur!X160*VLOOKUP('Données projet'!$B$9,Paramètres!$A$1:$I$89,3,0)*0.475*44/12</f>
        <v>5.6551444495259844</v>
      </c>
      <c r="AB160" s="21">
        <f>EXP(-LN(2)/2)*AB159+(1-EXP(-LN(2)/2))/(LN(2)/2)*V160*Y160*VLOOKUP('Données projet'!$B$9,Paramètres!$A$1:$I$89,3,0)*0.475*44/12</f>
        <v>1.0100743383666548E-17</v>
      </c>
      <c r="AC160" s="22">
        <f t="shared" si="163"/>
        <v>57.235613916170557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203.32669758211171</v>
      </c>
      <c r="T161" s="59">
        <f t="shared" si="142"/>
        <v>217.57508587672368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50.56900792138353</v>
      </c>
      <c r="AA161" s="21">
        <f>EXP(-LN(2)/25)*AA160+(1-EXP(-LN(2)/25))/(LN(2)/25)*Calculateur!V161*Calculateur!X161*VLOOKUP('Données projet'!$B$9,Paramètres!$A$1:$I$89,3,0)*0.475*44/12</f>
        <v>5.5005042271625744</v>
      </c>
      <c r="AB161" s="21">
        <f>EXP(-LN(2)/2)*AB160+(1-EXP(-LN(2)/2))/(LN(2)/2)*V161*Y161*VLOOKUP('Données projet'!$B$9,Paramètres!$A$1:$I$89,3,0)*0.475*44/12</f>
        <v>7.1423041416157694E-18</v>
      </c>
      <c r="AC161" s="22">
        <f t="shared" si="163"/>
        <v>56.069512148546103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203.32669758211171</v>
      </c>
      <c r="T162" s="59">
        <f t="shared" si="142"/>
        <v>217.57508587672368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49.577380520094437</v>
      </c>
      <c r="AA162" s="21">
        <f>EXP(-LN(2)/25)*AA161+(1-EXP(-LN(2)/25))/(LN(2)/25)*Calculateur!V162*Calculateur!X162*VLOOKUP('Données projet'!$B$9,Paramètres!$A$1:$I$89,3,0)*0.475*44/12</f>
        <v>5.3500926498118684</v>
      </c>
      <c r="AB162" s="21">
        <f>EXP(-LN(2)/2)*AB161+(1-EXP(-LN(2)/2))/(LN(2)/2)*V162*Y162*VLOOKUP('Données projet'!$B$9,Paramètres!$A$1:$I$89,3,0)*0.475*44/12</f>
        <v>5.0503716918332742E-18</v>
      </c>
      <c r="AC162" s="22">
        <f t="shared" si="163"/>
        <v>54.927473169906307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203.32669758211171</v>
      </c>
      <c r="T163" s="59">
        <f t="shared" si="142"/>
        <v>217.57508587672368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48.605198327311626</v>
      </c>
      <c r="AA163" s="21">
        <f>EXP(-LN(2)/25)*AA162+(1-EXP(-LN(2)/25))/(LN(2)/25)*Calculateur!V163*Calculateur!X163*VLOOKUP('Données projet'!$B$9,Paramètres!$A$1:$I$89,3,0)*0.475*44/12</f>
        <v>5.2037940849536186</v>
      </c>
      <c r="AB163" s="21">
        <f>EXP(-LN(2)/2)*AB162+(1-EXP(-LN(2)/2))/(LN(2)/2)*V163*Y163*VLOOKUP('Données projet'!$B$9,Paramètres!$A$1:$I$89,3,0)*0.475*44/12</f>
        <v>3.5711520708078847E-18</v>
      </c>
      <c r="AC163" s="22">
        <f t="shared" si="163"/>
        <v>53.808992412265248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203.32669758211171</v>
      </c>
      <c r="T164" s="59">
        <f t="shared" si="142"/>
        <v>217.57508587672368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47.6520800343567</v>
      </c>
      <c r="AA164" s="21">
        <f>EXP(-LN(2)/25)*AA163+(1-EXP(-LN(2)/25))/(LN(2)/25)*Calculateur!V164*Calculateur!X164*VLOOKUP('Données projet'!$B$9,Paramètres!$A$1:$I$89,3,0)*0.475*44/12</f>
        <v>5.0614960620449247</v>
      </c>
      <c r="AB164" s="21">
        <f>EXP(-LN(2)/2)*AB163+(1-EXP(-LN(2)/2))/(LN(2)/2)*V164*Y164*VLOOKUP('Données projet'!$B$9,Paramètres!$A$1:$I$89,3,0)*0.475*44/12</f>
        <v>2.5251858459166371E-18</v>
      </c>
      <c r="AC164" s="22">
        <f t="shared" si="163"/>
        <v>52.713576096401624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203.32669758211171</v>
      </c>
      <c r="T165" s="59">
        <f t="shared" si="142"/>
        <v>217.57508587672368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46.717651809781863</v>
      </c>
      <c r="AA165" s="21">
        <f>EXP(-LN(2)/25)*AA164+(1-EXP(-LN(2)/25))/(LN(2)/25)*Calculateur!V165*Calculateur!X165*VLOOKUP('Données projet'!$B$9,Paramètres!$A$1:$I$89,3,0)*0.475*44/12</f>
        <v>4.9230891860557966</v>
      </c>
      <c r="AB165" s="21">
        <f>EXP(-LN(2)/2)*AB164+(1-EXP(-LN(2)/2))/(LN(2)/2)*V165*Y165*VLOOKUP('Données projet'!$B$9,Paramètres!$A$1:$I$89,3,0)*0.475*44/12</f>
        <v>1.7855760354039423E-18</v>
      </c>
      <c r="AC165" s="22">
        <f t="shared" si="163"/>
        <v>51.64074099583766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203.32669758211171</v>
      </c>
      <c r="T166" s="59">
        <f t="shared" si="142"/>
        <v>217.57508587672368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45.801547152746004</v>
      </c>
      <c r="AA166" s="21">
        <f>EXP(-LN(2)/25)*AA165+(1-EXP(-LN(2)/25))/(LN(2)/25)*Calculateur!V166*Calculateur!X166*VLOOKUP('Données projet'!$B$9,Paramètres!$A$1:$I$89,3,0)*0.475*44/12</f>
        <v>4.7884670533690921</v>
      </c>
      <c r="AB166" s="21">
        <f>EXP(-LN(2)/2)*AB165+(1-EXP(-LN(2)/2))/(LN(2)/2)*V166*Y166*VLOOKUP('Données projet'!$B$9,Paramètres!$A$1:$I$89,3,0)*0.475*44/12</f>
        <v>1.2625929229583185E-18</v>
      </c>
      <c r="AC166" s="22">
        <f t="shared" si="163"/>
        <v>50.590014206115093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203.32669758211171</v>
      </c>
      <c r="T167" s="59">
        <f t="shared" si="142"/>
        <v>217.57508587672368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44.903406749265947</v>
      </c>
      <c r="AA167" s="21">
        <f>EXP(-LN(2)/25)*AA166+(1-EXP(-LN(2)/25))/(LN(2)/25)*Calculateur!V167*Calculateur!X167*VLOOKUP('Données projet'!$B$9,Paramètres!$A$1:$I$89,3,0)*0.475*44/12</f>
        <v>4.6575261699801764</v>
      </c>
      <c r="AB167" s="21">
        <f>EXP(-LN(2)/2)*AB166+(1-EXP(-LN(2)/2))/(LN(2)/2)*V167*Y167*VLOOKUP('Données projet'!$B$9,Paramètres!$A$1:$I$89,3,0)*0.475*44/12</f>
        <v>8.9278801770197117E-19</v>
      </c>
      <c r="AC167" s="22">
        <f t="shared" si="163"/>
        <v>49.560932919246127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203.32669758211171</v>
      </c>
      <c r="T168" s="59">
        <f t="shared" si="142"/>
        <v>217.57508587672368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44.022878331286584</v>
      </c>
      <c r="AA168" s="21">
        <f>EXP(-LN(2)/25)*AA167+(1-EXP(-LN(2)/25))/(LN(2)/25)*Calculateur!V168*Calculateur!X168*VLOOKUP('Données projet'!$B$9,Paramètres!$A$1:$I$89,3,0)*0.475*44/12</f>
        <v>4.5301658719334119</v>
      </c>
      <c r="AB168" s="21">
        <f>EXP(-LN(2)/2)*AB167+(1-EXP(-LN(2)/2))/(LN(2)/2)*V168*Y168*VLOOKUP('Données projet'!$B$9,Paramètres!$A$1:$I$89,3,0)*0.475*44/12</f>
        <v>6.3129646147915927E-19</v>
      </c>
      <c r="AC168" s="22">
        <f t="shared" si="163"/>
        <v>48.553044203219997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203.32669758211171</v>
      </c>
      <c r="T169" s="59">
        <f t="shared" si="142"/>
        <v>217.57508587672368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43.159616538514491</v>
      </c>
      <c r="AA169" s="21">
        <f>EXP(-LN(2)/25)*AA168+(1-EXP(-LN(2)/25))/(LN(2)/25)*Calculateur!V169*Calculateur!X169*VLOOKUP('Données projet'!$B$9,Paramètres!$A$1:$I$89,3,0)*0.475*44/12</f>
        <v>4.4062882479343237</v>
      </c>
      <c r="AB169" s="21">
        <f>EXP(-LN(2)/2)*AB168+(1-EXP(-LN(2)/2))/(LN(2)/2)*V169*Y169*VLOOKUP('Données projet'!$B$9,Paramètres!$A$1:$I$89,3,0)*0.475*44/12</f>
        <v>4.4639400885098559E-19</v>
      </c>
      <c r="AC169" s="22">
        <f t="shared" si="163"/>
        <v>47.565904786448812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203.32669758211171</v>
      </c>
      <c r="T170" s="59">
        <f t="shared" si="142"/>
        <v>217.57508587672368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42.313282782960954</v>
      </c>
      <c r="AA170" s="21">
        <f>EXP(-LN(2)/25)*AA169+(1-EXP(-LN(2)/25))/(LN(2)/25)*Calculateur!V170*Calculateur!X170*VLOOKUP('Données projet'!$B$9,Paramètres!$A$1:$I$89,3,0)*0.475*44/12</f>
        <v>4.2857980640779312</v>
      </c>
      <c r="AB170" s="21">
        <f>EXP(-LN(2)/2)*AB169+(1-EXP(-LN(2)/2))/(LN(2)/2)*V170*Y170*VLOOKUP('Données projet'!$B$9,Paramètres!$A$1:$I$89,3,0)*0.475*44/12</f>
        <v>3.1564823073957964E-19</v>
      </c>
      <c r="AC170" s="22">
        <f t="shared" si="163"/>
        <v>46.599080847038884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203.32669758211171</v>
      </c>
      <c r="T171" s="59">
        <f t="shared" si="142"/>
        <v>217.57508587672368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41.483545116141201</v>
      </c>
      <c r="AA171" s="21">
        <f>EXP(-LN(2)/25)*AA170+(1-EXP(-LN(2)/25))/(LN(2)/25)*Calculateur!V171*Calculateur!X171*VLOOKUP('Données projet'!$B$9,Paramètres!$A$1:$I$89,3,0)*0.475*44/12</f>
        <v>4.168602690635395</v>
      </c>
      <c r="AB171" s="21">
        <f>EXP(-LN(2)/2)*AB170+(1-EXP(-LN(2)/2))/(LN(2)/2)*V171*Y171*VLOOKUP('Données projet'!$B$9,Paramètres!$A$1:$I$89,3,0)*0.475*44/12</f>
        <v>2.2319700442549279E-19</v>
      </c>
      <c r="AC171" s="22">
        <f t="shared" si="163"/>
        <v>45.652147806776597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203.32669758211171</v>
      </c>
      <c r="T172" s="59">
        <f t="shared" si="142"/>
        <v>217.57508587672368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40.670078098877781</v>
      </c>
      <c r="AA172" s="21">
        <f>EXP(-LN(2)/25)*AA171+(1-EXP(-LN(2)/25))/(LN(2)/25)*Calculateur!V172*Calculateur!X172*VLOOKUP('Données projet'!$B$9,Paramètres!$A$1:$I$89,3,0)*0.475*44/12</f>
        <v>4.0546120308426818</v>
      </c>
      <c r="AB172" s="21">
        <f>EXP(-LN(2)/2)*AB171+(1-EXP(-LN(2)/2))/(LN(2)/2)*V172*Y172*VLOOKUP('Données projet'!$B$9,Paramètres!$A$1:$I$89,3,0)*0.475*44/12</f>
        <v>1.5782411536978982E-19</v>
      </c>
      <c r="AC172" s="22">
        <f t="shared" si="163"/>
        <v>44.724690129720464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203.32669758211171</v>
      </c>
      <c r="T173" s="59">
        <f t="shared" si="142"/>
        <v>217.57508587672368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39.872562673657008</v>
      </c>
      <c r="AA173" s="21">
        <f>EXP(-LN(2)/25)*AA172+(1-EXP(-LN(2)/25))/(LN(2)/25)*Calculateur!V173*Calculateur!X173*VLOOKUP('Données projet'!$B$9,Paramètres!$A$1:$I$89,3,0)*0.475*44/12</f>
        <v>3.9437384516365088</v>
      </c>
      <c r="AB173" s="21">
        <f>EXP(-LN(2)/2)*AB172+(1-EXP(-LN(2)/2))/(LN(2)/2)*V173*Y173*VLOOKUP('Données projet'!$B$9,Paramètres!$A$1:$I$89,3,0)*0.475*44/12</f>
        <v>1.115985022127464E-19</v>
      </c>
      <c r="AC173" s="22">
        <f t="shared" si="163"/>
        <v>43.816301125293514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203.32669758211171</v>
      </c>
      <c r="T174" s="59">
        <f t="shared" si="142"/>
        <v>217.57508587672368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39.090686039488439</v>
      </c>
      <c r="AA174" s="21">
        <f>EXP(-LN(2)/25)*AA173+(1-EXP(-LN(2)/25))/(LN(2)/25)*Calculateur!V174*Calculateur!X174*VLOOKUP('Données projet'!$B$9,Paramètres!$A$1:$I$89,3,0)*0.475*44/12</f>
        <v>3.8358967162843167</v>
      </c>
      <c r="AB174" s="21">
        <f>EXP(-LN(2)/2)*AB173+(1-EXP(-LN(2)/2))/(LN(2)/2)*V174*Y174*VLOOKUP('Données projet'!$B$9,Paramètres!$A$1:$I$89,3,0)*0.475*44/12</f>
        <v>7.8912057684894909E-20</v>
      </c>
      <c r="AC174" s="22">
        <f t="shared" si="163"/>
        <v>42.926582755772756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203.32669758211171</v>
      </c>
      <c r="T175" s="59">
        <f t="shared" si="142"/>
        <v>217.57508587672368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38.324141529218259</v>
      </c>
      <c r="AA175" s="21">
        <f>EXP(-LN(2)/25)*AA174+(1-EXP(-LN(2)/25))/(LN(2)/25)*Calculateur!V175*Calculateur!X175*VLOOKUP('Données projet'!$B$9,Paramètres!$A$1:$I$89,3,0)*0.475*44/12</f>
        <v>3.731003918856481</v>
      </c>
      <c r="AB175" s="21">
        <f>EXP(-LN(2)/2)*AB174+(1-EXP(-LN(2)/2))/(LN(2)/2)*V175*Y175*VLOOKUP('Données projet'!$B$9,Paramètres!$A$1:$I$89,3,0)*0.475*44/12</f>
        <v>5.5799251106373198E-20</v>
      </c>
      <c r="AC175" s="22">
        <f t="shared" si="163"/>
        <v>42.05514544807474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203.32669758211171</v>
      </c>
      <c r="T176" s="59">
        <f t="shared" si="142"/>
        <v>217.57508587672368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37.572628489248494</v>
      </c>
      <c r="AA176" s="21">
        <f>EXP(-LN(2)/25)*AA175+(1-EXP(-LN(2)/25))/(LN(2)/25)*Calculateur!V176*Calculateur!X176*VLOOKUP('Données projet'!$B$9,Paramètres!$A$1:$I$89,3,0)*0.475*44/12</f>
        <v>3.6289794204903818</v>
      </c>
      <c r="AB176" s="21">
        <f>EXP(-LN(2)/2)*AB175+(1-EXP(-LN(2)/2))/(LN(2)/2)*V176*Y176*VLOOKUP('Données projet'!$B$9,Paramètres!$A$1:$I$89,3,0)*0.475*44/12</f>
        <v>3.9456028842447454E-20</v>
      </c>
      <c r="AC176" s="22">
        <f t="shared" si="163"/>
        <v>41.201607909738875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203.32669758211171</v>
      </c>
      <c r="T177" s="59">
        <f t="shared" si="142"/>
        <v>217.57508587672368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36.835852161614838</v>
      </c>
      <c r="AA177" s="21">
        <f>EXP(-LN(2)/25)*AA176+(1-EXP(-LN(2)/25))/(LN(2)/25)*Calculateur!V177*Calculateur!X177*VLOOKUP('Données projet'!$B$9,Paramètres!$A$1:$I$89,3,0)*0.475*44/12</f>
        <v>3.5297447873973389</v>
      </c>
      <c r="AB177" s="21">
        <f>EXP(-LN(2)/2)*AB176+(1-EXP(-LN(2)/2))/(LN(2)/2)*V177*Y177*VLOOKUP('Données projet'!$B$9,Paramètres!$A$1:$I$89,3,0)*0.475*44/12</f>
        <v>2.7899625553186599E-20</v>
      </c>
      <c r="AC177" s="22">
        <f t="shared" si="163"/>
        <v>40.365596949012179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203.32669758211171</v>
      </c>
      <c r="T178" s="59">
        <f t="shared" si="142"/>
        <v>217.57508587672368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36.113523568376891</v>
      </c>
      <c r="AA178" s="21">
        <f>EXP(-LN(2)/25)*AA177+(1-EXP(-LN(2)/25))/(LN(2)/25)*Calculateur!V178*Calculateur!X178*VLOOKUP('Données projet'!$B$9,Paramètres!$A$1:$I$89,3,0)*0.475*44/12</f>
        <v>3.4332237305647477</v>
      </c>
      <c r="AB178" s="21">
        <f>EXP(-LN(2)/2)*AB177+(1-EXP(-LN(2)/2))/(LN(2)/2)*V178*Y178*VLOOKUP('Données projet'!$B$9,Paramètres!$A$1:$I$89,3,0)*0.475*44/12</f>
        <v>1.9728014421223727E-20</v>
      </c>
      <c r="AC178" s="22">
        <f t="shared" si="163"/>
        <v>39.546747298941639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203.32669758211171</v>
      </c>
      <c r="T179" s="59">
        <f t="shared" si="142"/>
        <v>217.57508587672368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35.405359398275401</v>
      </c>
      <c r="AA179" s="21">
        <f>EXP(-LN(2)/25)*AA178+(1-EXP(-LN(2)/25))/(LN(2)/25)*Calculateur!V179*Calculateur!X179*VLOOKUP('Données projet'!$B$9,Paramètres!$A$1:$I$89,3,0)*0.475*44/12</f>
        <v>3.3393420471070656</v>
      </c>
      <c r="AB179" s="21">
        <f>EXP(-LN(2)/2)*AB178+(1-EXP(-LN(2)/2))/(LN(2)/2)*V179*Y179*VLOOKUP('Données projet'!$B$9,Paramètres!$A$1:$I$89,3,0)*0.475*44/12</f>
        <v>1.39498127765933E-20</v>
      </c>
      <c r="AC179" s="22">
        <f t="shared" si="163"/>
        <v>38.744701445382468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203.32669758211171</v>
      </c>
      <c r="T180" s="59">
        <f t="shared" si="142"/>
        <v>217.57508587672368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34.711081895612111</v>
      </c>
      <c r="AA180" s="21">
        <f>EXP(-LN(2)/25)*AA179+(1-EXP(-LN(2)/25))/(LN(2)/25)*Calculateur!V180*Calculateur!X180*VLOOKUP('Données projet'!$B$9,Paramètres!$A$1:$I$89,3,0)*0.475*44/12</f>
        <v>3.2480275632205569</v>
      </c>
      <c r="AB180" s="21">
        <f>EXP(-LN(2)/2)*AB179+(1-EXP(-LN(2)/2))/(LN(2)/2)*V180*Y180*VLOOKUP('Données projet'!$B$9,Paramètres!$A$1:$I$89,3,0)*0.475*44/12</f>
        <v>9.8640072106118636E-21</v>
      </c>
      <c r="AC180" s="22">
        <f t="shared" si="163"/>
        <v>37.959109458832671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203.32669758211171</v>
      </c>
      <c r="T181" s="59">
        <f t="shared" si="142"/>
        <v>217.57508587672368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34.030418751308588</v>
      </c>
      <c r="AA181" s="21">
        <f>EXP(-LN(2)/25)*AA180+(1-EXP(-LN(2)/25))/(LN(2)/25)*Calculateur!V181*Calculateur!X181*VLOOKUP('Données projet'!$B$9,Paramètres!$A$1:$I$89,3,0)*0.475*44/12</f>
        <v>3.1592100786979445</v>
      </c>
      <c r="AB181" s="21">
        <f>EXP(-LN(2)/2)*AB180+(1-EXP(-LN(2)/2))/(LN(2)/2)*V181*Y181*VLOOKUP('Données projet'!$B$9,Paramètres!$A$1:$I$89,3,0)*0.475*44/12</f>
        <v>6.9749063882966498E-21</v>
      </c>
      <c r="AC181" s="22">
        <f t="shared" si="163"/>
        <v>37.189628830006534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203.32669758211171</v>
      </c>
      <c r="T182" s="59">
        <f t="shared" si="142"/>
        <v>217.57508587672368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33.363102996101333</v>
      </c>
      <c r="AA182" s="21">
        <f>EXP(-LN(2)/25)*AA181+(1-EXP(-LN(2)/25))/(LN(2)/25)*Calculateur!V182*Calculateur!X182*VLOOKUP('Données projet'!$B$9,Paramètres!$A$1:$I$89,3,0)*0.475*44/12</f>
        <v>3.0728213129603117</v>
      </c>
      <c r="AB182" s="21">
        <f>EXP(-LN(2)/2)*AB181+(1-EXP(-LN(2)/2))/(LN(2)/2)*V182*Y182*VLOOKUP('Données projet'!$B$9,Paramètres!$A$1:$I$89,3,0)*0.475*44/12</f>
        <v>4.9320036053059318E-21</v>
      </c>
      <c r="AC182" s="22">
        <f t="shared" si="163"/>
        <v>36.435924309061647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203.32669758211171</v>
      </c>
      <c r="T183" s="59">
        <f t="shared" si="142"/>
        <v>217.57508587672368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32.70887289583127</v>
      </c>
      <c r="AA183" s="21">
        <f>EXP(-LN(2)/25)*AA182+(1-EXP(-LN(2)/25))/(LN(2)/25)*Calculateur!V183*Calculateur!X183*VLOOKUP('Données projet'!$B$9,Paramètres!$A$1:$I$89,3,0)*0.475*44/12</f>
        <v>2.9887948525647623</v>
      </c>
      <c r="AB183" s="21">
        <f>EXP(-LN(2)/2)*AB182+(1-EXP(-LN(2)/2))/(LN(2)/2)*V183*Y183*VLOOKUP('Données projet'!$B$9,Paramètres!$A$1:$I$89,3,0)*0.475*44/12</f>
        <v>3.4874531941483249E-21</v>
      </c>
      <c r="AC183" s="22">
        <f t="shared" si="163"/>
        <v>35.697667748396029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203.32669758211171</v>
      </c>
      <c r="T184" s="59">
        <f t="shared" si="142"/>
        <v>217.57508587672368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32.067471848786546</v>
      </c>
      <c r="AA184" s="21">
        <f>EXP(-LN(2)/25)*AA183+(1-EXP(-LN(2)/25))/(LN(2)/25)*Calculateur!V184*Calculateur!X184*VLOOKUP('Données projet'!$B$9,Paramètres!$A$1:$I$89,3,0)*0.475*44/12</f>
        <v>2.9070661001474885</v>
      </c>
      <c r="AB184" s="21">
        <f>EXP(-LN(2)/2)*AB183+(1-EXP(-LN(2)/2))/(LN(2)/2)*V184*Y184*VLOOKUP('Données projet'!$B$9,Paramètres!$A$1:$I$89,3,0)*0.475*44/12</f>
        <v>2.4660018026529659E-21</v>
      </c>
      <c r="AC184" s="22">
        <f t="shared" si="163"/>
        <v>34.974537948934035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203.32669758211171</v>
      </c>
      <c r="T185" s="59">
        <f t="shared" si="142"/>
        <v>217.57508587672368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31.438648285058356</v>
      </c>
      <c r="AA185" s="21">
        <f>EXP(-LN(2)/25)*AA184+(1-EXP(-LN(2)/25))/(LN(2)/25)*Calculateur!V185*Calculateur!X185*VLOOKUP('Données projet'!$B$9,Paramètres!$A$1:$I$89,3,0)*0.475*44/12</f>
        <v>2.8275722247629935</v>
      </c>
      <c r="AB185" s="21">
        <f>EXP(-LN(2)/2)*AB184+(1-EXP(-LN(2)/2))/(LN(2)/2)*V185*Y185*VLOOKUP('Données projet'!$B$9,Paramètres!$A$1:$I$89,3,0)*0.475*44/12</f>
        <v>1.7437265970741624E-21</v>
      </c>
      <c r="AC185" s="22">
        <f t="shared" si="163"/>
        <v>34.266220509821352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203.32669758211171</v>
      </c>
      <c r="T186" s="59">
        <f t="shared" si="142"/>
        <v>217.57508587672368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30.822155567870375</v>
      </c>
      <c r="AA186" s="21">
        <f>EXP(-LN(2)/25)*AA185+(1-EXP(-LN(2)/25))/(LN(2)/25)*Calculateur!V186*Calculateur!X186*VLOOKUP('Données projet'!$B$9,Paramètres!$A$1:$I$89,3,0)*0.475*44/12</f>
        <v>2.7502521135812885</v>
      </c>
      <c r="AB186" s="21">
        <f>EXP(-LN(2)/2)*AB185+(1-EXP(-LN(2)/2))/(LN(2)/2)*V186*Y186*VLOOKUP('Données projet'!$B$9,Paramètres!$A$1:$I$89,3,0)*0.475*44/12</f>
        <v>1.2330009013264829E-21</v>
      </c>
      <c r="AC186" s="22">
        <f t="shared" si="163"/>
        <v>33.572407681451665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203.32669758211171</v>
      </c>
      <c r="T187" s="59">
        <f t="shared" si="142"/>
        <v>217.57508587672368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30.217751896843023</v>
      </c>
      <c r="AA187" s="21">
        <f>EXP(-LN(2)/25)*AA186+(1-EXP(-LN(2)/25))/(LN(2)/25)*Calculateur!V187*Calculateur!X187*VLOOKUP('Données projet'!$B$9,Paramètres!$A$1:$I$89,3,0)*0.475*44/12</f>
        <v>2.6750463249059355</v>
      </c>
      <c r="AB187" s="21">
        <f>EXP(-LN(2)/2)*AB186+(1-EXP(-LN(2)/2))/(LN(2)/2)*V187*Y187*VLOOKUP('Données projet'!$B$9,Paramètres!$A$1:$I$89,3,0)*0.475*44/12</f>
        <v>8.7186329853708122E-22</v>
      </c>
      <c r="AC187" s="22">
        <f t="shared" si="163"/>
        <v>32.892798221748961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203.32669758211171</v>
      </c>
      <c r="T188" s="59">
        <f t="shared" si="142"/>
        <v>217.57508587672368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29.625200213154677</v>
      </c>
      <c r="AA188" s="21">
        <f>EXP(-LN(2)/25)*AA187+(1-EXP(-LN(2)/25))/(LN(2)/25)*Calculateur!V188*Calculateur!X188*VLOOKUP('Données projet'!$B$9,Paramètres!$A$1:$I$89,3,0)*0.475*44/12</f>
        <v>2.6018970424768102</v>
      </c>
      <c r="AB188" s="21">
        <f>EXP(-LN(2)/2)*AB187+(1-EXP(-LN(2)/2))/(LN(2)/2)*V188*Y188*VLOOKUP('Données projet'!$B$9,Paramètres!$A$1:$I$89,3,0)*0.475*44/12</f>
        <v>6.1650045066324147E-22</v>
      </c>
      <c r="AC188" s="22">
        <f t="shared" si="163"/>
        <v>32.227097255631485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203.32669758211171</v>
      </c>
      <c r="T189" s="59">
        <f t="shared" si="142"/>
        <v>217.57508587672368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29.044268106562619</v>
      </c>
      <c r="AA189" s="21">
        <f>EXP(-LN(2)/25)*AA188+(1-EXP(-LN(2)/25))/(LN(2)/25)*Calculateur!V189*Calculateur!X189*VLOOKUP('Données projet'!$B$9,Paramètres!$A$1:$I$89,3,0)*0.475*44/12</f>
        <v>2.5307480310224633</v>
      </c>
      <c r="AB189" s="21">
        <f>EXP(-LN(2)/2)*AB188+(1-EXP(-LN(2)/2))/(LN(2)/2)*V189*Y189*VLOOKUP('Données projet'!$B$9,Paramètres!$A$1:$I$89,3,0)*0.475*44/12</f>
        <v>4.3593164926854061E-22</v>
      </c>
      <c r="AC189" s="22">
        <f t="shared" si="163"/>
        <v>31.575016137585081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203.32669758211171</v>
      </c>
      <c r="T190" s="59">
        <f t="shared" si="142"/>
        <v>217.57508587672368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28.474727724247234</v>
      </c>
      <c r="AA190" s="21">
        <f>EXP(-LN(2)/25)*AA189+(1-EXP(-LN(2)/25))/(LN(2)/25)*Calculateur!V190*Calculateur!X190*VLOOKUP('Données projet'!$B$9,Paramètres!$A$1:$I$89,3,0)*0.475*44/12</f>
        <v>2.4615445930278992</v>
      </c>
      <c r="AB190" s="21">
        <f>EXP(-LN(2)/2)*AB189+(1-EXP(-LN(2)/2))/(LN(2)/2)*V190*Y190*VLOOKUP('Données projet'!$B$9,Paramètres!$A$1:$I$89,3,0)*0.475*44/12</f>
        <v>3.0825022533162074E-22</v>
      </c>
      <c r="AC190" s="22">
        <f t="shared" si="163"/>
        <v>30.936272317275133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203.32669758211171</v>
      </c>
      <c r="T191" s="59">
        <f t="shared" si="142"/>
        <v>217.57508587672368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27.916355681443722</v>
      </c>
      <c r="AA191" s="21">
        <f>EXP(-LN(2)/25)*AA190+(1-EXP(-LN(2)/25))/(LN(2)/25)*Calculateur!V191*Calculateur!X191*VLOOKUP('Données projet'!$B$9,Paramètres!$A$1:$I$89,3,0)*0.475*44/12</f>
        <v>2.3942335266845469</v>
      </c>
      <c r="AB191" s="21">
        <f>EXP(-LN(2)/2)*AB190+(1-EXP(-LN(2)/2))/(LN(2)/2)*V191*Y191*VLOOKUP('Données projet'!$B$9,Paramètres!$A$1:$I$89,3,0)*0.475*44/12</f>
        <v>2.1796582463427031E-22</v>
      </c>
      <c r="AC191" s="22">
        <f t="shared" si="163"/>
        <v>30.31058920812827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203.32669758211171</v>
      </c>
      <c r="T192" s="59">
        <f t="shared" si="142"/>
        <v>217.57508587672368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27.368932973826272</v>
      </c>
      <c r="AA192" s="21">
        <f>EXP(-LN(2)/25)*AA191+(1-EXP(-LN(2)/25))/(LN(2)/25)*Calculateur!V192*Calculateur!X192*VLOOKUP('Données projet'!$B$9,Paramètres!$A$1:$I$89,3,0)*0.475*44/12</f>
        <v>2.3287630849900891</v>
      </c>
      <c r="AB192" s="21">
        <f>EXP(-LN(2)/2)*AB191+(1-EXP(-LN(2)/2))/(LN(2)/2)*V192*Y192*VLOOKUP('Données projet'!$B$9,Paramètres!$A$1:$I$89,3,0)*0.475*44/12</f>
        <v>1.5412511266581037E-22</v>
      </c>
      <c r="AC192" s="22">
        <f t="shared" si="163"/>
        <v>29.697696058816362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203.32669758211171</v>
      </c>
      <c r="T193" s="59">
        <f t="shared" si="142"/>
        <v>217.57508587672368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26.832244891610316</v>
      </c>
      <c r="AA193" s="21">
        <f>EXP(-LN(2)/25)*AA192+(1-EXP(-LN(2)/25))/(LN(2)/25)*Calculateur!V193*Calculateur!X193*VLOOKUP('Données projet'!$B$9,Paramètres!$A$1:$I$89,3,0)*0.475*44/12</f>
        <v>2.2650829359667068</v>
      </c>
      <c r="AB193" s="21">
        <f>EXP(-LN(2)/2)*AB192+(1-EXP(-LN(2)/2))/(LN(2)/2)*V193*Y193*VLOOKUP('Données projet'!$B$9,Paramètres!$A$1:$I$89,3,0)*0.475*44/12</f>
        <v>1.0898291231713515E-22</v>
      </c>
      <c r="AC193" s="22">
        <f t="shared" si="163"/>
        <v>29.097327827577022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203.32669758211171</v>
      </c>
      <c r="T194" s="59">
        <f t="shared" si="142"/>
        <v>217.57508587672368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26.306080935339207</v>
      </c>
      <c r="AA194" s="21">
        <f>EXP(-LN(2)/25)*AA193+(1-EXP(-LN(2)/25))/(LN(2)/25)*Calculateur!V194*Calculateur!X194*VLOOKUP('Données projet'!$B$9,Paramètres!$A$1:$I$89,3,0)*0.475*44/12</f>
        <v>2.2031441239671627</v>
      </c>
      <c r="AB194" s="21">
        <f>EXP(-LN(2)/2)*AB193+(1-EXP(-LN(2)/2))/(LN(2)/2)*V194*Y194*VLOOKUP('Données projet'!$B$9,Paramètres!$A$1:$I$89,3,0)*0.475*44/12</f>
        <v>7.7062556332905184E-23</v>
      </c>
      <c r="AC194" s="22">
        <f t="shared" si="163"/>
        <v>28.50922505930637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203.32669758211171</v>
      </c>
      <c r="T195" s="59">
        <f t="shared" si="142"/>
        <v>217.57508587672368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25.790234733322251</v>
      </c>
      <c r="AA195" s="21">
        <f>EXP(-LN(2)/25)*AA194+(1-EXP(-LN(2)/25))/(LN(2)/25)*Calculateur!V195*Calculateur!X195*VLOOKUP('Données projet'!$B$9,Paramètres!$A$1:$I$89,3,0)*0.475*44/12</f>
        <v>2.1428990320389665</v>
      </c>
      <c r="AB195" s="21">
        <f>EXP(-LN(2)/2)*AB194+(1-EXP(-LN(2)/2))/(LN(2)/2)*V195*Y195*VLOOKUP('Données projet'!$B$9,Paramètres!$A$1:$I$89,3,0)*0.475*44/12</f>
        <v>5.4491456158567576E-23</v>
      </c>
      <c r="AC195" s="22">
        <f t="shared" si="163"/>
        <v>27.933133765361216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203.32669758211171</v>
      </c>
      <c r="T196" s="59">
        <f t="shared" si="142"/>
        <v>217.57508587672368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25.284503960691733</v>
      </c>
      <c r="AA196" s="21">
        <f>EXP(-LN(2)/25)*AA195+(1-EXP(-LN(2)/25))/(LN(2)/25)*Calculateur!V196*Calculateur!X196*VLOOKUP('Données projet'!$B$9,Paramètres!$A$1:$I$89,3,0)*0.475*44/12</f>
        <v>2.0843013453176984</v>
      </c>
      <c r="AB196" s="21">
        <f>EXP(-LN(2)/2)*AB195+(1-EXP(-LN(2)/2))/(LN(2)/2)*V196*Y196*VLOOKUP('Données projet'!$B$9,Paramètres!$A$1:$I$89,3,0)*0.475*44/12</f>
        <v>3.8531278166452592E-23</v>
      </c>
      <c r="AC196" s="22">
        <f t="shared" si="163"/>
        <v>27.368805306009431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203.32669758211171</v>
      </c>
      <c r="T197" s="59">
        <f t="shared" ref="T197:T203" si="204">$T$3</f>
        <v>217.57508587672368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24.788690260047186</v>
      </c>
      <c r="AA197" s="21">
        <f>EXP(-LN(2)/25)*AA196+(1-EXP(-LN(2)/25))/(LN(2)/25)*Calculateur!V197*Calculateur!X197*VLOOKUP('Données projet'!$B$9,Paramètres!$A$1:$I$89,3,0)*0.475*44/12</f>
        <v>2.0273060154213418</v>
      </c>
      <c r="AB197" s="21">
        <f>EXP(-LN(2)/2)*AB196+(1-EXP(-LN(2)/2))/(LN(2)/2)*V197*Y197*VLOOKUP('Données projet'!$B$9,Paramètres!$A$1:$I$89,3,0)*0.475*44/12</f>
        <v>2.7245728079283788E-23</v>
      </c>
      <c r="AC197" s="22">
        <f t="shared" si="163"/>
        <v>26.815996275468528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203.32669758211171</v>
      </c>
      <c r="T198" s="59">
        <f t="shared" si="204"/>
        <v>217.57508587672368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24.302599163655781</v>
      </c>
      <c r="AA198" s="21">
        <f>EXP(-LN(2)/25)*AA197+(1-EXP(-LN(2)/25))/(LN(2)/25)*Calculateur!V198*Calculateur!X198*VLOOKUP('Données projet'!$B$9,Paramètres!$A$1:$I$89,3,0)*0.475*44/12</f>
        <v>1.9718692258182553</v>
      </c>
      <c r="AB198" s="21">
        <f>EXP(-LN(2)/2)*AB197+(1-EXP(-LN(2)/2))/(LN(2)/2)*V198*Y198*VLOOKUP('Données projet'!$B$9,Paramètres!$A$1:$I$89,3,0)*0.475*44/12</f>
        <v>1.9265639083226296E-23</v>
      </c>
      <c r="AC198" s="22">
        <f t="shared" si="163"/>
        <v>26.274468389474038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203.32669758211171</v>
      </c>
      <c r="T199" s="59">
        <f t="shared" si="204"/>
        <v>217.57508587672368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23.826040017178318</v>
      </c>
      <c r="AA199" s="21">
        <f>EXP(-LN(2)/25)*AA198+(1-EXP(-LN(2)/25))/(LN(2)/25)*Calculateur!V199*Calculateur!X199*VLOOKUP('Données projet'!$B$9,Paramètres!$A$1:$I$89,3,0)*0.475*44/12</f>
        <v>1.9179483581421592</v>
      </c>
      <c r="AB199" s="21">
        <f>EXP(-LN(2)/2)*AB198+(1-EXP(-LN(2)/2))/(LN(2)/2)*V199*Y199*VLOOKUP('Données projet'!$B$9,Paramètres!$A$1:$I$89,3,0)*0.475*44/12</f>
        <v>1.3622864039641894E-23</v>
      </c>
      <c r="AC199" s="22">
        <f t="shared" si="163"/>
        <v>25.743988375320477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203.32669758211171</v>
      </c>
      <c r="T200" s="59">
        <f t="shared" si="204"/>
        <v>217.57508587672368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23.358825904890903</v>
      </c>
      <c r="AA200" s="21">
        <f>EXP(-LN(2)/25)*AA199+(1-EXP(-LN(2)/25))/(LN(2)/25)*Calculateur!V200*Calculateur!X200*VLOOKUP('Données projet'!$B$9,Paramètres!$A$1:$I$89,3,0)*0.475*44/12</f>
        <v>1.8655019594282414</v>
      </c>
      <c r="AB200" s="21">
        <f>EXP(-LN(2)/2)*AB199+(1-EXP(-LN(2)/2))/(LN(2)/2)*V200*Y200*VLOOKUP('Données projet'!$B$9,Paramètres!$A$1:$I$89,3,0)*0.475*44/12</f>
        <v>9.632819541613148E-24</v>
      </c>
      <c r="AC200" s="22">
        <f t="shared" si="163"/>
        <v>25.224327864319143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203.32669758211171</v>
      </c>
      <c r="T201" s="59">
        <f t="shared" si="204"/>
        <v>217.57508587672368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22.900773576372973</v>
      </c>
      <c r="AA201" s="21">
        <f>EXP(-LN(2)/25)*AA200+(1-EXP(-LN(2)/25))/(LN(2)/25)*Calculateur!V201*Calculateur!X201*VLOOKUP('Données projet'!$B$9,Paramètres!$A$1:$I$89,3,0)*0.475*44/12</f>
        <v>1.8144897102451918</v>
      </c>
      <c r="AB201" s="21">
        <f>EXP(-LN(2)/2)*AB200+(1-EXP(-LN(2)/2))/(LN(2)/2)*V201*Y201*VLOOKUP('Données projet'!$B$9,Paramètres!$A$1:$I$89,3,0)*0.475*44/12</f>
        <v>6.8114320198209471E-24</v>
      </c>
      <c r="AC201" s="22">
        <f t="shared" si="163"/>
        <v>24.715263286618164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203.32669758211171</v>
      </c>
      <c r="T202" s="59">
        <f t="shared" si="204"/>
        <v>217.57508587672368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22.451703374632945</v>
      </c>
      <c r="AA202" s="21">
        <f>EXP(-LN(2)/25)*AA201+(1-EXP(-LN(2)/25))/(LN(2)/25)*Calculateur!V202*Calculateur!X202*VLOOKUP('Données projet'!$B$9,Paramètres!$A$1:$I$89,3,0)*0.475*44/12</f>
        <v>1.7648723936986703</v>
      </c>
      <c r="AB202" s="21">
        <f>EXP(-LN(2)/2)*AB201+(1-EXP(-LN(2)/2))/(LN(2)/2)*V202*Y202*VLOOKUP('Données projet'!$B$9,Paramètres!$A$1:$I$89,3,0)*0.475*44/12</f>
        <v>4.816409770806574E-24</v>
      </c>
      <c r="AC202" s="22">
        <f t="shared" si="163"/>
        <v>24.216575768331616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9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203.32669758211171</v>
      </c>
      <c r="T203" s="59">
        <f t="shared" si="204"/>
        <v>217.57508587672368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22.011439165643264</v>
      </c>
      <c r="AA203" s="21">
        <f>EXP(-LN(2)/25)*AA202+(1-EXP(-LN(2)/25))/(LN(2)/25)*Calculateur!V203*Calculateur!X203*VLOOKUP('Données projet'!$B$9,Paramètres!$A$1:$I$89,3,0)*0.475*44/12</f>
        <v>1.7166118652823747</v>
      </c>
      <c r="AB203" s="21">
        <f>EXP(-LN(2)/2)*AB202+(1-EXP(-LN(2)/2))/(LN(2)/2)*V203*Y203*VLOOKUP('Données projet'!$B$9,Paramètres!$A$1:$I$89,3,0)*0.475*44/12</f>
        <v>3.4057160099104735E-24</v>
      </c>
      <c r="AC203" s="22">
        <f t="shared" si="163"/>
        <v>23.728051030925638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9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9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1.244502252163008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4.3" x14ac:dyDescent="0.25"/>
  <cols>
    <col min="1" max="1" width="23.5" style="4" bestFit="1" customWidth="1"/>
    <col min="2" max="2" width="27.625" style="4" bestFit="1" customWidth="1"/>
    <col min="3" max="3" width="11.875" style="4" bestFit="1" customWidth="1"/>
    <col min="4" max="4" width="40" style="4" bestFit="1" customWidth="1"/>
    <col min="5" max="5" width="11.875" style="4" bestFit="1" customWidth="1"/>
    <col min="6" max="6" width="13.625" style="4" bestFit="1" customWidth="1"/>
    <col min="7" max="7" width="11.5" style="4" bestFit="1" customWidth="1"/>
    <col min="8" max="8" width="39" style="4" bestFit="1" customWidth="1"/>
    <col min="9" max="9" width="16.625" style="4" customWidth="1"/>
    <col min="10" max="14" width="11.5" style="4"/>
    <col min="15" max="15" width="23.5" style="4" bestFit="1" customWidth="1"/>
    <col min="16" max="16384" width="11.5" style="4"/>
  </cols>
  <sheetData>
    <row r="1" spans="1:16" ht="43.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4.9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4.9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4.9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4.9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4.9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9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zoomScale="90" zoomScaleNormal="90" workbookViewId="0">
      <selection activeCell="J27" sqref="J27"/>
    </sheetView>
  </sheetViews>
  <sheetFormatPr baseColWidth="10" defaultColWidth="11.5" defaultRowHeight="14.3" x14ac:dyDescent="0.25"/>
  <cols>
    <col min="1" max="1" width="22.87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4.9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9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Pin laricio</v>
      </c>
      <c r="B6" s="146">
        <f>'Données projet'!D9</f>
        <v>3.8</v>
      </c>
      <c r="C6" s="147">
        <f ca="1">IF(OR('Données projet'!B9="",'Données projet'!C9="",'Données projet'!C9=0%),0,Calculateur!S3)</f>
        <v>203.32669758211171</v>
      </c>
      <c r="D6" s="147">
        <f>IF(OR('Données projet'!B9="",'Données projet'!C9="",'Données projet'!C9=0%),0,Calculateur!T3)</f>
        <v>217.57508587672368</v>
      </c>
      <c r="E6" s="147">
        <f ca="1">MIN(C6,D6)</f>
        <v>203.32669758211171</v>
      </c>
      <c r="F6" s="147">
        <f ca="1">E6*B6</f>
        <v>772.64145081202446</v>
      </c>
      <c r="G6" s="147">
        <f ca="1">F6*(100%-'Données projet'!$C$24)*(100%-'Données projet'!$C$25)*(100%-'Données projet'!$C$26)*(100%-'Données projet'!$C$27)</f>
        <v>625.83957515773989</v>
      </c>
      <c r="H6" s="148">
        <f>IF(OR('Données projet'!B9="",'Données projet'!C9="",'Données projet'!C9=0%),0,AVERAGE(Calculateur!$AC$3:$AC$33)*B6)</f>
        <v>10.554027955112321</v>
      </c>
      <c r="I6" s="149">
        <f>H6*(100%-'Données projet'!$C$24)*(100%-'Données projet'!$C$25)*(100%-'Données projet'!$C$26)*(100%-'Données projet'!$C$27)</f>
        <v>8.5487626436409823</v>
      </c>
      <c r="J6" s="150">
        <f>IF(OR('Données projet'!B9="",'Données projet'!C9="",'Données projet'!C9=0%),0,SUM(Calculateur!$V$3:$V$33)*VLOOKUP('Données projet'!$B$9,Paramètres!$A$1:$I$89,9,0)*B6)</f>
        <v>109.47799999999999</v>
      </c>
      <c r="K6" s="151">
        <f>J6*(100%-'Données projet'!$C$24)*(100%-'Données projet'!$C$25)*(100%-'Données projet'!$C$26)*(100%-'Données projet'!$C$27)</f>
        <v>88.677179999999993</v>
      </c>
      <c r="L6" s="152">
        <f ca="1">G6+I6+K6</f>
        <v>723.06551780138091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9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95" thickBot="1" x14ac:dyDescent="0.3">
      <c r="A16" s="209"/>
      <c r="B16" s="213"/>
      <c r="C16" s="214"/>
      <c r="D16" s="23"/>
      <c r="E16" s="23"/>
      <c r="F16" s="165">
        <f t="shared" ref="F16:L16" ca="1" si="3">SUM(F6:F15)</f>
        <v>772.64145081202446</v>
      </c>
      <c r="G16" s="166">
        <f t="shared" ca="1" si="3"/>
        <v>625.83957515773989</v>
      </c>
      <c r="H16" s="167">
        <f t="shared" si="3"/>
        <v>10.554027955112321</v>
      </c>
      <c r="I16" s="167">
        <f t="shared" si="3"/>
        <v>8.5487626436409823</v>
      </c>
      <c r="J16" s="168">
        <f t="shared" si="3"/>
        <v>109.47799999999999</v>
      </c>
      <c r="K16" s="168">
        <f t="shared" si="3"/>
        <v>88.677179999999993</v>
      </c>
      <c r="L16" s="169">
        <f t="shared" ca="1" si="3"/>
        <v>723.06551780138091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9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95" thickBot="1" x14ac:dyDescent="0.3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9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95" thickBot="1" x14ac:dyDescent="0.3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9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9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9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9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9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9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9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9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9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9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9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9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9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9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9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9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4" zoomScale="80" zoomScaleNormal="80" workbookViewId="0">
      <selection activeCell="O21" sqref="O21"/>
    </sheetView>
  </sheetViews>
  <sheetFormatPr baseColWidth="10" defaultColWidth="11.5" defaultRowHeight="14.3" x14ac:dyDescent="0.25"/>
  <cols>
    <col min="1" max="1" width="11.5" style="1"/>
    <col min="2" max="2" width="30.875" style="1" bestFit="1" customWidth="1"/>
    <col min="3" max="3" width="18.125" style="1" bestFit="1" customWidth="1"/>
    <col min="4" max="5" width="11.5" style="1"/>
    <col min="6" max="6" width="14" style="1" customWidth="1"/>
    <col min="7" max="7" width="17.5" style="1" customWidth="1"/>
    <col min="8" max="8" width="21.625" style="1" customWidth="1"/>
    <col min="9" max="9" width="37" style="1" customWidth="1"/>
    <col min="10" max="10" width="11.5" style="1"/>
    <col min="11" max="11" width="8.87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25" style="1" customWidth="1"/>
    <col min="21" max="21" width="16.5" style="1" customWidth="1"/>
    <col min="22" max="22" width="17.875" style="1" customWidth="1"/>
    <col min="23" max="16384" width="11.5" style="1"/>
  </cols>
  <sheetData>
    <row r="1" spans="1:42" ht="14.9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9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" customHeight="1" thickBot="1" x14ac:dyDescent="0.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1284.1202353697358</v>
      </c>
      <c r="U10" s="178">
        <f>'Données projet'!D9</f>
        <v>3.8</v>
      </c>
      <c r="V10" s="177">
        <f>U10*T10</f>
        <v>4879.6568944049959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4.9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4.9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12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350000000000001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359.99999999999989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3800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1000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8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8" customHeight="1" x14ac:dyDescent="0.25">
      <c r="A23" s="180">
        <f>'Données projet'!A36</f>
        <v>22</v>
      </c>
      <c r="B23" s="181">
        <f>'Données projet'!D36</f>
        <v>16</v>
      </c>
      <c r="C23" s="193"/>
      <c r="D23" s="182">
        <f>B23*C23</f>
        <v>0</v>
      </c>
      <c r="E23" s="193"/>
      <c r="F23" s="230"/>
      <c r="H23" s="190">
        <v>4</v>
      </c>
      <c r="I23" s="191">
        <v>500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-17201.185827361602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8" customHeight="1" x14ac:dyDescent="0.25">
      <c r="A24" s="180">
        <f>'Données projet'!A37</f>
        <v>25</v>
      </c>
      <c r="B24" s="181">
        <f>'Données projet'!D37</f>
        <v>17</v>
      </c>
      <c r="C24" s="193"/>
      <c r="D24" s="182">
        <f t="shared" ref="D24:D42" si="2">B24*C24</f>
        <v>0</v>
      </c>
      <c r="E24" s="193"/>
      <c r="F24" s="233"/>
      <c r="H24" s="190">
        <v>5</v>
      </c>
      <c r="I24" s="191">
        <v>500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365.25602121357997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8" customHeight="1" x14ac:dyDescent="0.25">
      <c r="A25" s="180">
        <f>'Données projet'!A38</f>
        <v>30</v>
      </c>
      <c r="B25" s="181">
        <f>'Données projet'!D38</f>
        <v>34</v>
      </c>
      <c r="C25" s="193">
        <v>15</v>
      </c>
      <c r="D25" s="182">
        <f t="shared" si="2"/>
        <v>510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-17566.441848575181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8" customHeight="1" x14ac:dyDescent="0.25">
      <c r="A26" s="180">
        <f>'Données projet'!A39</f>
        <v>35</v>
      </c>
      <c r="B26" s="181">
        <f>'Données projet'!D39</f>
        <v>41</v>
      </c>
      <c r="C26" s="193">
        <v>25</v>
      </c>
      <c r="D26" s="182">
        <f t="shared" si="2"/>
        <v>1025</v>
      </c>
      <c r="E26" s="193">
        <v>150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8" customHeight="1" x14ac:dyDescent="0.25">
      <c r="A27" s="180">
        <f>'Données projet'!A40</f>
        <v>40</v>
      </c>
      <c r="B27" s="181">
        <f>'Données projet'!D40</f>
        <v>41</v>
      </c>
      <c r="C27" s="193">
        <v>27</v>
      </c>
      <c r="D27" s="182">
        <f t="shared" si="2"/>
        <v>1107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8" customHeight="1" x14ac:dyDescent="0.25">
      <c r="A28" s="180">
        <f>'Données projet'!A41</f>
        <v>45</v>
      </c>
      <c r="B28" s="181">
        <f>'Données projet'!D41</f>
        <v>53</v>
      </c>
      <c r="C28" s="193">
        <v>30</v>
      </c>
      <c r="D28" s="182">
        <f t="shared" si="2"/>
        <v>1590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50</v>
      </c>
      <c r="B29" s="181">
        <f>'Données projet'!D42</f>
        <v>53</v>
      </c>
      <c r="C29" s="193">
        <v>35</v>
      </c>
      <c r="D29" s="182">
        <f t="shared" si="2"/>
        <v>1855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58</v>
      </c>
      <c r="B30" s="181">
        <f>'Données projet'!D43</f>
        <v>78</v>
      </c>
      <c r="C30" s="193">
        <v>40</v>
      </c>
      <c r="D30" s="182">
        <f t="shared" si="2"/>
        <v>3120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66</v>
      </c>
      <c r="B31" s="181">
        <f>'Données projet'!D44</f>
        <v>65</v>
      </c>
      <c r="C31" s="193">
        <v>45</v>
      </c>
      <c r="D31" s="182">
        <f t="shared" si="2"/>
        <v>2925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4.95" customHeight="1" x14ac:dyDescent="0.25">
      <c r="A32" s="180">
        <f>'Données projet'!A45</f>
        <v>74</v>
      </c>
      <c r="B32" s="181">
        <f>'Données projet'!D45</f>
        <v>37</v>
      </c>
      <c r="C32" s="193">
        <v>50</v>
      </c>
      <c r="D32" s="182">
        <f t="shared" si="2"/>
        <v>1850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82</v>
      </c>
      <c r="B33" s="181">
        <f>'Données projet'!D46</f>
        <v>567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350000000000001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4.9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4.95" customHeight="1" x14ac:dyDescent="0.2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4.95" customHeight="1" x14ac:dyDescent="0.2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4.95" customHeight="1" x14ac:dyDescent="0.2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4.95" customHeight="1" x14ac:dyDescent="0.2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4.95" customHeight="1" x14ac:dyDescent="0.2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4.95" customHeight="1" x14ac:dyDescent="0.2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8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8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8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8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8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8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8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4.9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DELTA TECHNOLOGIES</cp:lastModifiedBy>
  <dcterms:created xsi:type="dcterms:W3CDTF">2021-02-01T08:22:39Z</dcterms:created>
  <dcterms:modified xsi:type="dcterms:W3CDTF">2024-09-03T15:22:42Z</dcterms:modified>
</cp:coreProperties>
</file>