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jamin_Lefranc/Saumos (Bedin)/"/>
    </mc:Choice>
  </mc:AlternateContent>
  <xr:revisionPtr revIDLastSave="54" documentId="8_{241FA538-5DCE-4A55-93AC-0678E2818139}" xr6:coauthVersionLast="47" xr6:coauthVersionMax="47" xr10:uidLastSave="{2685510A-66CA-4CA0-9360-A8A077024328}"/>
  <bookViews>
    <workbookView xWindow="0" yWindow="-1632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6" l="1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H20" i="2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EW38" i="2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EC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I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A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HG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HI113" i="2"/>
  <c r="EW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B130" i="2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FS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X140" i="2"/>
  <c r="EB140" i="2"/>
  <c r="FS140" i="2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G141" i="2"/>
  <c r="EA141" i="2"/>
  <c r="FS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E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HG156" i="2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S164" i="2" l="1"/>
  <c r="EX164" i="2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D165" i="2" s="1"/>
  <c r="EX165" i="2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A178" i="2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HI192" i="2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HI193" i="2" l="1"/>
  <c r="FQ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EX195" i="2"/>
  <c r="AA195" i="2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EA197" i="2"/>
  <c r="FS197" i="2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EB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FZ6" i="2"/>
  <c r="EX202" i="2"/>
  <c r="HH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55" i="2" a="1"/>
  <c r="FY55" i="2" s="1"/>
  <c r="FY104" i="2" a="1"/>
  <c r="FY104" i="2" s="1"/>
  <c r="BC68" i="2" a="1"/>
  <c r="BC68" i="2" s="1"/>
  <c r="BC126" i="2" a="1"/>
  <c r="BC126" i="2" s="1"/>
  <c r="BC114" i="2" a="1"/>
  <c r="BC114" i="2" s="1"/>
  <c r="BC65" i="2" a="1"/>
  <c r="BC65" i="2" s="1"/>
  <c r="DN56" i="2" a="1"/>
  <c r="DN56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42" i="2" a="1"/>
  <c r="EI14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13" i="2" a="1"/>
  <c r="DN113" i="2" s="1"/>
  <c r="DN50" i="2" a="1"/>
  <c r="DN50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23" i="2" a="1"/>
  <c r="DN123" i="2" s="1"/>
  <c r="DN114" i="2" a="1"/>
  <c r="DN114" i="2" s="1"/>
  <c r="FY182" i="2" a="1"/>
  <c r="FY182" i="2" s="1"/>
  <c r="FD60" i="2" a="1"/>
  <c r="FD60" i="2" s="1"/>
  <c r="FD188" i="2" a="1"/>
  <c r="FD188" i="2" s="1"/>
  <c r="FD44" i="2" a="1"/>
  <c r="FD44" i="2" s="1"/>
  <c r="FD137" i="2" a="1"/>
  <c r="FD137" i="2" s="1"/>
  <c r="FD160" i="2" a="1"/>
  <c r="FD160" i="2" s="1"/>
  <c r="FD194" i="2" a="1"/>
  <c r="FD194" i="2" s="1"/>
  <c r="BC55" i="2" a="1"/>
  <c r="BC55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20" i="2" a="1"/>
  <c r="EI20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38" i="2" a="1"/>
  <c r="DN38" i="2" s="1"/>
  <c r="DN135" i="2" a="1"/>
  <c r="DN135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133" i="2" a="1"/>
  <c r="DN133" i="2" s="1"/>
  <c r="DN190" i="2" a="1"/>
  <c r="DN190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EI113" i="2" l="1" a="1"/>
  <c r="EI113" i="2" s="1"/>
  <c r="BC7" i="2" a="1"/>
  <c r="BC7" i="2" s="1"/>
  <c r="DN124" i="2" a="1"/>
  <c r="DN124" i="2" s="1"/>
  <c r="BC82" i="2" a="1"/>
  <c r="BC82" i="2" s="1"/>
  <c r="DN176" i="2" a="1"/>
  <c r="DN176" i="2" s="1"/>
  <c r="DN164" i="2" a="1"/>
  <c r="DN164" i="2" s="1"/>
  <c r="EI128" i="2" a="1"/>
  <c r="EI128" i="2" s="1"/>
  <c r="BC192" i="2" a="1"/>
  <c r="BC192" i="2" s="1"/>
  <c r="DN103" i="2" a="1"/>
  <c r="DN103" i="2" s="1"/>
  <c r="DN129" i="2" a="1"/>
  <c r="DN129" i="2" s="1"/>
  <c r="DN155" i="2" a="1"/>
  <c r="DN155" i="2" s="1"/>
  <c r="BC47" i="2" a="1"/>
  <c r="BC47" i="2" s="1"/>
  <c r="EI34" i="2" a="1"/>
  <c r="EI34" i="2" s="1"/>
  <c r="BC130" i="2" a="1"/>
  <c r="BC130" i="2" s="1"/>
  <c r="EI195" i="2" a="1"/>
  <c r="EI195" i="2" s="1"/>
  <c r="EI178" i="2" a="1"/>
  <c r="EI178" i="2" s="1"/>
  <c r="DN65" i="2" a="1"/>
  <c r="DN65" i="2" s="1"/>
  <c r="DN80" i="2" a="1"/>
  <c r="DN80" i="2" s="1"/>
  <c r="EI165" i="2" a="1"/>
  <c r="EI165" i="2" s="1"/>
  <c r="DN150" i="2" a="1"/>
  <c r="DN150" i="2" s="1"/>
  <c r="DN25" i="2" a="1"/>
  <c r="DN25" i="2" s="1"/>
  <c r="EI145" i="2" a="1"/>
  <c r="EI145" i="2" s="1"/>
  <c r="DN70" i="2" a="1"/>
  <c r="DN70" i="2" s="1"/>
  <c r="DN168" i="2" a="1"/>
  <c r="DN168" i="2" s="1"/>
  <c r="EI71" i="2" a="1"/>
  <c r="EI71" i="2" s="1"/>
  <c r="FD19" i="2" a="1"/>
  <c r="FD19" i="2" s="1"/>
  <c r="DN192" i="2" a="1"/>
  <c r="DN192" i="2" s="1"/>
  <c r="DN184" i="2" a="1"/>
  <c r="DN184" i="2" s="1"/>
  <c r="EI162" i="2" a="1"/>
  <c r="EI162" i="2" s="1"/>
  <c r="FY186" i="2" a="1"/>
  <c r="FY186" i="2" s="1"/>
  <c r="GT189" i="2" a="1"/>
  <c r="GT189" i="2" s="1"/>
  <c r="BC31" i="2" a="1"/>
  <c r="BC31" i="2" s="1"/>
  <c r="FD107" i="2" a="1"/>
  <c r="FD107" i="2" s="1"/>
  <c r="GT11" i="2" a="1"/>
  <c r="GT11" i="2" s="1"/>
  <c r="GT115" i="2" a="1"/>
  <c r="GT115" i="2" s="1"/>
  <c r="FD59" i="2" a="1"/>
  <c r="FD59" i="2" s="1"/>
  <c r="CS38" i="2" a="1"/>
  <c r="CS38" i="2" s="1"/>
  <c r="BC185" i="2" a="1"/>
  <c r="BC185" i="2" s="1"/>
  <c r="GT198" i="2" a="1"/>
  <c r="GT198" i="2" s="1"/>
  <c r="BC84" i="2" a="1"/>
  <c r="BC84" i="2" s="1"/>
  <c r="FD167" i="2" a="1"/>
  <c r="FD167" i="2" s="1"/>
  <c r="AH151" i="2" a="1"/>
  <c r="AH151" i="2" s="1"/>
  <c r="GT102" i="2" a="1"/>
  <c r="GT102" i="2" s="1"/>
  <c r="CS77" i="2" a="1"/>
  <c r="CS77" i="2" s="1"/>
  <c r="FD159" i="2" a="1"/>
  <c r="FD159" i="2" s="1"/>
  <c r="BC34" i="2" a="1"/>
  <c r="BC34" i="2" s="1"/>
  <c r="GT15" i="2" a="1"/>
  <c r="GT15" i="2" s="1"/>
  <c r="GT21" i="2" a="1"/>
  <c r="GT21" i="2" s="1"/>
  <c r="BC32" i="2" a="1"/>
  <c r="BC32" i="2" s="1"/>
  <c r="FD43" i="2" a="1"/>
  <c r="FD43" i="2" s="1"/>
  <c r="GT147" i="2" a="1"/>
  <c r="GT147" i="2" s="1"/>
  <c r="BC117" i="2" a="1"/>
  <c r="BC117" i="2" s="1"/>
  <c r="AH90" i="2" a="1"/>
  <c r="AH90" i="2" s="1"/>
  <c r="BC58" i="2" a="1"/>
  <c r="BC58" i="2" s="1"/>
  <c r="BC143" i="2" a="1"/>
  <c r="BC143" i="2" s="1"/>
  <c r="GT138" i="2" a="1"/>
  <c r="GT138" i="2" s="1"/>
  <c r="GT12" i="2" a="1"/>
  <c r="GT12" i="2" s="1"/>
  <c r="BC164" i="2" a="1"/>
  <c r="BC164" i="2" s="1"/>
  <c r="FD48" i="2" a="1"/>
  <c r="FD48" i="2" s="1"/>
  <c r="GT152" i="2" a="1"/>
  <c r="GT152" i="2" s="1"/>
  <c r="BC181" i="2" a="1"/>
  <c r="BC181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<sst xmlns="http://schemas.openxmlformats.org/spreadsheetml/2006/main" count="1171" uniqueCount="324">
  <si>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</si>
  <si>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</si>
  <si>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</si>
  <si>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</si>
  <si>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</si>
  <si>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</si>
  <si>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</si>
  <si>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</si>
  <si>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</si>
  <si>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</si>
  <si>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</si>
  <si>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</si>
  <si>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</si>
  <si>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</si>
  <si>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</si>
  <si>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</si>
  <si>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</si>
  <si>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</si>
  <si>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</si>
  <si>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 pédonculé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</si>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</sst>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14" borderId="1" xfId="1" quotePrefix="1" applyNumberFormat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6.9531722868042047</c:v>
                </c:pt>
                <c:pt idx="2">
                  <c:v>13.593881088569377</c:v>
                </c:pt>
                <c:pt idx="3">
                  <c:v>20.133679869352726</c:v>
                </c:pt>
                <c:pt idx="4">
                  <c:v>26.611275365285682</c:v>
                </c:pt>
                <c:pt idx="5">
                  <c:v>33.044210738073737</c:v>
                </c:pt>
                <c:pt idx="6">
                  <c:v>39.442493339601157</c:v>
                </c:pt>
                <c:pt idx="7">
                  <c:v>45.812574522687839</c:v>
                </c:pt>
                <c:pt idx="8">
                  <c:v>52.158947909272079</c:v>
                </c:pt>
                <c:pt idx="9">
                  <c:v>58.484916368641969</c:v>
                </c:pt>
                <c:pt idx="10">
                  <c:v>64.793005740631131</c:v>
                </c:pt>
                <c:pt idx="11">
                  <c:v>71.085207464386301</c:v>
                </c:pt>
                <c:pt idx="12">
                  <c:v>77.363130131500569</c:v>
                </c:pt>
                <c:pt idx="13">
                  <c:v>83.628098946854934</c:v>
                </c:pt>
                <c:pt idx="14">
                  <c:v>89.881223656092615</c:v>
                </c:pt>
                <c:pt idx="15">
                  <c:v>96.123446486418871</c:v>
                </c:pt>
                <c:pt idx="16">
                  <c:v>102.35557692725934</c:v>
                </c:pt>
                <c:pt idx="17">
                  <c:v>108.57831756280014</c:v>
                </c:pt>
                <c:pt idx="18">
                  <c:v>114.79228365091221</c:v>
                </c:pt>
                <c:pt idx="19">
                  <c:v>120.99801822646789</c:v>
                </c:pt>
                <c:pt idx="20">
                  <c:v>127.19600393430403</c:v>
                </c:pt>
                <c:pt idx="21">
                  <c:v>133.38667242833733</c:v>
                </c:pt>
                <c:pt idx="22">
                  <c:v>139.57041192964692</c:v>
                </c:pt>
                <c:pt idx="23">
                  <c:v>145.7475733715149</c:v>
                </c:pt>
                <c:pt idx="24">
                  <c:v>151.91847544560804</c:v>
                </c:pt>
                <c:pt idx="25">
                  <c:v>158.08340878343108</c:v>
                </c:pt>
                <c:pt idx="26">
                  <c:v>164.24263944991466</c:v>
                </c:pt>
                <c:pt idx="27">
                  <c:v>170.3964118844107</c:v>
                </c:pt>
                <c:pt idx="28">
                  <c:v>176.54495139373617</c:v>
                </c:pt>
                <c:pt idx="29">
                  <c:v>182.6884662790599</c:v>
                </c:pt>
                <c:pt idx="30">
                  <c:v>188.82714966118343</c:v>
                </c:pt>
                <c:pt idx="31">
                  <c:v>194.96118105561479</c:v>
                </c:pt>
                <c:pt idx="32">
                  <c:v>201.09072773869741</c:v>
                </c:pt>
                <c:pt idx="33">
                  <c:v>207.21594593817625</c:v>
                </c:pt>
                <c:pt idx="34">
                  <c:v>213.33698187539804</c:v>
                </c:pt>
                <c:pt idx="35">
                  <c:v>219.45397268145413</c:v>
                </c:pt>
                <c:pt idx="36">
                  <c:v>225.5670472056787</c:v>
                </c:pt>
                <c:pt idx="37">
                  <c:v>231.67632673178801</c:v>
                </c:pt>
                <c:pt idx="38">
                  <c:v>237.78192561442276</c:v>
                </c:pt>
                <c:pt idx="39">
                  <c:v>136.41628597469057</c:v>
                </c:pt>
                <c:pt idx="40">
                  <c:v>149.24264859121146</c:v>
                </c:pt>
                <c:pt idx="41">
                  <c:v>162.04271517617812</c:v>
                </c:pt>
                <c:pt idx="42">
                  <c:v>174.81885718260855</c:v>
                </c:pt>
                <c:pt idx="43">
                  <c:v>187.57307060638823</c:v>
                </c:pt>
                <c:pt idx="44">
                  <c:v>200.30705748681831</c:v>
                </c:pt>
                <c:pt idx="45">
                  <c:v>213.02228554617542</c:v>
                </c:pt>
                <c:pt idx="46">
                  <c:v>166.77010100964296</c:v>
                </c:pt>
                <c:pt idx="47">
                  <c:v>179.61314525063028</c:v>
                </c:pt>
                <c:pt idx="48">
                  <c:v>192.43467952080411</c:v>
                </c:pt>
                <c:pt idx="49">
                  <c:v>205.23633973065651</c:v>
                </c:pt>
                <c:pt idx="50">
                  <c:v>218.01954083107276</c:v>
                </c:pt>
                <c:pt idx="51">
                  <c:v>230.78551814650066</c:v>
                </c:pt>
                <c:pt idx="52">
                  <c:v>243.53535906870204</c:v>
                </c:pt>
                <c:pt idx="53">
                  <c:v>196.18744401776064</c:v>
                </c:pt>
                <c:pt idx="54">
                  <c:v>208.72035405528717</c:v>
                </c:pt>
                <c:pt idx="55">
                  <c:v>221.23589608078166</c:v>
                </c:pt>
                <c:pt idx="56">
                  <c:v>233.73519154924239</c:v>
                </c:pt>
                <c:pt idx="57">
                  <c:v>246.21923208531049</c:v>
                </c:pt>
                <c:pt idx="58">
                  <c:v>258.68890047653105</c:v>
                </c:pt>
                <c:pt idx="59">
                  <c:v>271.14498740234359</c:v>
                </c:pt>
                <c:pt idx="60">
                  <c:v>228.4272371818362</c:v>
                </c:pt>
                <c:pt idx="61">
                  <c:v>240.65903387414687</c:v>
                </c:pt>
                <c:pt idx="62">
                  <c:v>252.87668267298844</c:v>
                </c:pt>
                <c:pt idx="63">
                  <c:v>265.08096375568567</c:v>
                </c:pt>
                <c:pt idx="64">
                  <c:v>277.27257955233415</c:v>
                </c:pt>
                <c:pt idx="65">
                  <c:v>289.45216564481711</c:v>
                </c:pt>
                <c:pt idx="66">
                  <c:v>301.62029973398234</c:v>
                </c:pt>
                <c:pt idx="67">
                  <c:v>313.7775090831193</c:v>
                </c:pt>
                <c:pt idx="68">
                  <c:v>271.02327341234633</c:v>
                </c:pt>
                <c:pt idx="69">
                  <c:v>283.00918781785339</c:v>
                </c:pt>
                <c:pt idx="70">
                  <c:v>294.98373371344525</c:v>
                </c:pt>
                <c:pt idx="71">
                  <c:v>306.94743780074992</c:v>
                </c:pt>
                <c:pt idx="72">
                  <c:v>318.90078235378616</c:v>
                </c:pt>
                <c:pt idx="73">
                  <c:v>330.84421052687514</c:v>
                </c:pt>
                <c:pt idx="74">
                  <c:v>342.77813085566481</c:v>
                </c:pt>
                <c:pt idx="75">
                  <c:v>354.70292109832189</c:v>
                </c:pt>
                <c:pt idx="76">
                  <c:v>311.09383903447878</c:v>
                </c:pt>
                <c:pt idx="77">
                  <c:v>322.76946331317953</c:v>
                </c:pt>
                <c:pt idx="78">
                  <c:v>334.43575114475726</c:v>
                </c:pt>
                <c:pt idx="79">
                  <c:v>346.0930742238574</c:v>
                </c:pt>
                <c:pt idx="80">
                  <c:v>357.74177715366591</c:v>
                </c:pt>
                <c:pt idx="81">
                  <c:v>369.38218025719328</c:v>
                </c:pt>
                <c:pt idx="82">
                  <c:v>381.01458201557739</c:v>
                </c:pt>
                <c:pt idx="83">
                  <c:v>392.63926119299975</c:v>
                </c:pt>
                <c:pt idx="84">
                  <c:v>341.18094178328926</c:v>
                </c:pt>
                <c:pt idx="85">
                  <c:v>352.52496369134724</c:v>
                </c:pt>
                <c:pt idx="86">
                  <c:v>363.86098607253956</c:v>
                </c:pt>
                <c:pt idx="87">
                  <c:v>375.1892933517542</c:v>
                </c:pt>
                <c:pt idx="88">
                  <c:v>386.51015137164194</c:v>
                </c:pt>
                <c:pt idx="89">
                  <c:v>397.8238091269846</c:v>
                </c:pt>
                <c:pt idx="90">
                  <c:v>409.1305002914321</c:v>
                </c:pt>
                <c:pt idx="91">
                  <c:v>420.430444566635</c:v>
                </c:pt>
                <c:pt idx="92">
                  <c:v>431.72384887875131</c:v>
                </c:pt>
                <c:pt idx="93">
                  <c:v>443.01090844321203</c:v>
                </c:pt>
                <c:pt idx="94">
                  <c:v>370.00730257525532</c:v>
                </c:pt>
                <c:pt idx="95">
                  <c:v>380.94957966899182</c:v>
                </c:pt>
                <c:pt idx="96">
                  <c:v>391.88502192144148</c:v>
                </c:pt>
                <c:pt idx="97">
                  <c:v>402.81384699406954</c:v>
                </c:pt>
                <c:pt idx="98">
                  <c:v>413.73625977072129</c:v>
                </c:pt>
                <c:pt idx="99">
                  <c:v>424.65245343245579</c:v>
                </c:pt>
                <c:pt idx="100">
                  <c:v>435.56261041607996</c:v>
                </c:pt>
                <c:pt idx="101">
                  <c:v>446.46690327162554</c:v>
                </c:pt>
                <c:pt idx="102">
                  <c:v>457.36549543168127</c:v>
                </c:pt>
                <c:pt idx="103">
                  <c:v>468.2585419035708</c:v>
                </c:pt>
                <c:pt idx="104">
                  <c:v>395.19378368716383</c:v>
                </c:pt>
                <c:pt idx="105">
                  <c:v>405.79206108294397</c:v>
                </c:pt>
                <c:pt idx="106">
                  <c:v>416.38435679155356</c:v>
                </c:pt>
                <c:pt idx="107">
                  <c:v>426.97084446942858</c:v>
                </c:pt>
                <c:pt idx="108">
                  <c:v>437.55168845698216</c:v>
                </c:pt>
                <c:pt idx="109">
                  <c:v>448.12704449639205</c:v>
                </c:pt>
                <c:pt idx="110">
                  <c:v>458.69706037809374</c:v>
                </c:pt>
                <c:pt idx="111">
                  <c:v>469.26187652457361</c:v>
                </c:pt>
                <c:pt idx="112">
                  <c:v>479.82162651884596</c:v>
                </c:pt>
                <c:pt idx="113">
                  <c:v>490.37643758398525</c:v>
                </c:pt>
                <c:pt idx="114">
                  <c:v>416.5577450715798</c:v>
                </c:pt>
                <c:pt idx="115">
                  <c:v>427.04658930280146</c:v>
                </c:pt>
                <c:pt idx="116">
                  <c:v>437.52989453728406</c:v>
                </c:pt>
                <c:pt idx="117">
                  <c:v>448.00781222838845</c:v>
                </c:pt>
                <c:pt idx="118">
                  <c:v>458.48048616583804</c:v>
                </c:pt>
                <c:pt idx="119">
                  <c:v>468.94805303344674</c:v>
                </c:pt>
                <c:pt idx="120">
                  <c:v>479.41064291445258</c:v>
                </c:pt>
                <c:pt idx="121">
                  <c:v>489.86837975043773</c:v>
                </c:pt>
                <c:pt idx="122">
                  <c:v>500.32138175902128</c:v>
                </c:pt>
                <c:pt idx="123">
                  <c:v>510.76976181482604</c:v>
                </c:pt>
                <c:pt idx="124">
                  <c:v>266.69292797442534</c:v>
                </c:pt>
                <c:pt idx="125">
                  <c:v>272.59386920439056</c:v>
                </c:pt>
                <c:pt idx="126">
                  <c:v>189.12519442119142</c:v>
                </c:pt>
                <c:pt idx="127">
                  <c:v>193.19738337154544</c:v>
                </c:pt>
                <c:pt idx="128">
                  <c:v>138.71490367130417</c:v>
                </c:pt>
                <c:pt idx="129">
                  <c:v>141.7204012373883</c:v>
                </c:pt>
                <c:pt idx="130">
                  <c:v>144.72437035802849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defaultColWidth="11.42578125" defaultRowHeight="14.45"/>
  <cols>
    <col min="1" max="1" width="6.7109375" customWidth="1"/>
    <col min="2" max="13" width="15.85546875" customWidth="1"/>
  </cols>
  <sheetData>
    <row r="12" spans="2:13" ht="15" customHeight="1">
      <c r="B12" s="258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>
      <c r="B18" s="258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9" sqref="E9"/>
    </sheetView>
  </sheetViews>
  <sheetFormatPr defaultColWidth="11.42578125" defaultRowHeight="14.4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>
      <c r="A1" s="4"/>
      <c r="B1" s="4"/>
      <c r="C1" s="259" t="s">
        <v>2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5" thickBot="1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">
      <c r="A5" s="269" t="s">
        <v>7</v>
      </c>
      <c r="B5" s="269"/>
      <c r="C5" s="24">
        <v>7.4673999999999996</v>
      </c>
      <c r="D5" s="270" t="s">
        <v>8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">
      <c r="A7" s="268" t="s">
        <v>9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 t="s">
        <v>16</v>
      </c>
      <c r="C9" s="32">
        <v>0.95</v>
      </c>
      <c r="D9" s="33">
        <f t="shared" ref="D9:D18" si="0">C9*$C$5</f>
        <v>7.0940299999999992</v>
      </c>
      <c r="E9" s="257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18</v>
      </c>
      <c r="B10" s="31" t="s">
        <v>19</v>
      </c>
      <c r="C10" s="32">
        <v>0.05</v>
      </c>
      <c r="D10" s="33">
        <f t="shared" si="0"/>
        <v>0.37336999999999998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28</v>
      </c>
      <c r="C19" s="37">
        <f>SUM(C9:C18)</f>
        <v>1</v>
      </c>
      <c r="D19" s="38">
        <f>SUM(D9:D18)</f>
        <v>7.4673999999999996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7" t="s">
        <v>29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35</v>
      </c>
      <c r="B26" s="42" t="s">
        <v>36</v>
      </c>
      <c r="C26" s="43">
        <v>0.15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8" t="s">
        <v>41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>Pin maritime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43</v>
      </c>
      <c r="C34" s="260" t="s">
        <v>44</v>
      </c>
      <c r="D34" s="260"/>
      <c r="E34" s="261" t="s">
        <v>45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18</v>
      </c>
      <c r="B58" s="52" t="str">
        <f>IF(B10="","",B10)</f>
        <v>Chêne pédonculé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43</v>
      </c>
      <c r="C60" s="260" t="s">
        <v>44</v>
      </c>
      <c r="D60" s="260"/>
      <c r="E60" s="261" t="s">
        <v>45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38</v>
      </c>
      <c r="B62" s="60">
        <v>127.88461538461539</v>
      </c>
      <c r="C62" s="60">
        <v>1</v>
      </c>
      <c r="D62" s="60">
        <v>62.551282051282051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3.3653846153846154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45</v>
      </c>
      <c r="B63" s="60">
        <v>114.24999999999999</v>
      </c>
      <c r="C63" s="60">
        <v>2</v>
      </c>
      <c r="D63" s="60">
        <v>32.397435897435898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6.9880952380952346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52</v>
      </c>
      <c r="B64" s="60">
        <v>131.05769230769229</v>
      </c>
      <c r="C64" s="60">
        <v>3</v>
      </c>
      <c r="D64" s="60">
        <v>32.942307692307693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7.0293040293040292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59</v>
      </c>
      <c r="B65" s="60">
        <v>146.30769230769232</v>
      </c>
      <c r="C65" s="60">
        <v>4</v>
      </c>
      <c r="D65" s="60">
        <v>30.320512820512818</v>
      </c>
      <c r="E65" s="51">
        <v>0.7</v>
      </c>
      <c r="F65" s="51">
        <v>0</v>
      </c>
      <c r="G65" s="51">
        <v>0</v>
      </c>
      <c r="H65" s="51">
        <v>0.3</v>
      </c>
      <c r="I65" s="49">
        <f>IF(A65&lt;&gt;0,(B65-(B64-D64))/(A65-A64),"")</f>
        <v>6.8846153846153886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67</v>
      </c>
      <c r="B66" s="60">
        <v>169.92307692307691</v>
      </c>
      <c r="C66" s="60">
        <v>5</v>
      </c>
      <c r="D66" s="60">
        <v>30.314102564102562</v>
      </c>
      <c r="E66" s="51">
        <v>0.7</v>
      </c>
      <c r="F66" s="51">
        <v>0</v>
      </c>
      <c r="G66" s="51">
        <v>0</v>
      </c>
      <c r="H66" s="51">
        <v>0.3</v>
      </c>
      <c r="I66" s="49">
        <f t="shared" ref="I66:I81" si="2">IF(A66&lt;&gt;0,(B66-(B65-D65))/(A66-A65),"")</f>
        <v>6.7419871794871753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75</v>
      </c>
      <c r="B67" s="60">
        <v>192.66025641025641</v>
      </c>
      <c r="C67" s="60">
        <v>6</v>
      </c>
      <c r="D67" s="60">
        <v>30.705128205128204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6.6314102564102591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83</v>
      </c>
      <c r="B68" s="60">
        <v>213.78846153846152</v>
      </c>
      <c r="C68" s="60">
        <v>7</v>
      </c>
      <c r="D68" s="60">
        <v>34.955128205128204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6.4791666666666643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>
        <v>93</v>
      </c>
      <c r="B69" s="50">
        <v>241.91025641025641</v>
      </c>
      <c r="C69" s="50">
        <v>8</v>
      </c>
      <c r="D69" s="50">
        <v>46.826923076923073</v>
      </c>
      <c r="E69" s="51">
        <v>0.9</v>
      </c>
      <c r="F69" s="51">
        <v>0</v>
      </c>
      <c r="G69" s="51">
        <v>0</v>
      </c>
      <c r="H69" s="51">
        <v>0.1</v>
      </c>
      <c r="I69" s="49">
        <f t="shared" si="2"/>
        <v>6.3076923076923093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>
        <v>103</v>
      </c>
      <c r="B70" s="50">
        <v>256.03205128205127</v>
      </c>
      <c r="C70" s="50">
        <v>9</v>
      </c>
      <c r="D70" s="50">
        <v>46.730769230769234</v>
      </c>
      <c r="E70" s="51">
        <v>0.9</v>
      </c>
      <c r="F70" s="51">
        <v>0</v>
      </c>
      <c r="G70" s="51">
        <v>0</v>
      </c>
      <c r="H70" s="51">
        <v>0.1</v>
      </c>
      <c r="I70" s="49">
        <f t="shared" si="2"/>
        <v>6.0948717948717928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>
        <v>113</v>
      </c>
      <c r="B71" s="50">
        <v>268.41666666666669</v>
      </c>
      <c r="C71" s="50">
        <v>10</v>
      </c>
      <c r="D71" s="50">
        <v>47.141025641025642</v>
      </c>
      <c r="E71" s="51">
        <v>0.9</v>
      </c>
      <c r="F71" s="51">
        <v>0</v>
      </c>
      <c r="G71" s="51">
        <v>0</v>
      </c>
      <c r="H71" s="51">
        <v>0.1</v>
      </c>
      <c r="I71" s="49">
        <f t="shared" si="2"/>
        <v>5.9115384615384645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>
        <v>123</v>
      </c>
      <c r="B72" s="50">
        <v>279.84615384615381</v>
      </c>
      <c r="C72" s="50">
        <v>11</v>
      </c>
      <c r="D72" s="50">
        <v>139.2628205128205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5.8570512820512759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>
        <v>125</v>
      </c>
      <c r="B73" s="50">
        <v>147.10897435897436</v>
      </c>
      <c r="C73" s="50">
        <v>12</v>
      </c>
      <c r="D73" s="50">
        <v>48.217948717948715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3.2628205128205252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>
        <v>127</v>
      </c>
      <c r="B74" s="50">
        <v>103.35897435897436</v>
      </c>
      <c r="C74" s="50">
        <v>13</v>
      </c>
      <c r="D74" s="50">
        <v>31.423076923076923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2.2339743589743577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>
        <v>130</v>
      </c>
      <c r="B75" s="50">
        <v>76.84615384615384</v>
      </c>
      <c r="C75" s="50">
        <v>14</v>
      </c>
      <c r="D75" s="50">
        <v>76.84615384615384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1.6367521367521316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43</v>
      </c>
      <c r="C86" s="260" t="s">
        <v>44</v>
      </c>
      <c r="D86" s="260"/>
      <c r="E86" s="261" t="s">
        <v>45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43</v>
      </c>
      <c r="C112" s="260" t="s">
        <v>44</v>
      </c>
      <c r="D112" s="260"/>
      <c r="E112" s="261" t="s">
        <v>45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43</v>
      </c>
      <c r="C138" s="260" t="s">
        <v>44</v>
      </c>
      <c r="D138" s="260"/>
      <c r="E138" s="261" t="s">
        <v>45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43</v>
      </c>
      <c r="C164" s="260" t="s">
        <v>44</v>
      </c>
      <c r="D164" s="260"/>
      <c r="E164" s="261" t="s">
        <v>45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43</v>
      </c>
      <c r="C190" s="260" t="s">
        <v>44</v>
      </c>
      <c r="D190" s="260"/>
      <c r="E190" s="261" t="s">
        <v>45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43</v>
      </c>
      <c r="C216" s="260" t="s">
        <v>44</v>
      </c>
      <c r="D216" s="260"/>
      <c r="E216" s="261" t="s">
        <v>45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43</v>
      </c>
      <c r="C242" s="260" t="s">
        <v>44</v>
      </c>
      <c r="D242" s="260"/>
      <c r="E242" s="261" t="s">
        <v>45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43</v>
      </c>
      <c r="C268" s="260" t="s">
        <v>44</v>
      </c>
      <c r="D268" s="260"/>
      <c r="E268" s="261" t="s">
        <v>45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2" sqref="F12"/>
    </sheetView>
  </sheetViews>
  <sheetFormatPr defaultColWidth="11.42578125" defaultRowHeight="14.4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5" thickBot="1">
      <c r="A2" s="4"/>
      <c r="B2" s="273" t="s">
        <v>55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1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57</v>
      </c>
      <c r="C15" s="4"/>
      <c r="D15" s="23"/>
      <c r="E15" s="4"/>
      <c r="F15" s="4"/>
      <c r="G15" s="2" t="s">
        <v>16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69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70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71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defaultColWidth="11.42578125" defaultRowHeight="14.4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6.45" thickBot="1">
      <c r="B1" s="279" t="s">
        <v>72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pédonculé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5" thickBot="1">
      <c r="A2" s="71" t="s">
        <v>73</v>
      </c>
      <c r="B2" s="72" t="s">
        <v>74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79</v>
      </c>
      <c r="H2" s="66" t="s">
        <v>80</v>
      </c>
      <c r="I2" s="68" t="s">
        <v>77</v>
      </c>
      <c r="J2" s="69" t="s">
        <v>78</v>
      </c>
      <c r="K2" s="6" t="s">
        <v>81</v>
      </c>
      <c r="L2" s="6" t="s">
        <v>82</v>
      </c>
      <c r="M2" s="6" t="s">
        <v>82</v>
      </c>
      <c r="N2" s="6" t="s">
        <v>83</v>
      </c>
      <c r="O2" s="6" t="s">
        <v>84</v>
      </c>
      <c r="P2" s="6" t="s">
        <v>85</v>
      </c>
      <c r="Q2" s="6" t="s">
        <v>79</v>
      </c>
      <c r="R2" s="6" t="s">
        <v>86</v>
      </c>
      <c r="S2" s="6" t="s">
        <v>87</v>
      </c>
      <c r="T2" s="6" t="s">
        <v>88</v>
      </c>
      <c r="U2" s="7" t="s">
        <v>89</v>
      </c>
      <c r="V2" s="8" t="s">
        <v>90</v>
      </c>
      <c r="W2" s="7" t="s">
        <v>50</v>
      </c>
      <c r="X2" s="7" t="s">
        <v>51</v>
      </c>
      <c r="Y2" s="7" t="s">
        <v>91</v>
      </c>
      <c r="Z2" s="8" t="s">
        <v>92</v>
      </c>
      <c r="AA2" s="8" t="s">
        <v>93</v>
      </c>
      <c r="AB2" s="8" t="s">
        <v>94</v>
      </c>
      <c r="AC2" s="9" t="s">
        <v>95</v>
      </c>
      <c r="AD2" s="69" t="s">
        <v>77</v>
      </c>
      <c r="AE2" s="69" t="s">
        <v>78</v>
      </c>
      <c r="AF2" s="6" t="s">
        <v>81</v>
      </c>
      <c r="AG2" s="6" t="s">
        <v>82</v>
      </c>
      <c r="AH2" s="6" t="s">
        <v>82</v>
      </c>
      <c r="AI2" s="6" t="s">
        <v>83</v>
      </c>
      <c r="AJ2" s="6" t="s">
        <v>84</v>
      </c>
      <c r="AK2" s="6" t="s">
        <v>85</v>
      </c>
      <c r="AL2" s="6" t="s">
        <v>79</v>
      </c>
      <c r="AM2" s="6" t="s">
        <v>86</v>
      </c>
      <c r="AN2" s="6" t="s">
        <v>87</v>
      </c>
      <c r="AO2" s="6" t="s">
        <v>88</v>
      </c>
      <c r="AP2" s="7" t="s">
        <v>89</v>
      </c>
      <c r="AQ2" s="8" t="s">
        <v>90</v>
      </c>
      <c r="AR2" s="7" t="s">
        <v>50</v>
      </c>
      <c r="AS2" s="7" t="s">
        <v>51</v>
      </c>
      <c r="AT2" s="8" t="s">
        <v>96</v>
      </c>
      <c r="AU2" s="8" t="s">
        <v>92</v>
      </c>
      <c r="AV2" s="8" t="s">
        <v>93</v>
      </c>
      <c r="AW2" s="8" t="s">
        <v>94</v>
      </c>
      <c r="AX2" s="8" t="s">
        <v>95</v>
      </c>
      <c r="AY2" s="68" t="s">
        <v>77</v>
      </c>
      <c r="AZ2" s="69" t="s">
        <v>78</v>
      </c>
      <c r="BA2" s="6" t="s">
        <v>81</v>
      </c>
      <c r="BB2" s="6" t="s">
        <v>82</v>
      </c>
      <c r="BC2" s="6" t="s">
        <v>82</v>
      </c>
      <c r="BD2" s="6" t="s">
        <v>83</v>
      </c>
      <c r="BE2" s="6" t="s">
        <v>84</v>
      </c>
      <c r="BF2" s="6" t="s">
        <v>85</v>
      </c>
      <c r="BG2" s="6" t="s">
        <v>79</v>
      </c>
      <c r="BH2" s="6" t="s">
        <v>86</v>
      </c>
      <c r="BI2" s="6" t="s">
        <v>87</v>
      </c>
      <c r="BJ2" s="6" t="s">
        <v>88</v>
      </c>
      <c r="BK2" s="7" t="s">
        <v>89</v>
      </c>
      <c r="BL2" s="8" t="s">
        <v>90</v>
      </c>
      <c r="BM2" s="7" t="s">
        <v>50</v>
      </c>
      <c r="BN2" s="7" t="s">
        <v>51</v>
      </c>
      <c r="BO2" s="8" t="s">
        <v>96</v>
      </c>
      <c r="BP2" s="8" t="s">
        <v>92</v>
      </c>
      <c r="BQ2" s="8" t="s">
        <v>93</v>
      </c>
      <c r="BR2" s="8" t="s">
        <v>94</v>
      </c>
      <c r="BS2" s="9" t="s">
        <v>95</v>
      </c>
      <c r="BT2" s="68" t="s">
        <v>77</v>
      </c>
      <c r="BU2" s="69" t="s">
        <v>78</v>
      </c>
      <c r="BV2" s="6" t="s">
        <v>81</v>
      </c>
      <c r="BW2" s="6" t="s">
        <v>82</v>
      </c>
      <c r="BX2" s="6" t="s">
        <v>82</v>
      </c>
      <c r="BY2" s="6" t="s">
        <v>83</v>
      </c>
      <c r="BZ2" s="6" t="s">
        <v>84</v>
      </c>
      <c r="CA2" s="6" t="s">
        <v>85</v>
      </c>
      <c r="CB2" s="6" t="s">
        <v>79</v>
      </c>
      <c r="CC2" s="6" t="s">
        <v>86</v>
      </c>
      <c r="CD2" s="6" t="s">
        <v>87</v>
      </c>
      <c r="CE2" s="6" t="s">
        <v>88</v>
      </c>
      <c r="CF2" s="7" t="s">
        <v>89</v>
      </c>
      <c r="CG2" s="8" t="s">
        <v>90</v>
      </c>
      <c r="CH2" s="7" t="s">
        <v>50</v>
      </c>
      <c r="CI2" s="7" t="s">
        <v>51</v>
      </c>
      <c r="CJ2" s="8" t="s">
        <v>96</v>
      </c>
      <c r="CK2" s="8" t="s">
        <v>92</v>
      </c>
      <c r="CL2" s="8" t="s">
        <v>93</v>
      </c>
      <c r="CM2" s="8" t="s">
        <v>94</v>
      </c>
      <c r="CN2" s="9" t="s">
        <v>95</v>
      </c>
      <c r="CO2" s="68" t="s">
        <v>77</v>
      </c>
      <c r="CP2" s="69" t="s">
        <v>78</v>
      </c>
      <c r="CQ2" s="6" t="s">
        <v>81</v>
      </c>
      <c r="CR2" s="6" t="s">
        <v>82</v>
      </c>
      <c r="CS2" s="6" t="s">
        <v>82</v>
      </c>
      <c r="CT2" s="6" t="s">
        <v>83</v>
      </c>
      <c r="CU2" s="6" t="s">
        <v>84</v>
      </c>
      <c r="CV2" s="6" t="s">
        <v>85</v>
      </c>
      <c r="CW2" s="6" t="s">
        <v>79</v>
      </c>
      <c r="CX2" s="6" t="s">
        <v>86</v>
      </c>
      <c r="CY2" s="6" t="s">
        <v>87</v>
      </c>
      <c r="CZ2" s="6" t="s">
        <v>88</v>
      </c>
      <c r="DA2" s="7" t="s">
        <v>89</v>
      </c>
      <c r="DB2" s="8" t="s">
        <v>90</v>
      </c>
      <c r="DC2" s="7" t="s">
        <v>50</v>
      </c>
      <c r="DD2" s="7" t="s">
        <v>51</v>
      </c>
      <c r="DE2" s="8" t="s">
        <v>96</v>
      </c>
      <c r="DF2" s="8" t="s">
        <v>92</v>
      </c>
      <c r="DG2" s="8" t="s">
        <v>93</v>
      </c>
      <c r="DH2" s="8" t="s">
        <v>94</v>
      </c>
      <c r="DI2" s="9" t="s">
        <v>95</v>
      </c>
      <c r="DJ2" s="68" t="s">
        <v>77</v>
      </c>
      <c r="DK2" s="69" t="s">
        <v>78</v>
      </c>
      <c r="DL2" s="6" t="s">
        <v>81</v>
      </c>
      <c r="DM2" s="6" t="s">
        <v>82</v>
      </c>
      <c r="DN2" s="6" t="s">
        <v>82</v>
      </c>
      <c r="DO2" s="6" t="s">
        <v>83</v>
      </c>
      <c r="DP2" s="6" t="s">
        <v>84</v>
      </c>
      <c r="DQ2" s="6" t="s">
        <v>85</v>
      </c>
      <c r="DR2" s="6" t="s">
        <v>79</v>
      </c>
      <c r="DS2" s="6" t="s">
        <v>86</v>
      </c>
      <c r="DT2" s="6" t="s">
        <v>87</v>
      </c>
      <c r="DU2" s="6" t="s">
        <v>88</v>
      </c>
      <c r="DV2" s="7" t="s">
        <v>89</v>
      </c>
      <c r="DW2" s="8" t="s">
        <v>90</v>
      </c>
      <c r="DX2" s="7" t="s">
        <v>50</v>
      </c>
      <c r="DY2" s="7" t="s">
        <v>51</v>
      </c>
      <c r="DZ2" s="8" t="s">
        <v>96</v>
      </c>
      <c r="EA2" s="8" t="s">
        <v>92</v>
      </c>
      <c r="EB2" s="8" t="s">
        <v>93</v>
      </c>
      <c r="EC2" s="8" t="s">
        <v>94</v>
      </c>
      <c r="ED2" s="9" t="s">
        <v>95</v>
      </c>
      <c r="EE2" s="68" t="s">
        <v>77</v>
      </c>
      <c r="EF2" s="69" t="s">
        <v>78</v>
      </c>
      <c r="EG2" s="6" t="s">
        <v>81</v>
      </c>
      <c r="EH2" s="6" t="s">
        <v>82</v>
      </c>
      <c r="EI2" s="6" t="s">
        <v>82</v>
      </c>
      <c r="EJ2" s="6" t="s">
        <v>83</v>
      </c>
      <c r="EK2" s="6" t="s">
        <v>84</v>
      </c>
      <c r="EL2" s="6" t="s">
        <v>85</v>
      </c>
      <c r="EM2" s="6" t="s">
        <v>79</v>
      </c>
      <c r="EN2" s="6" t="s">
        <v>86</v>
      </c>
      <c r="EO2" s="6" t="s">
        <v>87</v>
      </c>
      <c r="EP2" s="6" t="s">
        <v>88</v>
      </c>
      <c r="EQ2" s="7" t="s">
        <v>89</v>
      </c>
      <c r="ER2" s="8" t="s">
        <v>90</v>
      </c>
      <c r="ES2" s="7" t="s">
        <v>50</v>
      </c>
      <c r="ET2" s="7" t="s">
        <v>51</v>
      </c>
      <c r="EU2" s="8" t="s">
        <v>96</v>
      </c>
      <c r="EV2" s="8" t="s">
        <v>92</v>
      </c>
      <c r="EW2" s="8" t="s">
        <v>93</v>
      </c>
      <c r="EX2" s="8" t="s">
        <v>94</v>
      </c>
      <c r="EY2" s="9" t="s">
        <v>95</v>
      </c>
      <c r="EZ2" s="68" t="s">
        <v>77</v>
      </c>
      <c r="FA2" s="69" t="s">
        <v>78</v>
      </c>
      <c r="FB2" s="6" t="s">
        <v>81</v>
      </c>
      <c r="FC2" s="6" t="s">
        <v>82</v>
      </c>
      <c r="FD2" s="6" t="s">
        <v>82</v>
      </c>
      <c r="FE2" s="6" t="s">
        <v>83</v>
      </c>
      <c r="FF2" s="6" t="s">
        <v>84</v>
      </c>
      <c r="FG2" s="6" t="s">
        <v>85</v>
      </c>
      <c r="FH2" s="6" t="s">
        <v>79</v>
      </c>
      <c r="FI2" s="6" t="s">
        <v>86</v>
      </c>
      <c r="FJ2" s="6" t="s">
        <v>87</v>
      </c>
      <c r="FK2" s="6" t="s">
        <v>88</v>
      </c>
      <c r="FL2" s="7" t="s">
        <v>89</v>
      </c>
      <c r="FM2" s="8" t="s">
        <v>90</v>
      </c>
      <c r="FN2" s="7" t="s">
        <v>50</v>
      </c>
      <c r="FO2" s="7" t="s">
        <v>51</v>
      </c>
      <c r="FP2" s="8" t="s">
        <v>97</v>
      </c>
      <c r="FQ2" s="8" t="s">
        <v>92</v>
      </c>
      <c r="FR2" s="8" t="s">
        <v>93</v>
      </c>
      <c r="FS2" s="8" t="s">
        <v>94</v>
      </c>
      <c r="FT2" s="9" t="s">
        <v>95</v>
      </c>
      <c r="FU2" s="68" t="s">
        <v>77</v>
      </c>
      <c r="FV2" s="69" t="s">
        <v>78</v>
      </c>
      <c r="FW2" s="6" t="s">
        <v>81</v>
      </c>
      <c r="FX2" s="6" t="s">
        <v>82</v>
      </c>
      <c r="FY2" s="6" t="s">
        <v>82</v>
      </c>
      <c r="FZ2" s="6" t="s">
        <v>83</v>
      </c>
      <c r="GA2" s="6" t="s">
        <v>84</v>
      </c>
      <c r="GB2" s="6" t="s">
        <v>85</v>
      </c>
      <c r="GC2" s="6" t="s">
        <v>79</v>
      </c>
      <c r="GD2" s="6" t="s">
        <v>86</v>
      </c>
      <c r="GE2" s="6" t="s">
        <v>87</v>
      </c>
      <c r="GF2" s="6" t="s">
        <v>88</v>
      </c>
      <c r="GG2" s="7" t="s">
        <v>89</v>
      </c>
      <c r="GH2" s="8" t="s">
        <v>90</v>
      </c>
      <c r="GI2" s="7" t="s">
        <v>50</v>
      </c>
      <c r="GJ2" s="7" t="s">
        <v>51</v>
      </c>
      <c r="GK2" s="8" t="s">
        <v>96</v>
      </c>
      <c r="GL2" s="8" t="s">
        <v>92</v>
      </c>
      <c r="GM2" s="8" t="s">
        <v>93</v>
      </c>
      <c r="GN2" s="8" t="s">
        <v>94</v>
      </c>
      <c r="GO2" s="8" t="s">
        <v>95</v>
      </c>
      <c r="GP2" s="68" t="s">
        <v>77</v>
      </c>
      <c r="GQ2" s="69" t="s">
        <v>78</v>
      </c>
      <c r="GR2" s="6" t="s">
        <v>81</v>
      </c>
      <c r="GS2" s="6" t="s">
        <v>82</v>
      </c>
      <c r="GT2" s="6" t="s">
        <v>82</v>
      </c>
      <c r="GU2" s="6" t="s">
        <v>83</v>
      </c>
      <c r="GV2" s="6" t="s">
        <v>84</v>
      </c>
      <c r="GW2" s="6" t="s">
        <v>85</v>
      </c>
      <c r="GX2" s="6" t="s">
        <v>79</v>
      </c>
      <c r="GY2" s="6" t="s">
        <v>86</v>
      </c>
      <c r="GZ2" s="6" t="s">
        <v>87</v>
      </c>
      <c r="HA2" s="6" t="s">
        <v>88</v>
      </c>
      <c r="HB2" s="7" t="s">
        <v>89</v>
      </c>
      <c r="HC2" s="8" t="s">
        <v>90</v>
      </c>
      <c r="HD2" s="7" t="s">
        <v>50</v>
      </c>
      <c r="HE2" s="7" t="s">
        <v>51</v>
      </c>
      <c r="HF2" s="8" t="s">
        <v>96</v>
      </c>
      <c r="HG2" s="8" t="s">
        <v>92</v>
      </c>
      <c r="HH2" s="8" t="s">
        <v>93</v>
      </c>
      <c r="HI2" s="8" t="s">
        <v>94</v>
      </c>
      <c r="HJ2" s="9" t="s">
        <v>95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179.55753939371345</v>
      </c>
      <c r="AO3" s="59">
        <f>IF('Données projet'!E10&gt;30,$AM$33-$H$33,LOOKUP('Données projet'!$E$10,$A$3:$A$203,AM3:AM203)-LOOKUP('Données projet'!$E$10,$A$3:$A$203,$H$3:$H$203))</f>
        <v>147.29214159934531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3.3653846153846154</v>
      </c>
      <c r="AI4" s="13">
        <f>IF('Données projet'!$A$62&gt;35,AI3+AH4-AQ3,IF(A4&lt;'Données projet'!$A$62,$AF$205^A4,IF(A4='Données projet'!$A$62,'Données projet'!$B$62,AI3+AH4-AQ3)))</f>
        <v>3.3653846153846154</v>
      </c>
      <c r="AJ4" s="13">
        <f>AI4*VLOOKUP('Données projet'!$B$10,Paramètres!$A$1:$I$89,3,0)*VLOOKUP('Données projet'!$B$10,Paramètres!$A$1:$I$89,5,0)</f>
        <v>2.8350000000000004</v>
      </c>
      <c r="AK4" s="13">
        <f>EXP(-1.0587+0.8836*LN(AJ4)+0.284)</f>
        <v>1.1572520307009786</v>
      </c>
      <c r="AL4" s="20">
        <f t="shared" ref="AL4:AL67" si="4">(AJ4+AK4)*0.475*44/12</f>
        <v>6.9531722868042047</v>
      </c>
      <c r="AM4" s="59">
        <f t="shared" ref="AM4:AM67" si="5">AL4+(AD4+AE4)*44/12</f>
        <v>300.28650562013752</v>
      </c>
      <c r="AN4" s="59">
        <f ca="1">AVERAGE(OFFSET($AM$3,0,0,'Données projet'!$E$10+1,1))-AVERAGE(OFFSET($H$3,0,0,'Données projet'!$E$10+1,1))</f>
        <v>179.55753939371345</v>
      </c>
      <c r="AO4" s="59">
        <f>$AO$3</f>
        <v>147.29214159934531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3.3653846153846154</v>
      </c>
      <c r="AI5" s="13">
        <f>IF('Données projet'!$A$62&gt;35,AI4+AH5-AQ4,IF(A5&lt;'Données projet'!$A$62,$AF$205^A5,IF(A5='Données projet'!$A$62,'Données projet'!$B$62,AI4+AH5-AQ4)))</f>
        <v>6.7307692307692308</v>
      </c>
      <c r="AJ5" s="13">
        <f>AI5*VLOOKUP('Données projet'!$B$10,Paramètres!$A$1:$I$89,3,0)*VLOOKUP('Données projet'!$B$10,Paramètres!$A$1:$I$89,5,0)</f>
        <v>5.6700000000000008</v>
      </c>
      <c r="AK5" s="13">
        <f t="shared" ref="AK5:AK68" si="35">EXP(-1.0587+0.8836*LN(AJ5)+0.284)</f>
        <v>2.1350991896092122</v>
      </c>
      <c r="AL5" s="20">
        <f t="shared" si="4"/>
        <v>13.593881088569377</v>
      </c>
      <c r="AM5" s="59">
        <f t="shared" si="5"/>
        <v>306.9272144219027</v>
      </c>
      <c r="AN5" s="59">
        <f ca="1">AVERAGE(OFFSET($AM$3,0,0,'Données projet'!$E$10+1,1))-AVERAGE(OFFSET($H$3,0,0,'Données projet'!$E$10+1,1))</f>
        <v>179.55753939371345</v>
      </c>
      <c r="AO5" s="59">
        <f t="shared" ref="AO5:AO68" si="36">$AO$3</f>
        <v>147.29214159934531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3.3653846153846154</v>
      </c>
      <c r="AI6" s="13">
        <f>IF('Données projet'!$A$62&gt;35,AI5+AH6-AQ5,IF(A6&lt;'Données projet'!$A$62,$AF$205^A6,IF(A6='Données projet'!$A$62,'Données projet'!$B$62,AI5+AH6-AQ5)))</f>
        <v>10.096153846153847</v>
      </c>
      <c r="AJ6" s="13">
        <f>AI6*VLOOKUP('Données projet'!$B$10,Paramètres!$A$1:$I$89,3,0)*VLOOKUP('Données projet'!$B$10,Paramètres!$A$1:$I$89,5,0)</f>
        <v>8.5050000000000008</v>
      </c>
      <c r="AK6" s="13">
        <f t="shared" si="35"/>
        <v>3.055007580489602</v>
      </c>
      <c r="AL6" s="20">
        <f t="shared" si="4"/>
        <v>20.133679869352726</v>
      </c>
      <c r="AM6" s="59">
        <f t="shared" si="5"/>
        <v>313.46701320268602</v>
      </c>
      <c r="AN6" s="59">
        <f ca="1">AVERAGE(OFFSET($AM$3,0,0,'Données projet'!$E$10+1,1))-AVERAGE(OFFSET($H$3,0,0,'Données projet'!$E$10+1,1))</f>
        <v>179.55753939371345</v>
      </c>
      <c r="AO6" s="59">
        <f t="shared" si="36"/>
        <v>147.29214159934531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3.3653846153846154</v>
      </c>
      <c r="AI7" s="13">
        <f>IF('Données projet'!$A$62&gt;35,AI6+AH7-AQ6,IF(A7&lt;'Données projet'!$A$62,$AF$205^A7,IF(A7='Données projet'!$A$62,'Données projet'!$B$62,AI6+AH7-AQ6)))</f>
        <v>13.461538461538462</v>
      </c>
      <c r="AJ7" s="13">
        <f>AI7*VLOOKUP('Données projet'!$B$10,Paramètres!$A$1:$I$89,3,0)*VLOOKUP('Données projet'!$B$10,Paramètres!$A$1:$I$89,5,0)</f>
        <v>11.340000000000002</v>
      </c>
      <c r="AK7" s="13">
        <f t="shared" si="35"/>
        <v>3.9392011666712041</v>
      </c>
      <c r="AL7" s="20">
        <f t="shared" si="4"/>
        <v>26.611275365285682</v>
      </c>
      <c r="AM7" s="59">
        <f t="shared" si="5"/>
        <v>319.94460869861899</v>
      </c>
      <c r="AN7" s="59">
        <f ca="1">AVERAGE(OFFSET($AM$3,0,0,'Données projet'!$E$10+1,1))-AVERAGE(OFFSET($H$3,0,0,'Données projet'!$E$10+1,1))</f>
        <v>179.55753939371345</v>
      </c>
      <c r="AO7" s="59">
        <f t="shared" si="36"/>
        <v>147.29214159934531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3.3653846153846154</v>
      </c>
      <c r="AI8" s="13">
        <f>IF('Données projet'!$A$62&gt;35,AI7+AH8-AQ7,IF(A8&lt;'Données projet'!$A$62,$AF$205^A8,IF(A8='Données projet'!$A$62,'Données projet'!$B$62,AI7+AH8-AQ7)))</f>
        <v>16.826923076923077</v>
      </c>
      <c r="AJ8" s="13">
        <f>AI8*VLOOKUP('Données projet'!$B$10,Paramètres!$A$1:$I$89,3,0)*VLOOKUP('Données projet'!$B$10,Paramètres!$A$1:$I$89,5,0)</f>
        <v>14.175000000000001</v>
      </c>
      <c r="AK8" s="13">
        <f t="shared" si="35"/>
        <v>4.7977525768844433</v>
      </c>
      <c r="AL8" s="20">
        <f t="shared" si="4"/>
        <v>33.044210738073737</v>
      </c>
      <c r="AM8" s="59">
        <f t="shared" si="5"/>
        <v>326.37754407140704</v>
      </c>
      <c r="AN8" s="59">
        <f ca="1">AVERAGE(OFFSET($AM$3,0,0,'Données projet'!$E$10+1,1))-AVERAGE(OFFSET($H$3,0,0,'Données projet'!$E$10+1,1))</f>
        <v>179.55753939371345</v>
      </c>
      <c r="AO8" s="59">
        <f t="shared" si="36"/>
        <v>147.29214159934531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3.3653846153846154</v>
      </c>
      <c r="AI9" s="13">
        <f>IF('Données projet'!$A$62&gt;35,AI8+AH9-AQ8,IF(A9&lt;'Données projet'!$A$62,$AF$205^A9,IF(A9='Données projet'!$A$62,'Données projet'!$B$62,AI8+AH9-AQ8)))</f>
        <v>20.192307692307693</v>
      </c>
      <c r="AJ9" s="13">
        <f>AI9*VLOOKUP('Données projet'!$B$10,Paramètres!$A$1:$I$89,3,0)*VLOOKUP('Données projet'!$B$10,Paramètres!$A$1:$I$89,5,0)</f>
        <v>17.010000000000002</v>
      </c>
      <c r="AK9" s="13">
        <f t="shared" si="35"/>
        <v>5.6364076591011436</v>
      </c>
      <c r="AL9" s="20">
        <f t="shared" si="4"/>
        <v>39.442493339601157</v>
      </c>
      <c r="AM9" s="59">
        <f t="shared" si="5"/>
        <v>332.7758266729345</v>
      </c>
      <c r="AN9" s="59">
        <f ca="1">AVERAGE(OFFSET($AM$3,0,0,'Données projet'!$E$10+1,1))-AVERAGE(OFFSET($H$3,0,0,'Données projet'!$E$10+1,1))</f>
        <v>179.55753939371345</v>
      </c>
      <c r="AO9" s="59">
        <f t="shared" si="36"/>
        <v>147.29214159934531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3.3653846153846154</v>
      </c>
      <c r="AI10" s="13">
        <f>IF('Données projet'!$A$62&gt;35,AI9+AH10-AQ9,IF(A10&lt;'Données projet'!$A$62,$AF$205^A10,IF(A10='Données projet'!$A$62,'Données projet'!$B$62,AI9+AH10-AQ9)))</f>
        <v>23.55769230769231</v>
      </c>
      <c r="AJ10" s="13">
        <f>AI10*VLOOKUP('Données projet'!$B$10,Paramètres!$A$1:$I$89,3,0)*VLOOKUP('Données projet'!$B$10,Paramètres!$A$1:$I$89,5,0)</f>
        <v>19.845000000000006</v>
      </c>
      <c r="AK10" s="13">
        <f t="shared" si="35"/>
        <v>6.4588705393422963</v>
      </c>
      <c r="AL10" s="20">
        <f t="shared" si="4"/>
        <v>45.812574522687839</v>
      </c>
      <c r="AM10" s="59">
        <f t="shared" si="5"/>
        <v>339.14590785602115</v>
      </c>
      <c r="AN10" s="59">
        <f ca="1">AVERAGE(OFFSET($AM$3,0,0,'Données projet'!$E$10+1,1))-AVERAGE(OFFSET($H$3,0,0,'Données projet'!$E$10+1,1))</f>
        <v>179.55753939371345</v>
      </c>
      <c r="AO10" s="59">
        <f t="shared" si="36"/>
        <v>147.29214159934531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3.3653846153846154</v>
      </c>
      <c r="AI11" s="13">
        <f>IF('Données projet'!$A$62&gt;35,AI10+AH11-AQ10,IF(A11&lt;'Données projet'!$A$62,$AF$205^A11,IF(A11='Données projet'!$A$62,'Données projet'!$B$62,AI10+AH11-AQ10)))</f>
        <v>26.923076923076927</v>
      </c>
      <c r="AJ11" s="13">
        <f>AI11*VLOOKUP('Données projet'!$B$10,Paramètres!$A$1:$I$89,3,0)*VLOOKUP('Données projet'!$B$10,Paramètres!$A$1:$I$89,5,0)</f>
        <v>22.680000000000007</v>
      </c>
      <c r="AK11" s="13">
        <f t="shared" si="35"/>
        <v>7.2677212876203248</v>
      </c>
      <c r="AL11" s="20">
        <f t="shared" si="4"/>
        <v>52.158947909272079</v>
      </c>
      <c r="AM11" s="59">
        <f t="shared" si="5"/>
        <v>345.49228124260537</v>
      </c>
      <c r="AN11" s="59">
        <f ca="1">AVERAGE(OFFSET($AM$3,0,0,'Données projet'!$E$10+1,1))-AVERAGE(OFFSET($H$3,0,0,'Données projet'!$E$10+1,1))</f>
        <v>179.55753939371345</v>
      </c>
      <c r="AO11" s="59">
        <f t="shared" si="36"/>
        <v>147.29214159934531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3.3653846153846154</v>
      </c>
      <c r="AI12" s="13">
        <f>IF('Données projet'!$A$62&gt;35,AI11+AH12-AQ11,IF(A12&lt;'Données projet'!$A$62,$AF$205^A12,IF(A12='Données projet'!$A$62,'Données projet'!$B$62,AI11+AH12-AQ11)))</f>
        <v>30.288461538461544</v>
      </c>
      <c r="AJ12" s="13">
        <f>AI12*VLOOKUP('Données projet'!$B$10,Paramètres!$A$1:$I$89,3,0)*VLOOKUP('Données projet'!$B$10,Paramètres!$A$1:$I$89,5,0)</f>
        <v>25.515000000000004</v>
      </c>
      <c r="AK12" s="13">
        <f t="shared" si="35"/>
        <v>8.0648562882154859</v>
      </c>
      <c r="AL12" s="20">
        <f t="shared" si="4"/>
        <v>58.484916368641969</v>
      </c>
      <c r="AM12" s="59">
        <f t="shared" si="5"/>
        <v>351.81824970197528</v>
      </c>
      <c r="AN12" s="59">
        <f ca="1">AVERAGE(OFFSET($AM$3,0,0,'Données projet'!$E$10+1,1))-AVERAGE(OFFSET($H$3,0,0,'Données projet'!$E$10+1,1))</f>
        <v>179.55753939371345</v>
      </c>
      <c r="AO12" s="59">
        <f t="shared" si="36"/>
        <v>147.29214159934531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3.3653846153846154</v>
      </c>
      <c r="AI13" s="13">
        <f>IF('Données projet'!$A$62&gt;35,AI12+AH13-AQ12,IF(A13&lt;'Données projet'!$A$62,$AF$205^A13,IF(A13='Données projet'!$A$62,'Données projet'!$B$62,AI12+AH13-AQ12)))</f>
        <v>33.65384615384616</v>
      </c>
      <c r="AJ13" s="13">
        <f>AI13*VLOOKUP('Données projet'!$B$10,Paramètres!$A$1:$I$89,3,0)*VLOOKUP('Données projet'!$B$10,Paramètres!$A$1:$I$89,5,0)</f>
        <v>28.350000000000009</v>
      </c>
      <c r="AK13" s="13">
        <f t="shared" si="35"/>
        <v>8.8517257840944232</v>
      </c>
      <c r="AL13" s="20">
        <f t="shared" si="4"/>
        <v>64.793005740631131</v>
      </c>
      <c r="AM13" s="59">
        <f t="shared" si="5"/>
        <v>358.12633907396446</v>
      </c>
      <c r="AN13" s="59">
        <f ca="1">AVERAGE(OFFSET($AM$3,0,0,'Données projet'!$E$10+1,1))-AVERAGE(OFFSET($H$3,0,0,'Données projet'!$E$10+1,1))</f>
        <v>179.55753939371345</v>
      </c>
      <c r="AO13" s="59">
        <f t="shared" si="36"/>
        <v>147.29214159934531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3.3653846153846154</v>
      </c>
      <c r="AI14" s="13">
        <f>IF('Données projet'!$A$62&gt;35,AI13+AH14-AQ13,IF(A14&lt;'Données projet'!$A$62,$AF$205^A14,IF(A14='Données projet'!$A$62,'Données projet'!$B$62,AI13+AH14-AQ13)))</f>
        <v>37.019230769230774</v>
      </c>
      <c r="AJ14" s="13">
        <f>AI14*VLOOKUP('Données projet'!$B$10,Paramètres!$A$1:$I$89,3,0)*VLOOKUP('Données projet'!$B$10,Paramètres!$A$1:$I$89,5,0)</f>
        <v>31.185000000000009</v>
      </c>
      <c r="AK14" s="13">
        <f t="shared" si="35"/>
        <v>9.6294731852935609</v>
      </c>
      <c r="AL14" s="20">
        <f t="shared" si="4"/>
        <v>71.085207464386301</v>
      </c>
      <c r="AM14" s="59">
        <f t="shared" si="5"/>
        <v>364.41854079771963</v>
      </c>
      <c r="AN14" s="59">
        <f ca="1">AVERAGE(OFFSET($AM$3,0,0,'Données projet'!$E$10+1,1))-AVERAGE(OFFSET($H$3,0,0,'Données projet'!$E$10+1,1))</f>
        <v>179.55753939371345</v>
      </c>
      <c r="AO14" s="59">
        <f t="shared" si="36"/>
        <v>147.29214159934531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3.3653846153846154</v>
      </c>
      <c r="AI15" s="13">
        <f>IF('Données projet'!$A$62&gt;35,AI14+AH15-AQ14,IF(A15&lt;'Données projet'!$A$62,$AF$205^A15,IF(A15='Données projet'!$A$62,'Données projet'!$B$62,AI14+AH15-AQ14)))</f>
        <v>40.384615384615387</v>
      </c>
      <c r="AJ15" s="13">
        <f>AI15*VLOOKUP('Données projet'!$B$10,Paramètres!$A$1:$I$89,3,0)*VLOOKUP('Données projet'!$B$10,Paramètres!$A$1:$I$89,5,0)</f>
        <v>34.020000000000003</v>
      </c>
      <c r="AK15" s="13">
        <f t="shared" si="35"/>
        <v>10.399022085072096</v>
      </c>
      <c r="AL15" s="20">
        <f t="shared" si="4"/>
        <v>77.363130131500569</v>
      </c>
      <c r="AM15" s="59">
        <f t="shared" si="5"/>
        <v>370.69646346483387</v>
      </c>
      <c r="AN15" s="59">
        <f ca="1">AVERAGE(OFFSET($AM$3,0,0,'Données projet'!$E$10+1,1))-AVERAGE(OFFSET($H$3,0,0,'Données projet'!$E$10+1,1))</f>
        <v>179.55753939371345</v>
      </c>
      <c r="AO15" s="59">
        <f t="shared" si="36"/>
        <v>147.29214159934531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3.3653846153846154</v>
      </c>
      <c r="AI16" s="13">
        <f>IF('Données projet'!$A$62&gt;35,AI15+AH16-AQ15,IF(A16&lt;'Données projet'!$A$62,$AF$205^A16,IF(A16='Données projet'!$A$62,'Données projet'!$B$62,AI15+AH16-AQ15)))</f>
        <v>43.75</v>
      </c>
      <c r="AJ16" s="13">
        <f>AI16*VLOOKUP('Données projet'!$B$10,Paramètres!$A$1:$I$89,3,0)*VLOOKUP('Données projet'!$B$10,Paramètres!$A$1:$I$89,5,0)</f>
        <v>36.855000000000004</v>
      </c>
      <c r="AK16" s="13">
        <f t="shared" si="35"/>
        <v>11.161133366615273</v>
      </c>
      <c r="AL16" s="20">
        <f t="shared" si="4"/>
        <v>83.628098946854934</v>
      </c>
      <c r="AM16" s="59">
        <f t="shared" si="5"/>
        <v>376.96143228018826</v>
      </c>
      <c r="AN16" s="59">
        <f ca="1">AVERAGE(OFFSET($AM$3,0,0,'Données projet'!$E$10+1,1))-AVERAGE(OFFSET($H$3,0,0,'Données projet'!$E$10+1,1))</f>
        <v>179.55753939371345</v>
      </c>
      <c r="AO16" s="59">
        <f t="shared" si="36"/>
        <v>147.29214159934531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3.3653846153846154</v>
      </c>
      <c r="AI17" s="13">
        <f>IF('Données projet'!$A$62&gt;35,AI16+AH17-AQ16,IF(A17&lt;'Données projet'!$A$62,$AF$205^A17,IF(A17='Données projet'!$A$62,'Données projet'!$B$62,AI16+AH17-AQ16)))</f>
        <v>47.115384615384613</v>
      </c>
      <c r="AJ17" s="13">
        <f>AI17*VLOOKUP('Données projet'!$B$10,Paramètres!$A$1:$I$89,3,0)*VLOOKUP('Données projet'!$B$10,Paramètres!$A$1:$I$89,5,0)</f>
        <v>39.690000000000005</v>
      </c>
      <c r="AK17" s="13">
        <f t="shared" si="35"/>
        <v>11.916444204455081</v>
      </c>
      <c r="AL17" s="20">
        <f t="shared" si="4"/>
        <v>89.881223656092615</v>
      </c>
      <c r="AM17" s="59">
        <f t="shared" si="5"/>
        <v>383.21455698942594</v>
      </c>
      <c r="AN17" s="59">
        <f ca="1">AVERAGE(OFFSET($AM$3,0,0,'Données projet'!$E$10+1,1))-AVERAGE(OFFSET($H$3,0,0,'Données projet'!$E$10+1,1))</f>
        <v>179.55753939371345</v>
      </c>
      <c r="AO17" s="59">
        <f t="shared" si="36"/>
        <v>147.29214159934531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3.3653846153846154</v>
      </c>
      <c r="AI18" s="13">
        <f>IF('Données projet'!$A$62&gt;35,AI17+AH18-AQ17,IF(A18&lt;'Données projet'!$A$62,$AF$205^A18,IF(A18='Données projet'!$A$62,'Données projet'!$B$62,AI17+AH18-AQ17)))</f>
        <v>50.480769230769226</v>
      </c>
      <c r="AJ18" s="13">
        <f>AI18*VLOOKUP('Données projet'!$B$10,Paramètres!$A$1:$I$89,3,0)*VLOOKUP('Données projet'!$B$10,Paramètres!$A$1:$I$89,5,0)</f>
        <v>42.524999999999999</v>
      </c>
      <c r="AK18" s="13">
        <f t="shared" si="35"/>
        <v>12.665495590288355</v>
      </c>
      <c r="AL18" s="20">
        <f t="shared" si="4"/>
        <v>96.123446486418871</v>
      </c>
      <c r="AM18" s="59">
        <f t="shared" si="5"/>
        <v>389.45677981975217</v>
      </c>
      <c r="AN18" s="59">
        <f ca="1">AVERAGE(OFFSET($AM$3,0,0,'Données projet'!$E$10+1,1))-AVERAGE(OFFSET($H$3,0,0,'Données projet'!$E$10+1,1))</f>
        <v>179.55753939371345</v>
      </c>
      <c r="AO18" s="59">
        <f t="shared" si="36"/>
        <v>147.29214159934531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3.3653846153846154</v>
      </c>
      <c r="AI19" s="13">
        <f>IF('Données projet'!$A$62&gt;35,AI18+AH19-AQ18,IF(A19&lt;'Données projet'!$A$62,$AF$205^A19,IF(A19='Données projet'!$A$62,'Données projet'!$B$62,AI18+AH19-AQ18)))</f>
        <v>53.84615384615384</v>
      </c>
      <c r="AJ19" s="13">
        <f>AI19*VLOOKUP('Données projet'!$B$10,Paramètres!$A$1:$I$89,3,0)*VLOOKUP('Données projet'!$B$10,Paramètres!$A$1:$I$89,5,0)</f>
        <v>45.36</v>
      </c>
      <c r="AK19" s="13">
        <f t="shared" si="35"/>
        <v>13.408752302732637</v>
      </c>
      <c r="AL19" s="20">
        <f t="shared" si="4"/>
        <v>102.35557692725934</v>
      </c>
      <c r="AM19" s="59">
        <f t="shared" si="5"/>
        <v>395.68891026059265</v>
      </c>
      <c r="AN19" s="59">
        <f ca="1">AVERAGE(OFFSET($AM$3,0,0,'Données projet'!$E$10+1,1))-AVERAGE(OFFSET($H$3,0,0,'Données projet'!$E$10+1,1))</f>
        <v>179.55753939371345</v>
      </c>
      <c r="AO19" s="59">
        <f t="shared" si="36"/>
        <v>147.29214159934531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3.3653846153846154</v>
      </c>
      <c r="AI20" s="13">
        <f>IF('Données projet'!$A$62&gt;35,AI19+AH20-AQ19,IF(A20&lt;'Données projet'!$A$62,$AF$205^A20,IF(A20='Données projet'!$A$62,'Données projet'!$B$62,AI19+AH20-AQ19)))</f>
        <v>57.211538461538453</v>
      </c>
      <c r="AJ20" s="13">
        <f>AI20*VLOOKUP('Données projet'!$B$10,Paramètres!$A$1:$I$89,3,0)*VLOOKUP('Données projet'!$B$10,Paramètres!$A$1:$I$89,5,0)</f>
        <v>48.195</v>
      </c>
      <c r="AK20" s="13">
        <f t="shared" si="35"/>
        <v>14.14661773940678</v>
      </c>
      <c r="AL20" s="20">
        <f t="shared" si="4"/>
        <v>108.57831756280014</v>
      </c>
      <c r="AM20" s="59">
        <f t="shared" si="5"/>
        <v>401.91165089613344</v>
      </c>
      <c r="AN20" s="59">
        <f ca="1">AVERAGE(OFFSET($AM$3,0,0,'Données projet'!$E$10+1,1))-AVERAGE(OFFSET($H$3,0,0,'Données projet'!$E$10+1,1))</f>
        <v>179.55753939371345</v>
      </c>
      <c r="AO20" s="59">
        <f t="shared" si="36"/>
        <v>147.29214159934531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3.3653846153846154</v>
      </c>
      <c r="AI21" s="13">
        <f>IF('Données projet'!$A$62&gt;35,AI20+AH21-AQ20,IF(A21&lt;'Données projet'!$A$62,$AF$205^A21,IF(A21='Données projet'!$A$62,'Données projet'!$B$62,AI20+AH21-AQ20)))</f>
        <v>60.576923076923066</v>
      </c>
      <c r="AJ21" s="13">
        <f>AI21*VLOOKUP('Données projet'!$B$10,Paramètres!$A$1:$I$89,3,0)*VLOOKUP('Données projet'!$B$10,Paramètres!$A$1:$I$89,5,0)</f>
        <v>51.03</v>
      </c>
      <c r="AK21" s="13">
        <f t="shared" si="35"/>
        <v>14.879445158418484</v>
      </c>
      <c r="AL21" s="20">
        <f t="shared" si="4"/>
        <v>114.79228365091221</v>
      </c>
      <c r="AM21" s="59">
        <f t="shared" si="5"/>
        <v>408.12561698424554</v>
      </c>
      <c r="AN21" s="59">
        <f ca="1">AVERAGE(OFFSET($AM$3,0,0,'Données projet'!$E$10+1,1))-AVERAGE(OFFSET($H$3,0,0,'Données projet'!$E$10+1,1))</f>
        <v>179.55753939371345</v>
      </c>
      <c r="AO21" s="59">
        <f t="shared" si="36"/>
        <v>147.29214159934531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3.3653846153846154</v>
      </c>
      <c r="AI22" s="13">
        <f>IF('Données projet'!$A$62&gt;35,AI21+AH22-AQ21,IF(A22&lt;'Données projet'!$A$62,$AF$205^A22,IF(A22='Données projet'!$A$62,'Données projet'!$B$62,AI21+AH22-AQ21)))</f>
        <v>63.942307692307679</v>
      </c>
      <c r="AJ22" s="13">
        <f>AI22*VLOOKUP('Données projet'!$B$10,Paramètres!$A$1:$I$89,3,0)*VLOOKUP('Données projet'!$B$10,Paramètres!$A$1:$I$89,5,0)</f>
        <v>53.864999999999988</v>
      </c>
      <c r="AK22" s="13">
        <f t="shared" si="35"/>
        <v>15.607546350125132</v>
      </c>
      <c r="AL22" s="20">
        <f t="shared" si="4"/>
        <v>120.99801822646789</v>
      </c>
      <c r="AM22" s="59">
        <f t="shared" si="5"/>
        <v>414.33135155980119</v>
      </c>
      <c r="AN22" s="59">
        <f ca="1">AVERAGE(OFFSET($AM$3,0,0,'Données projet'!$E$10+1,1))-AVERAGE(OFFSET($H$3,0,0,'Données projet'!$E$10+1,1))</f>
        <v>179.55753939371345</v>
      </c>
      <c r="AO22" s="59">
        <f t="shared" si="36"/>
        <v>147.29214159934531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3.3653846153846154</v>
      </c>
      <c r="AI23" s="13">
        <f>IF('Données projet'!$A$62&gt;35,AI22+AH23-AQ22,IF(A23&lt;'Données projet'!$A$62,$AF$205^A23,IF(A23='Données projet'!$A$62,'Données projet'!$B$62,AI22+AH23-AQ22)))</f>
        <v>67.307692307692292</v>
      </c>
      <c r="AJ23" s="13">
        <f>AI23*VLOOKUP('Données projet'!$B$10,Paramètres!$A$1:$I$89,3,0)*VLOOKUP('Données projet'!$B$10,Paramètres!$A$1:$I$89,5,0)</f>
        <v>56.699999999999989</v>
      </c>
      <c r="AK23" s="13">
        <f t="shared" si="35"/>
        <v>16.331198431179367</v>
      </c>
      <c r="AL23" s="20">
        <f t="shared" si="4"/>
        <v>127.19600393430403</v>
      </c>
      <c r="AM23" s="59">
        <f t="shared" si="5"/>
        <v>420.52933726763735</v>
      </c>
      <c r="AN23" s="59">
        <f ca="1">AVERAGE(OFFSET($AM$3,0,0,'Données projet'!$E$10+1,1))-AVERAGE(OFFSET($H$3,0,0,'Données projet'!$E$10+1,1))</f>
        <v>179.55753939371345</v>
      </c>
      <c r="AO23" s="59">
        <f t="shared" si="36"/>
        <v>147.29214159934531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3.3653846153846154</v>
      </c>
      <c r="AI24" s="13">
        <f>IF('Données projet'!$A$62&gt;35,AI23+AH24-AQ23,IF(A24&lt;'Données projet'!$A$62,$AF$205^A24,IF(A24='Données projet'!$A$62,'Données projet'!$B$62,AI23+AH24-AQ23)))</f>
        <v>70.673076923076906</v>
      </c>
      <c r="AJ24" s="13">
        <f>AI24*VLOOKUP('Données projet'!$B$10,Paramètres!$A$1:$I$89,3,0)*VLOOKUP('Données projet'!$B$10,Paramètres!$A$1:$I$89,5,0)</f>
        <v>59.534999999999997</v>
      </c>
      <c r="AK24" s="13">
        <f t="shared" si="35"/>
        <v>17.050649241150623</v>
      </c>
      <c r="AL24" s="20">
        <f t="shared" si="4"/>
        <v>133.38667242833733</v>
      </c>
      <c r="AM24" s="59">
        <f t="shared" si="5"/>
        <v>426.72000576167068</v>
      </c>
      <c r="AN24" s="59">
        <f ca="1">AVERAGE(OFFSET($AM$3,0,0,'Données projet'!$E$10+1,1))-AVERAGE(OFFSET($H$3,0,0,'Données projet'!$E$10+1,1))</f>
        <v>179.55753939371345</v>
      </c>
      <c r="AO24" s="59">
        <f t="shared" si="36"/>
        <v>147.29214159934531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3.3653846153846154</v>
      </c>
      <c r="AI25" s="13">
        <f>IF('Données projet'!$A$62&gt;35,AI24+AH25-AQ24,IF(A25&lt;'Données projet'!$A$62,$AF$205^A25,IF(A25='Données projet'!$A$62,'Données projet'!$B$62,AI24+AH25-AQ24)))</f>
        <v>74.038461538461519</v>
      </c>
      <c r="AJ25" s="13">
        <f>AI25*VLOOKUP('Données projet'!$B$10,Paramètres!$A$1:$I$89,3,0)*VLOOKUP('Données projet'!$B$10,Paramètres!$A$1:$I$89,5,0)</f>
        <v>62.369999999999983</v>
      </c>
      <c r="AK25" s="13">
        <f t="shared" si="35"/>
        <v>17.766121682093946</v>
      </c>
      <c r="AL25" s="20">
        <f t="shared" si="4"/>
        <v>139.57041192964692</v>
      </c>
      <c r="AM25" s="59">
        <f t="shared" si="5"/>
        <v>432.90374526298024</v>
      </c>
      <c r="AN25" s="59">
        <f ca="1">AVERAGE(OFFSET($AM$3,0,0,'Données projet'!$E$10+1,1))-AVERAGE(OFFSET($H$3,0,0,'Données projet'!$E$10+1,1))</f>
        <v>179.55753939371345</v>
      </c>
      <c r="AO25" s="59">
        <f t="shared" si="36"/>
        <v>147.29214159934531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3.3653846153846154</v>
      </c>
      <c r="AI26" s="13">
        <f>IF('Données projet'!$A$62&gt;35,AI25+AH26-AQ25,IF(A26&lt;'Données projet'!$A$62,$AF$205^A26,IF(A26='Données projet'!$A$62,'Données projet'!$B$62,AI25+AH26-AQ25)))</f>
        <v>77.403846153846132</v>
      </c>
      <c r="AJ26" s="13">
        <f>AI26*VLOOKUP('Données projet'!$B$10,Paramètres!$A$1:$I$89,3,0)*VLOOKUP('Données projet'!$B$10,Paramètres!$A$1:$I$89,5,0)</f>
        <v>65.204999999999984</v>
      </c>
      <c r="AK26" s="13">
        <f t="shared" si="35"/>
        <v>18.477817246802839</v>
      </c>
      <c r="AL26" s="20">
        <f t="shared" si="4"/>
        <v>145.7475733715149</v>
      </c>
      <c r="AM26" s="59">
        <f t="shared" si="5"/>
        <v>439.08090670484819</v>
      </c>
      <c r="AN26" s="59">
        <f ca="1">AVERAGE(OFFSET($AM$3,0,0,'Données projet'!$E$10+1,1))-AVERAGE(OFFSET($H$3,0,0,'Données projet'!$E$10+1,1))</f>
        <v>179.55753939371345</v>
      </c>
      <c r="AO26" s="59">
        <f t="shared" si="36"/>
        <v>147.29214159934531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3.3653846153846154</v>
      </c>
      <c r="AI27" s="13">
        <f>IF('Données projet'!$A$62&gt;35,AI26+AH27-AQ26,IF(A27&lt;'Données projet'!$A$62,$AF$205^A27,IF(A27='Données projet'!$A$62,'Données projet'!$B$62,AI26+AH27-AQ26)))</f>
        <v>80.769230769230745</v>
      </c>
      <c r="AJ27" s="13">
        <f>AI27*VLOOKUP('Données projet'!$B$10,Paramètres!$A$1:$I$89,3,0)*VLOOKUP('Données projet'!$B$10,Paramètres!$A$1:$I$89,5,0)</f>
        <v>68.039999999999992</v>
      </c>
      <c r="AK27" s="13">
        <f t="shared" si="35"/>
        <v>19.185918916138608</v>
      </c>
      <c r="AL27" s="20">
        <f t="shared" si="4"/>
        <v>151.91847544560804</v>
      </c>
      <c r="AM27" s="59">
        <f t="shared" si="5"/>
        <v>445.25180877894138</v>
      </c>
      <c r="AN27" s="59">
        <f ca="1">AVERAGE(OFFSET($AM$3,0,0,'Données projet'!$E$10+1,1))-AVERAGE(OFFSET($H$3,0,0,'Données projet'!$E$10+1,1))</f>
        <v>179.55753939371345</v>
      </c>
      <c r="AO27" s="59">
        <f t="shared" si="36"/>
        <v>147.29214159934531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3.3653846153846154</v>
      </c>
      <c r="AI28" s="13">
        <f>IF('Données projet'!$A$62&gt;35,AI27+AH28-AQ27,IF(A28&lt;'Données projet'!$A$62,$AF$205^A28,IF(A28='Données projet'!$A$62,'Données projet'!$B$62,AI27+AH28-AQ27)))</f>
        <v>84.134615384615358</v>
      </c>
      <c r="AJ28" s="13">
        <f>AI28*VLOOKUP('Données projet'!$B$10,Paramètres!$A$1:$I$89,3,0)*VLOOKUP('Données projet'!$B$10,Paramètres!$A$1:$I$89,5,0)</f>
        <v>70.874999999999986</v>
      </c>
      <c r="AK28" s="13">
        <f t="shared" si="35"/>
        <v>19.890593559864755</v>
      </c>
      <c r="AL28" s="20">
        <f t="shared" si="4"/>
        <v>158.08340878343108</v>
      </c>
      <c r="AM28" s="59">
        <f t="shared" si="5"/>
        <v>451.4167421167644</v>
      </c>
      <c r="AN28" s="59">
        <f ca="1">AVERAGE(OFFSET($AM$3,0,0,'Données projet'!$E$10+1,1))-AVERAGE(OFFSET($H$3,0,0,'Données projet'!$E$10+1,1))</f>
        <v>179.55753939371345</v>
      </c>
      <c r="AO28" s="59">
        <f t="shared" si="36"/>
        <v>147.29214159934531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3.3653846153846154</v>
      </c>
      <c r="AI29" s="13">
        <f>IF('Données projet'!$A$62&gt;35,AI28+AH29-AQ28,IF(A29&lt;'Données projet'!$A$62,$AF$205^A29,IF(A29='Données projet'!$A$62,'Données projet'!$B$62,AI28+AH29-AQ28)))</f>
        <v>87.499999999999972</v>
      </c>
      <c r="AJ29" s="13">
        <f>AI29*VLOOKUP('Données projet'!$B$10,Paramètres!$A$1:$I$89,3,0)*VLOOKUP('Données projet'!$B$10,Paramètres!$A$1:$I$89,5,0)</f>
        <v>73.70999999999998</v>
      </c>
      <c r="AK29" s="13">
        <f t="shared" si="35"/>
        <v>20.591993942534767</v>
      </c>
      <c r="AL29" s="20">
        <f t="shared" si="4"/>
        <v>164.24263944991466</v>
      </c>
      <c r="AM29" s="59">
        <f t="shared" si="5"/>
        <v>457.57597278324795</v>
      </c>
      <c r="AN29" s="59">
        <f ca="1">AVERAGE(OFFSET($AM$3,0,0,'Données projet'!$E$10+1,1))-AVERAGE(OFFSET($H$3,0,0,'Données projet'!$E$10+1,1))</f>
        <v>179.55753939371345</v>
      </c>
      <c r="AO29" s="59">
        <f t="shared" si="36"/>
        <v>147.29214159934531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3.3653846153846154</v>
      </c>
      <c r="AI30" s="13">
        <f>IF('Données projet'!$A$62&gt;35,AI29+AH30-AQ29,IF(A30&lt;'Données projet'!$A$62,$AF$205^A30,IF(A30='Données projet'!$A$62,'Données projet'!$B$62,AI29+AH30-AQ29)))</f>
        <v>90.865384615384585</v>
      </c>
      <c r="AJ30" s="13">
        <f>AI30*VLOOKUP('Données projet'!$B$10,Paramètres!$A$1:$I$89,3,0)*VLOOKUP('Données projet'!$B$10,Paramètres!$A$1:$I$89,5,0)</f>
        <v>76.544999999999987</v>
      </c>
      <c r="AK30" s="13">
        <f t="shared" si="35"/>
        <v>21.290260412101862</v>
      </c>
      <c r="AL30" s="20">
        <f t="shared" si="4"/>
        <v>170.3964118844107</v>
      </c>
      <c r="AM30" s="59">
        <f t="shared" si="5"/>
        <v>463.72974521774404</v>
      </c>
      <c r="AN30" s="59">
        <f ca="1">AVERAGE(OFFSET($AM$3,0,0,'Données projet'!$E$10+1,1))-AVERAGE(OFFSET($H$3,0,0,'Données projet'!$E$10+1,1))</f>
        <v>179.55753939371345</v>
      </c>
      <c r="AO30" s="59">
        <f t="shared" si="36"/>
        <v>147.29214159934531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3.3653846153846154</v>
      </c>
      <c r="AI31" s="13">
        <f>IF('Données projet'!$A$62&gt;35,AI30+AH31-AQ30,IF(A31&lt;'Données projet'!$A$62,$AF$205^A31,IF(A31='Données projet'!$A$62,'Données projet'!$B$62,AI30+AH31-AQ30)))</f>
        <v>94.230769230769198</v>
      </c>
      <c r="AJ31" s="13">
        <f>AI31*VLOOKUP('Données projet'!$B$10,Paramètres!$A$1:$I$89,3,0)*VLOOKUP('Données projet'!$B$10,Paramètres!$A$1:$I$89,5,0)</f>
        <v>79.379999999999981</v>
      </c>
      <c r="AK31" s="13">
        <f t="shared" si="35"/>
        <v>21.98552233133179</v>
      </c>
      <c r="AL31" s="20">
        <f t="shared" si="4"/>
        <v>176.54495139373617</v>
      </c>
      <c r="AM31" s="59">
        <f t="shared" si="5"/>
        <v>469.87828472706951</v>
      </c>
      <c r="AN31" s="59">
        <f ca="1">AVERAGE(OFFSET($AM$3,0,0,'Données projet'!$E$10+1,1))-AVERAGE(OFFSET($H$3,0,0,'Données projet'!$E$10+1,1))</f>
        <v>179.55753939371345</v>
      </c>
      <c r="AO31" s="59">
        <f t="shared" si="36"/>
        <v>147.29214159934531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3.3653846153846154</v>
      </c>
      <c r="AI32" s="13">
        <f>IF('Données projet'!$A$62&gt;35,AI31+AH32-AQ31,IF(A32&lt;'Données projet'!$A$62,$AF$205^A32,IF(A32='Données projet'!$A$62,'Données projet'!$B$62,AI31+AH32-AQ31)))</f>
        <v>97.596153846153811</v>
      </c>
      <c r="AJ32" s="13">
        <f>AI32*VLOOKUP('Données projet'!$B$10,Paramètres!$A$1:$I$89,3,0)*VLOOKUP('Données projet'!$B$10,Paramètres!$A$1:$I$89,5,0)</f>
        <v>82.214999999999975</v>
      </c>
      <c r="AK32" s="13">
        <f t="shared" si="35"/>
        <v>22.677899298981782</v>
      </c>
      <c r="AL32" s="20">
        <f t="shared" si="4"/>
        <v>182.6884662790599</v>
      </c>
      <c r="AM32" s="59">
        <f t="shared" si="5"/>
        <v>476.02179961239324</v>
      </c>
      <c r="AN32" s="59">
        <f ca="1">AVERAGE(OFFSET($AM$3,0,0,'Données projet'!$E$10+1,1))-AVERAGE(OFFSET($H$3,0,0,'Données projet'!$E$10+1,1))</f>
        <v>179.55753939371345</v>
      </c>
      <c r="AO32" s="59">
        <f t="shared" si="36"/>
        <v>147.29214159934531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3.3653846153846154</v>
      </c>
      <c r="AI33" s="13">
        <f>IF('Données projet'!$A$62&gt;35,AI32+AH33-AQ32,IF(A33&lt;'Données projet'!$A$62,$AF$205^A33,IF(A33='Données projet'!$A$62,'Données projet'!$B$62,AI32+AH33-AQ32)))</f>
        <v>100.96153846153842</v>
      </c>
      <c r="AJ33" s="13">
        <f>AI33*VLOOKUP('Données projet'!$B$10,Paramètres!$A$1:$I$89,3,0)*VLOOKUP('Données projet'!$B$10,Paramètres!$A$1:$I$89,5,0)</f>
        <v>85.049999999999983</v>
      </c>
      <c r="AK33" s="13">
        <f t="shared" si="35"/>
        <v>23.367502197808708</v>
      </c>
      <c r="AL33" s="20">
        <f t="shared" si="4"/>
        <v>188.82714966118343</v>
      </c>
      <c r="AM33" s="59">
        <f t="shared" si="5"/>
        <v>482.16048299451677</v>
      </c>
      <c r="AN33" s="59">
        <f ca="1">AVERAGE(OFFSET($AM$3,0,0,'Données projet'!$E$10+1,1))-AVERAGE(OFFSET($H$3,0,0,'Données projet'!$E$10+1,1))</f>
        <v>179.55753939371345</v>
      </c>
      <c r="AO33" s="59">
        <f t="shared" si="36"/>
        <v>147.29214159934531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3.3653846153846154</v>
      </c>
      <c r="AI34" s="13">
        <f>IF('Données projet'!$A$62&gt;35,AI33+AH34-AQ33,IF(A34&lt;'Données projet'!$A$62,$AF$205^A34,IF(A34='Données projet'!$A$62,'Données projet'!$B$62,AI33+AH34-AQ33)))</f>
        <v>104.32692307692304</v>
      </c>
      <c r="AJ34" s="13">
        <f>AI34*VLOOKUP('Données projet'!$B$10,Paramètres!$A$1:$I$89,3,0)*VLOOKUP('Données projet'!$B$10,Paramètres!$A$1:$I$89,5,0)</f>
        <v>87.884999999999977</v>
      </c>
      <c r="AK34" s="13">
        <f t="shared" si="35"/>
        <v>24.054434098917618</v>
      </c>
      <c r="AL34" s="20">
        <f t="shared" si="4"/>
        <v>194.96118105561479</v>
      </c>
      <c r="AM34" s="59">
        <f t="shared" si="5"/>
        <v>488.29451438894807</v>
      </c>
      <c r="AN34" s="59">
        <f ca="1">AVERAGE(OFFSET($AM$3,0,0,'Données projet'!$E$10+1,1))-AVERAGE(OFFSET($H$3,0,0,'Données projet'!$E$10+1,1))</f>
        <v>179.55753939371345</v>
      </c>
      <c r="AO34" s="59">
        <f t="shared" si="36"/>
        <v>147.29214159934531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3.3653846153846154</v>
      </c>
      <c r="AI35" s="13">
        <f>IF('Données projet'!$A$62&gt;35,AI34+AH35-AQ34,IF(A35&lt;'Données projet'!$A$62,$AF$205^A35,IF(A35='Données projet'!$A$62,'Données projet'!$B$62,AI34+AH35-AQ34)))</f>
        <v>107.69230769230765</v>
      </c>
      <c r="AJ35" s="13">
        <f>AI35*VLOOKUP('Données projet'!$B$10,Paramètres!$A$1:$I$89,3,0)*VLOOKUP('Données projet'!$B$10,Paramètres!$A$1:$I$89,5,0)</f>
        <v>90.71999999999997</v>
      </c>
      <c r="AK35" s="13">
        <f t="shared" si="35"/>
        <v>24.738791046142087</v>
      </c>
      <c r="AL35" s="20">
        <f t="shared" si="4"/>
        <v>201.09072773869741</v>
      </c>
      <c r="AM35" s="59">
        <f t="shared" si="5"/>
        <v>494.42406107203072</v>
      </c>
      <c r="AN35" s="59">
        <f ca="1">AVERAGE(OFFSET($AM$3,0,0,'Données projet'!$E$10+1,1))-AVERAGE(OFFSET($H$3,0,0,'Données projet'!$E$10+1,1))</f>
        <v>179.55753939371345</v>
      </c>
      <c r="AO35" s="59">
        <f t="shared" si="36"/>
        <v>147.29214159934531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3.3653846153846154</v>
      </c>
      <c r="AI36" s="13">
        <f>IF('Données projet'!$A$62&gt;35,AI35+AH36-AQ35,IF(A36&lt;'Données projet'!$A$62,$AF$205^A36,IF(A36='Données projet'!$A$62,'Données projet'!$B$62,AI35+AH36-AQ35)))</f>
        <v>111.05769230769226</v>
      </c>
      <c r="AJ36" s="13">
        <f>AI36*VLOOKUP('Données projet'!$B$10,Paramètres!$A$1:$I$89,3,0)*VLOOKUP('Données projet'!$B$10,Paramètres!$A$1:$I$89,5,0)</f>
        <v>93.554999999999964</v>
      </c>
      <c r="AK36" s="13">
        <f t="shared" si="35"/>
        <v>25.420662739622784</v>
      </c>
      <c r="AL36" s="20">
        <f t="shared" si="4"/>
        <v>207.21594593817625</v>
      </c>
      <c r="AM36" s="59">
        <f t="shared" si="5"/>
        <v>500.54927927150959</v>
      </c>
      <c r="AN36" s="59">
        <f ca="1">AVERAGE(OFFSET($AM$3,0,0,'Données projet'!$E$10+1,1))-AVERAGE(OFFSET($H$3,0,0,'Données projet'!$E$10+1,1))</f>
        <v>179.55753939371345</v>
      </c>
      <c r="AO36" s="59">
        <f t="shared" si="36"/>
        <v>147.29214159934531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3.3653846153846154</v>
      </c>
      <c r="AI37" s="13">
        <f>IF('Données projet'!$A$62&gt;35,AI36+AH37-AQ36,IF(A37&lt;'Données projet'!$A$62,$AF$205^A37,IF(A37='Données projet'!$A$62,'Données projet'!$B$62,AI36+AH37-AQ36)))</f>
        <v>114.42307692307688</v>
      </c>
      <c r="AJ37" s="13">
        <f>AI37*VLOOKUP('Données projet'!$B$10,Paramètres!$A$1:$I$89,3,0)*VLOOKUP('Données projet'!$B$10,Paramètres!$A$1:$I$89,5,0)</f>
        <v>96.389999999999972</v>
      </c>
      <c r="AK37" s="13">
        <f t="shared" si="35"/>
        <v>26.100133134199861</v>
      </c>
      <c r="AL37" s="20">
        <f t="shared" si="4"/>
        <v>213.33698187539804</v>
      </c>
      <c r="AM37" s="59">
        <f t="shared" si="5"/>
        <v>506.67031520873138</v>
      </c>
      <c r="AN37" s="59">
        <f ca="1">AVERAGE(OFFSET($AM$3,0,0,'Données projet'!$E$10+1,1))-AVERAGE(OFFSET($H$3,0,0,'Données projet'!$E$10+1,1))</f>
        <v>179.55753939371345</v>
      </c>
      <c r="AO37" s="59">
        <f t="shared" si="36"/>
        <v>147.29214159934531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3.3653846153846154</v>
      </c>
      <c r="AI38" s="13">
        <f>IF('Données projet'!$A$62&gt;35,AI37+AH38-AQ37,IF(A38&lt;'Données projet'!$A$62,$AF$205^A38,IF(A38='Données projet'!$A$62,'Données projet'!$B$62,AI37+AH38-AQ37)))</f>
        <v>117.78846153846149</v>
      </c>
      <c r="AJ38" s="13">
        <f>AI38*VLOOKUP('Données projet'!$B$10,Paramètres!$A$1:$I$89,3,0)*VLOOKUP('Données projet'!$B$10,Paramètres!$A$1:$I$89,5,0)</f>
        <v>99.22499999999998</v>
      </c>
      <c r="AK38" s="13">
        <f t="shared" si="35"/>
        <v>26.777280965428233</v>
      </c>
      <c r="AL38" s="20">
        <f t="shared" si="4"/>
        <v>219.45397268145413</v>
      </c>
      <c r="AM38" s="59">
        <f t="shared" si="5"/>
        <v>512.78730601478742</v>
      </c>
      <c r="AN38" s="59">
        <f ca="1">AVERAGE(OFFSET($AM$3,0,0,'Données projet'!$E$10+1,1))-AVERAGE(OFFSET($H$3,0,0,'Données projet'!$E$10+1,1))</f>
        <v>179.55753939371345</v>
      </c>
      <c r="AO38" s="59">
        <f t="shared" si="36"/>
        <v>147.29214159934531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3.3653846153846154</v>
      </c>
      <c r="AI39" s="13">
        <f>IF('Données projet'!$A$62&gt;35,AI38+AH39-AQ38,IF(A39&lt;'Données projet'!$A$62,$AF$205^A39,IF(A39='Données projet'!$A$62,'Données projet'!$B$62,AI38+AH39-AQ38)))</f>
        <v>121.1538461538461</v>
      </c>
      <c r="AJ39" s="13">
        <f>AI39*VLOOKUP('Données projet'!$B$10,Paramètres!$A$1:$I$89,3,0)*VLOOKUP('Données projet'!$B$10,Paramètres!$A$1:$I$89,5,0)</f>
        <v>102.05999999999997</v>
      </c>
      <c r="AK39" s="13">
        <f t="shared" si="35"/>
        <v>27.452180213786836</v>
      </c>
      <c r="AL39" s="20">
        <f t="shared" si="4"/>
        <v>225.5670472056787</v>
      </c>
      <c r="AM39" s="59">
        <f t="shared" si="5"/>
        <v>518.90038053901208</v>
      </c>
      <c r="AN39" s="59">
        <f ca="1">AVERAGE(OFFSET($AM$3,0,0,'Données projet'!$E$10+1,1))-AVERAGE(OFFSET($H$3,0,0,'Données projet'!$E$10+1,1))</f>
        <v>179.55753939371345</v>
      </c>
      <c r="AO39" s="59">
        <f t="shared" si="36"/>
        <v>147.29214159934531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3.3653846153846154</v>
      </c>
      <c r="AI40" s="13">
        <f>IF('Données projet'!$A$62&gt;35,AI39+AH40-AQ39,IF(A40&lt;'Données projet'!$A$62,$AF$205^A40,IF(A40='Données projet'!$A$62,'Données projet'!$B$62,AI39+AH40-AQ39)))</f>
        <v>124.51923076923072</v>
      </c>
      <c r="AJ40" s="13">
        <f>AI40*VLOOKUP('Données projet'!$B$10,Paramètres!$A$1:$I$89,3,0)*VLOOKUP('Données projet'!$B$10,Paramètres!$A$1:$I$89,5,0)</f>
        <v>104.89499999999995</v>
      </c>
      <c r="AK40" s="13">
        <f t="shared" si="35"/>
        <v>28.124900515859181</v>
      </c>
      <c r="AL40" s="20">
        <f t="shared" si="4"/>
        <v>231.67632673178801</v>
      </c>
      <c r="AM40" s="59">
        <f t="shared" si="5"/>
        <v>525.00966006512135</v>
      </c>
      <c r="AN40" s="59">
        <f ca="1">AVERAGE(OFFSET($AM$3,0,0,'Données projet'!$E$10+1,1))-AVERAGE(OFFSET($H$3,0,0,'Données projet'!$E$10+1,1))</f>
        <v>179.55753939371345</v>
      </c>
      <c r="AO40" s="59">
        <f t="shared" si="36"/>
        <v>147.29214159934531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127.88461538461539</v>
      </c>
      <c r="AG41" s="12">
        <f>VLOOKUP(A41,'Données projet'!$A$61:$I$81,9,0)</f>
        <v>3.3653846153846154</v>
      </c>
      <c r="AH41" s="12">
        <f t="array" ref="AH41">INDEX(AG:AG,MIN(IF(ISNUMBER(AG41:AG237),ROW(AG41:AG237),"")))</f>
        <v>3.3653846153846154</v>
      </c>
      <c r="AI41" s="13">
        <f>IF('Données projet'!$A$62&gt;35,AI40+AH41-AQ40,IF(A41&lt;'Données projet'!$A$62,$AF$205^A41,IF(A41='Données projet'!$A$62,'Données projet'!$B$62,AI40+AH41-AQ40)))</f>
        <v>127.88461538461533</v>
      </c>
      <c r="AJ41" s="13">
        <f>AI41*VLOOKUP('Données projet'!$B$10,Paramètres!$A$1:$I$89,3,0)*VLOOKUP('Données projet'!$B$10,Paramètres!$A$1:$I$89,5,0)</f>
        <v>107.72999999999996</v>
      </c>
      <c r="AK41" s="13">
        <f t="shared" si="35"/>
        <v>28.795507529812127</v>
      </c>
      <c r="AL41" s="20">
        <f t="shared" si="4"/>
        <v>237.78192561442276</v>
      </c>
      <c r="AM41" s="59">
        <f t="shared" si="5"/>
        <v>531.11525894775605</v>
      </c>
      <c r="AN41" s="59">
        <f ca="1">AVERAGE(OFFSET($AM$3,0,0,'Données projet'!$E$10+1,1))-AVERAGE(OFFSET($H$3,0,0,'Données projet'!$E$10+1,1))</f>
        <v>179.55753939371345</v>
      </c>
      <c r="AO41" s="59">
        <f t="shared" si="36"/>
        <v>147.29214159934531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62.551282051282051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6.9880952380952346</v>
      </c>
      <c r="AI42" s="13">
        <f>IF('Données projet'!$A$62&gt;35,AI41+AH42-AQ41,IF(A42&lt;'Données projet'!$A$62,$AF$205^A42,IF(A42='Données projet'!$A$62,'Données projet'!$B$62,AI41+AH42-AQ41)))</f>
        <v>72.321428571428527</v>
      </c>
      <c r="AJ42" s="13">
        <f>AI42*VLOOKUP('Données projet'!$B$10,Paramètres!$A$1:$I$89,3,0)*VLOOKUP('Données projet'!$B$10,Paramètres!$A$1:$I$89,5,0)</f>
        <v>60.9235714285714</v>
      </c>
      <c r="AK42" s="13">
        <f t="shared" si="35"/>
        <v>17.401568843978207</v>
      </c>
      <c r="AL42" s="20">
        <f t="shared" si="4"/>
        <v>136.41628597469057</v>
      </c>
      <c r="AM42" s="59">
        <f t="shared" si="5"/>
        <v>429.74961930802385</v>
      </c>
      <c r="AN42" s="59">
        <f ca="1">AVERAGE(OFFSET($AM$3,0,0,'Données projet'!$E$10+1,1))-AVERAGE(OFFSET($H$3,0,0,'Données projet'!$E$10+1,1))</f>
        <v>179.55753939371345</v>
      </c>
      <c r="AO42" s="59">
        <f t="shared" si="36"/>
        <v>147.29214159934531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6.9880952380952346</v>
      </c>
      <c r="AI43" s="13">
        <f>IF('Données projet'!$A$62&gt;35,AI42+AH43-AQ42,IF(A43&lt;'Données projet'!$A$62,$AF$205^A43,IF(A43='Données projet'!$A$62,'Données projet'!$B$62,AI42+AH43-AQ42)))</f>
        <v>79.309523809523768</v>
      </c>
      <c r="AJ43" s="13">
        <f>AI43*VLOOKUP('Données projet'!$B$10,Paramètres!$A$1:$I$89,3,0)*VLOOKUP('Données projet'!$B$10,Paramètres!$A$1:$I$89,5,0)</f>
        <v>66.810342857142828</v>
      </c>
      <c r="AK43" s="13">
        <f t="shared" si="35"/>
        <v>18.879216142595816</v>
      </c>
      <c r="AL43" s="20">
        <f t="shared" si="4"/>
        <v>149.24264859121146</v>
      </c>
      <c r="AM43" s="59">
        <f t="shared" si="5"/>
        <v>442.57598192454475</v>
      </c>
      <c r="AN43" s="59">
        <f ca="1">AVERAGE(OFFSET($AM$3,0,0,'Données projet'!$E$10+1,1))-AVERAGE(OFFSET($H$3,0,0,'Données projet'!$E$10+1,1))</f>
        <v>179.55753939371345</v>
      </c>
      <c r="AO43" s="59">
        <f t="shared" si="36"/>
        <v>147.29214159934531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6.9880952380952346</v>
      </c>
      <c r="AI44" s="13">
        <f>IF('Données projet'!$A$62&gt;35,AI43+AH44-AQ43,IF(A44&lt;'Données projet'!$A$62,$AF$205^A44,IF(A44='Données projet'!$A$62,'Données projet'!$B$62,AI43+AH44-AQ43)))</f>
        <v>86.297619047619008</v>
      </c>
      <c r="AJ44" s="13">
        <f>AI44*VLOOKUP('Données projet'!$B$10,Paramètres!$A$1:$I$89,3,0)*VLOOKUP('Données projet'!$B$10,Paramètres!$A$1:$I$89,5,0)</f>
        <v>72.697114285714264</v>
      </c>
      <c r="AK44" s="13">
        <f t="shared" si="35"/>
        <v>20.341765241277962</v>
      </c>
      <c r="AL44" s="20">
        <f t="shared" si="4"/>
        <v>162.04271517617812</v>
      </c>
      <c r="AM44" s="59">
        <f t="shared" si="5"/>
        <v>455.37604850951141</v>
      </c>
      <c r="AN44" s="59">
        <f ca="1">AVERAGE(OFFSET($AM$3,0,0,'Données projet'!$E$10+1,1))-AVERAGE(OFFSET($H$3,0,0,'Données projet'!$E$10+1,1))</f>
        <v>179.55753939371345</v>
      </c>
      <c r="AO44" s="59">
        <f t="shared" si="36"/>
        <v>147.29214159934531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6.9880952380952346</v>
      </c>
      <c r="AI45" s="13">
        <f>IF('Données projet'!$A$62&gt;35,AI44+AH45-AQ44,IF(A45&lt;'Données projet'!$A$62,$AF$205^A45,IF(A45='Données projet'!$A$62,'Données projet'!$B$62,AI44+AH45-AQ44)))</f>
        <v>93.285714285714249</v>
      </c>
      <c r="AJ45" s="13">
        <f>AI45*VLOOKUP('Données projet'!$B$10,Paramètres!$A$1:$I$89,3,0)*VLOOKUP('Données projet'!$B$10,Paramètres!$A$1:$I$89,5,0)</f>
        <v>78.583885714285685</v>
      </c>
      <c r="AK45" s="13">
        <f t="shared" si="35"/>
        <v>21.79057773984362</v>
      </c>
      <c r="AL45" s="20">
        <f t="shared" si="4"/>
        <v>174.81885718260855</v>
      </c>
      <c r="AM45" s="59">
        <f t="shared" si="5"/>
        <v>468.15219051594187</v>
      </c>
      <c r="AN45" s="59">
        <f ca="1">AVERAGE(OFFSET($AM$3,0,0,'Données projet'!$E$10+1,1))-AVERAGE(OFFSET($H$3,0,0,'Données projet'!$E$10+1,1))</f>
        <v>179.55753939371345</v>
      </c>
      <c r="AO45" s="59">
        <f t="shared" si="36"/>
        <v>147.29214159934531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6.9880952380952346</v>
      </c>
      <c r="AI46" s="13">
        <f>IF('Données projet'!$A$62&gt;35,AI45+AH46-AQ45,IF(A46&lt;'Données projet'!$A$62,$AF$205^A46,IF(A46='Données projet'!$A$62,'Données projet'!$B$62,AI45+AH46-AQ45)))</f>
        <v>100.27380952380949</v>
      </c>
      <c r="AJ46" s="13">
        <f>AI46*VLOOKUP('Données projet'!$B$10,Paramètres!$A$1:$I$89,3,0)*VLOOKUP('Données projet'!$B$10,Paramètres!$A$1:$I$89,5,0)</f>
        <v>84.470657142857121</v>
      </c>
      <c r="AK46" s="13">
        <f t="shared" si="35"/>
        <v>23.226799664638516</v>
      </c>
      <c r="AL46" s="20">
        <f t="shared" si="4"/>
        <v>187.57307060638823</v>
      </c>
      <c r="AM46" s="59">
        <f t="shared" si="5"/>
        <v>480.90640393972154</v>
      </c>
      <c r="AN46" s="59">
        <f ca="1">AVERAGE(OFFSET($AM$3,0,0,'Données projet'!$E$10+1,1))-AVERAGE(OFFSET($H$3,0,0,'Données projet'!$E$10+1,1))</f>
        <v>179.55753939371345</v>
      </c>
      <c r="AO46" s="59">
        <f t="shared" si="36"/>
        <v>147.29214159934531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6.9880952380952346</v>
      </c>
      <c r="AI47" s="13">
        <f>IF('Données projet'!$A$62&gt;35,AI46+AH47-AQ46,IF(A47&lt;'Données projet'!$A$62,$AF$205^A47,IF(A47='Données projet'!$A$62,'Données projet'!$B$62,AI46+AH47-AQ46)))</f>
        <v>107.26190476190473</v>
      </c>
      <c r="AJ47" s="13">
        <f>AI47*VLOOKUP('Données projet'!$B$10,Paramètres!$A$1:$I$89,3,0)*VLOOKUP('Données projet'!$B$10,Paramètres!$A$1:$I$89,5,0)</f>
        <v>90.357428571428557</v>
      </c>
      <c r="AK47" s="13">
        <f t="shared" si="35"/>
        <v>24.651408263108262</v>
      </c>
      <c r="AL47" s="20">
        <f t="shared" si="4"/>
        <v>200.30705748681831</v>
      </c>
      <c r="AM47" s="59">
        <f t="shared" si="5"/>
        <v>493.64039082015165</v>
      </c>
      <c r="AN47" s="59">
        <f ca="1">AVERAGE(OFFSET($AM$3,0,0,'Données projet'!$E$10+1,1))-AVERAGE(OFFSET($H$3,0,0,'Données projet'!$E$10+1,1))</f>
        <v>179.55753939371345</v>
      </c>
      <c r="AO47" s="59">
        <f t="shared" si="36"/>
        <v>147.29214159934531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114.24999999999999</v>
      </c>
      <c r="AG48" s="12">
        <f>VLOOKUP(A48,'Données projet'!$A$61:$I$81,9,0)</f>
        <v>6.9880952380952346</v>
      </c>
      <c r="AH48" s="12">
        <f t="array" ref="AH48">INDEX(AG:AG,MIN(IF(ISNUMBER(AG48:AG244),ROW(AG48:AG244),"")))</f>
        <v>6.9880952380952346</v>
      </c>
      <c r="AI48" s="13">
        <f>IF('Données projet'!$A$62&gt;35,AI47+AH48-AQ47,IF(A48&lt;'Données projet'!$A$62,$AF$205^A48,IF(A48='Données projet'!$A$62,'Données projet'!$B$62,AI47+AH48-AQ47)))</f>
        <v>114.24999999999997</v>
      </c>
      <c r="AJ48" s="13">
        <f>AI48*VLOOKUP('Données projet'!$B$10,Paramètres!$A$1:$I$89,3,0)*VLOOKUP('Données projet'!$B$10,Paramètres!$A$1:$I$89,5,0)</f>
        <v>96.244199999999978</v>
      </c>
      <c r="AK48" s="13">
        <f t="shared" si="35"/>
        <v>26.065246246607913</v>
      </c>
      <c r="AL48" s="20">
        <f t="shared" si="4"/>
        <v>213.02228554617542</v>
      </c>
      <c r="AM48" s="59">
        <f t="shared" si="5"/>
        <v>506.35561887950871</v>
      </c>
      <c r="AN48" s="59">
        <f ca="1">AVERAGE(OFFSET($AM$3,0,0,'Données projet'!$E$10+1,1))-AVERAGE(OFFSET($H$3,0,0,'Données projet'!$E$10+1,1))</f>
        <v>179.55753939371345</v>
      </c>
      <c r="AO48" s="59">
        <f t="shared" si="36"/>
        <v>147.29214159934531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32.397435897435898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7.0293040293040292</v>
      </c>
      <c r="AI49" s="13">
        <f>IF('Données projet'!$A$62&gt;35,AI48+AH49-AQ48,IF(A49&lt;'Données projet'!$A$62,$AF$205^A49,IF(A49='Données projet'!$A$62,'Données projet'!$B$62,AI48+AH49-AQ48)))</f>
        <v>88.881868131868103</v>
      </c>
      <c r="AJ49" s="13">
        <f>AI49*VLOOKUP('Données projet'!$B$10,Paramètres!$A$1:$I$89,3,0)*VLOOKUP('Données projet'!$B$10,Paramètres!$A$1:$I$89,5,0)</f>
        <v>74.874085714285698</v>
      </c>
      <c r="AK49" s="13">
        <f t="shared" si="35"/>
        <v>20.879082329528448</v>
      </c>
      <c r="AL49" s="20">
        <f t="shared" si="4"/>
        <v>166.77010100964296</v>
      </c>
      <c r="AM49" s="59">
        <f t="shared" si="5"/>
        <v>460.10343434297624</v>
      </c>
      <c r="AN49" s="59">
        <f ca="1">AVERAGE(OFFSET($AM$3,0,0,'Données projet'!$E$10+1,1))-AVERAGE(OFFSET($H$3,0,0,'Données projet'!$E$10+1,1))</f>
        <v>179.55753939371345</v>
      </c>
      <c r="AO49" s="59">
        <f t="shared" si="36"/>
        <v>147.29214159934531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7.0293040293040292</v>
      </c>
      <c r="AI50" s="13">
        <f>IF('Données projet'!$A$62&gt;35,AI49+AH50-AQ49,IF(A50&lt;'Données projet'!$A$62,$AF$205^A50,IF(A50='Données projet'!$A$62,'Données projet'!$B$62,AI49+AH50-AQ49)))</f>
        <v>95.911172161172132</v>
      </c>
      <c r="AJ50" s="13">
        <f>AI50*VLOOKUP('Données projet'!$B$10,Paramètres!$A$1:$I$89,3,0)*VLOOKUP('Données projet'!$B$10,Paramètres!$A$1:$I$89,5,0)</f>
        <v>80.795571428571407</v>
      </c>
      <c r="AK50" s="13">
        <f t="shared" si="35"/>
        <v>22.331593308632588</v>
      </c>
      <c r="AL50" s="20">
        <f t="shared" si="4"/>
        <v>179.61314525063028</v>
      </c>
      <c r="AM50" s="59">
        <f t="shared" si="5"/>
        <v>472.9464785839636</v>
      </c>
      <c r="AN50" s="59">
        <f ca="1">AVERAGE(OFFSET($AM$3,0,0,'Données projet'!$E$10+1,1))-AVERAGE(OFFSET($H$3,0,0,'Données projet'!$E$10+1,1))</f>
        <v>179.55753939371345</v>
      </c>
      <c r="AO50" s="59">
        <f t="shared" si="36"/>
        <v>147.29214159934531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7.0293040293040292</v>
      </c>
      <c r="AI51" s="13">
        <f>IF('Données projet'!$A$62&gt;35,AI50+AH51-AQ50,IF(A51&lt;'Données projet'!$A$62,$AF$205^A51,IF(A51='Données projet'!$A$62,'Données projet'!$B$62,AI50+AH51-AQ50)))</f>
        <v>102.94047619047616</v>
      </c>
      <c r="AJ51" s="13">
        <f>AI51*VLOOKUP('Données projet'!$B$10,Paramètres!$A$1:$I$89,3,0)*VLOOKUP('Données projet'!$B$10,Paramètres!$A$1:$I$89,5,0)</f>
        <v>86.717057142857129</v>
      </c>
      <c r="AK51" s="13">
        <f t="shared" si="35"/>
        <v>23.771754065260062</v>
      </c>
      <c r="AL51" s="20">
        <f t="shared" si="4"/>
        <v>192.43467952080411</v>
      </c>
      <c r="AM51" s="59">
        <f t="shared" si="5"/>
        <v>485.7680128541374</v>
      </c>
      <c r="AN51" s="59">
        <f ca="1">AVERAGE(OFFSET($AM$3,0,0,'Données projet'!$E$10+1,1))-AVERAGE(OFFSET($H$3,0,0,'Données projet'!$E$10+1,1))</f>
        <v>179.55753939371345</v>
      </c>
      <c r="AO51" s="59">
        <f t="shared" si="36"/>
        <v>147.29214159934531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7.0293040293040292</v>
      </c>
      <c r="AI52" s="13">
        <f>IF('Données projet'!$A$62&gt;35,AI51+AH52-AQ51,IF(A52&lt;'Données projet'!$A$62,$AF$205^A52,IF(A52='Données projet'!$A$62,'Données projet'!$B$62,AI51+AH52-AQ51)))</f>
        <v>109.96978021978019</v>
      </c>
      <c r="AJ52" s="13">
        <f>AI52*VLOOKUP('Données projet'!$B$10,Paramètres!$A$1:$I$89,3,0)*VLOOKUP('Données projet'!$B$10,Paramètres!$A$1:$I$89,5,0)</f>
        <v>92.638542857142838</v>
      </c>
      <c r="AK52" s="13">
        <f t="shared" si="35"/>
        <v>25.200503878162344</v>
      </c>
      <c r="AL52" s="20">
        <f t="shared" si="4"/>
        <v>205.23633973065651</v>
      </c>
      <c r="AM52" s="59">
        <f t="shared" si="5"/>
        <v>498.56967306398985</v>
      </c>
      <c r="AN52" s="59">
        <f ca="1">AVERAGE(OFFSET($AM$3,0,0,'Données projet'!$E$10+1,1))-AVERAGE(OFFSET($H$3,0,0,'Données projet'!$E$10+1,1))</f>
        <v>179.55753939371345</v>
      </c>
      <c r="AO52" s="59">
        <f t="shared" si="36"/>
        <v>147.29214159934531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7.0293040293040292</v>
      </c>
      <c r="AI53" s="13">
        <f>IF('Données projet'!$A$62&gt;35,AI52+AH53-AQ52,IF(A53&lt;'Données projet'!$A$62,$AF$205^A53,IF(A53='Données projet'!$A$62,'Données projet'!$B$62,AI52+AH53-AQ52)))</f>
        <v>116.99908424908422</v>
      </c>
      <c r="AJ53" s="13">
        <f>AI53*VLOOKUP('Données projet'!$B$10,Paramètres!$A$1:$I$89,3,0)*VLOOKUP('Données projet'!$B$10,Paramètres!$A$1:$I$89,5,0)</f>
        <v>98.56002857142856</v>
      </c>
      <c r="AK53" s="13">
        <f t="shared" si="35"/>
        <v>26.618655159330924</v>
      </c>
      <c r="AL53" s="20">
        <f t="shared" si="4"/>
        <v>218.01954083107276</v>
      </c>
      <c r="AM53" s="59">
        <f t="shared" si="5"/>
        <v>511.3528741644061</v>
      </c>
      <c r="AN53" s="59">
        <f ca="1">AVERAGE(OFFSET($AM$3,0,0,'Données projet'!$E$10+1,1))-AVERAGE(OFFSET($H$3,0,0,'Données projet'!$E$10+1,1))</f>
        <v>179.55753939371345</v>
      </c>
      <c r="AO53" s="59">
        <f t="shared" si="36"/>
        <v>147.29214159934531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7.0293040293040292</v>
      </c>
      <c r="AI54" s="13">
        <f>IF('Données projet'!$A$62&gt;35,AI53+AH54-AQ53,IF(A54&lt;'Données projet'!$A$62,$AF$205^A54,IF(A54='Données projet'!$A$62,'Données projet'!$B$62,AI53+AH54-AQ53)))</f>
        <v>124.02838827838825</v>
      </c>
      <c r="AJ54" s="13">
        <f>AI54*VLOOKUP('Données projet'!$B$10,Paramètres!$A$1:$I$89,3,0)*VLOOKUP('Données projet'!$B$10,Paramètres!$A$1:$I$89,5,0)</f>
        <v>104.48151428571427</v>
      </c>
      <c r="AK54" s="13">
        <f t="shared" si="35"/>
        <v>28.02691718596077</v>
      </c>
      <c r="AL54" s="20">
        <f t="shared" si="4"/>
        <v>230.78551814650066</v>
      </c>
      <c r="AM54" s="59">
        <f t="shared" si="5"/>
        <v>524.11885147983401</v>
      </c>
      <c r="AN54" s="59">
        <f ca="1">AVERAGE(OFFSET($AM$3,0,0,'Données projet'!$E$10+1,1))-AVERAGE(OFFSET($H$3,0,0,'Données projet'!$E$10+1,1))</f>
        <v>179.55753939371345</v>
      </c>
      <c r="AO54" s="59">
        <f t="shared" si="36"/>
        <v>147.29214159934531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131.05769230769229</v>
      </c>
      <c r="AG55" s="12">
        <f>VLOOKUP(A55,'Données projet'!$A$61:$I$81,9,0)</f>
        <v>7.0293040293040292</v>
      </c>
      <c r="AH55" s="12">
        <f t="array" ref="AH55">INDEX(AG:AG,MIN(IF(ISNUMBER(AG55:AG251),ROW(AG55:AG251),"")))</f>
        <v>7.0293040293040292</v>
      </c>
      <c r="AI55" s="13">
        <f>IF('Données projet'!$A$62&gt;35,AI54+AH55-AQ54,IF(A55&lt;'Données projet'!$A$62,$AF$205^A55,IF(A55='Données projet'!$A$62,'Données projet'!$B$62,AI54+AH55-AQ54)))</f>
        <v>131.05769230769226</v>
      </c>
      <c r="AJ55" s="13">
        <f>AI55*VLOOKUP('Données projet'!$B$10,Paramètres!$A$1:$I$89,3,0)*VLOOKUP('Données projet'!$B$10,Paramètres!$A$1:$I$89,5,0)</f>
        <v>110.40299999999996</v>
      </c>
      <c r="AK55" s="13">
        <f t="shared" si="35"/>
        <v>29.4259142978194</v>
      </c>
      <c r="AL55" s="20">
        <f t="shared" si="4"/>
        <v>243.53535906870204</v>
      </c>
      <c r="AM55" s="59">
        <f t="shared" si="5"/>
        <v>536.86869240203532</v>
      </c>
      <c r="AN55" s="59">
        <f ca="1">AVERAGE(OFFSET($AM$3,0,0,'Données projet'!$E$10+1,1))-AVERAGE(OFFSET($H$3,0,0,'Données projet'!$E$10+1,1))</f>
        <v>179.55753939371345</v>
      </c>
      <c r="AO55" s="59">
        <f t="shared" si="36"/>
        <v>147.29214159934531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32.942307692307693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6.8846153846153886</v>
      </c>
      <c r="AI56" s="13">
        <f>IF('Données projet'!$A$62&gt;35,AI55+AH56-AQ55,IF(A56&lt;'Données projet'!$A$62,$AF$205^A56,IF(A56='Données projet'!$A$62,'Données projet'!$B$62,AI55+AH56-AQ55)))</f>
        <v>104.99999999999996</v>
      </c>
      <c r="AJ56" s="13">
        <f>AI56*VLOOKUP('Données projet'!$B$10,Paramètres!$A$1:$I$89,3,0)*VLOOKUP('Données projet'!$B$10,Paramètres!$A$1:$I$89,5,0)</f>
        <v>88.45199999999997</v>
      </c>
      <c r="AK56" s="13">
        <f t="shared" si="35"/>
        <v>24.191508526943956</v>
      </c>
      <c r="AL56" s="20">
        <f t="shared" si="4"/>
        <v>196.18744401776064</v>
      </c>
      <c r="AM56" s="59">
        <f t="shared" si="5"/>
        <v>489.52077735109395</v>
      </c>
      <c r="AN56" s="59">
        <f ca="1">AVERAGE(OFFSET($AM$3,0,0,'Données projet'!$E$10+1,1))-AVERAGE(OFFSET($H$3,0,0,'Données projet'!$E$10+1,1))</f>
        <v>179.55753939371345</v>
      </c>
      <c r="AO56" s="59">
        <f t="shared" si="36"/>
        <v>147.29214159934531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6.8846153846153886</v>
      </c>
      <c r="AI57" s="13">
        <f>IF('Données projet'!$A$62&gt;35,AI56+AH57-AQ56,IF(A57&lt;'Données projet'!$A$62,$AF$205^A57,IF(A57='Données projet'!$A$62,'Données projet'!$B$62,AI56+AH57-AQ56)))</f>
        <v>111.88461538461534</v>
      </c>
      <c r="AJ57" s="13">
        <f>AI57*VLOOKUP('Données projet'!$B$10,Paramètres!$A$1:$I$89,3,0)*VLOOKUP('Données projet'!$B$10,Paramètres!$A$1:$I$89,5,0)</f>
        <v>94.251599999999982</v>
      </c>
      <c r="AK57" s="13">
        <f t="shared" si="35"/>
        <v>25.587837735093128</v>
      </c>
      <c r="AL57" s="20">
        <f t="shared" si="4"/>
        <v>208.72035405528717</v>
      </c>
      <c r="AM57" s="59">
        <f t="shared" si="5"/>
        <v>502.05368738862046</v>
      </c>
      <c r="AN57" s="59">
        <f ca="1">AVERAGE(OFFSET($AM$3,0,0,'Données projet'!$E$10+1,1))-AVERAGE(OFFSET($H$3,0,0,'Données projet'!$E$10+1,1))</f>
        <v>179.55753939371345</v>
      </c>
      <c r="AO57" s="59">
        <f t="shared" si="36"/>
        <v>147.29214159934531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6.8846153846153886</v>
      </c>
      <c r="AI58" s="13">
        <f>IF('Données projet'!$A$62&gt;35,AI57+AH58-AQ57,IF(A58&lt;'Données projet'!$A$62,$AF$205^A58,IF(A58='Données projet'!$A$62,'Données projet'!$B$62,AI57+AH58-AQ57)))</f>
        <v>118.76923076923073</v>
      </c>
      <c r="AJ58" s="13">
        <f>AI58*VLOOKUP('Données projet'!$B$10,Paramètres!$A$1:$I$89,3,0)*VLOOKUP('Données projet'!$B$10,Paramètres!$A$1:$I$89,5,0)</f>
        <v>100.05119999999997</v>
      </c>
      <c r="AK58" s="13">
        <f t="shared" si="35"/>
        <v>26.974194878917725</v>
      </c>
      <c r="AL58" s="20">
        <f t="shared" si="4"/>
        <v>221.23589608078166</v>
      </c>
      <c r="AM58" s="59">
        <f t="shared" si="5"/>
        <v>514.56922941411494</v>
      </c>
      <c r="AN58" s="59">
        <f ca="1">AVERAGE(OFFSET($AM$3,0,0,'Données projet'!$E$10+1,1))-AVERAGE(OFFSET($H$3,0,0,'Données projet'!$E$10+1,1))</f>
        <v>179.55753939371345</v>
      </c>
      <c r="AO58" s="59">
        <f t="shared" si="36"/>
        <v>147.29214159934531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6.8846153846153886</v>
      </c>
      <c r="AI59" s="13">
        <f>IF('Données projet'!$A$62&gt;35,AI58+AH59-AQ58,IF(A59&lt;'Données projet'!$A$62,$AF$205^A59,IF(A59='Données projet'!$A$62,'Données projet'!$B$62,AI58+AH59-AQ58)))</f>
        <v>125.65384615384612</v>
      </c>
      <c r="AJ59" s="13">
        <f>AI59*VLOOKUP('Données projet'!$B$10,Paramètres!$A$1:$I$89,3,0)*VLOOKUP('Données projet'!$B$10,Paramètres!$A$1:$I$89,5,0)</f>
        <v>105.85079999999999</v>
      </c>
      <c r="AK59" s="13">
        <f t="shared" si="35"/>
        <v>28.351223856024358</v>
      </c>
      <c r="AL59" s="20">
        <f t="shared" si="4"/>
        <v>233.73519154924239</v>
      </c>
      <c r="AM59" s="59">
        <f t="shared" si="5"/>
        <v>527.06852488257573</v>
      </c>
      <c r="AN59" s="59">
        <f ca="1">AVERAGE(OFFSET($AM$3,0,0,'Données projet'!$E$10+1,1))-AVERAGE(OFFSET($H$3,0,0,'Données projet'!$E$10+1,1))</f>
        <v>179.55753939371345</v>
      </c>
      <c r="AO59" s="59">
        <f t="shared" si="36"/>
        <v>147.29214159934531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6.8846153846153886</v>
      </c>
      <c r="AI60" s="13">
        <f>IF('Données projet'!$A$62&gt;35,AI59+AH60-AQ59,IF(A60&lt;'Données projet'!$A$62,$AF$205^A60,IF(A60='Données projet'!$A$62,'Données projet'!$B$62,AI59+AH60-AQ59)))</f>
        <v>132.53846153846152</v>
      </c>
      <c r="AJ60" s="13">
        <f>AI60*VLOOKUP('Données projet'!$B$10,Paramètres!$A$1:$I$89,3,0)*VLOOKUP('Données projet'!$B$10,Paramètres!$A$1:$I$89,5,0)</f>
        <v>111.6504</v>
      </c>
      <c r="AK60" s="13">
        <f t="shared" si="35"/>
        <v>29.719494020273949</v>
      </c>
      <c r="AL60" s="20">
        <f t="shared" si="4"/>
        <v>246.21923208531049</v>
      </c>
      <c r="AM60" s="59">
        <f t="shared" si="5"/>
        <v>539.55256541864378</v>
      </c>
      <c r="AN60" s="59">
        <f ca="1">AVERAGE(OFFSET($AM$3,0,0,'Données projet'!$E$10+1,1))-AVERAGE(OFFSET($H$3,0,0,'Données projet'!$E$10+1,1))</f>
        <v>179.55753939371345</v>
      </c>
      <c r="AO60" s="59">
        <f t="shared" si="36"/>
        <v>147.29214159934531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6.8846153846153886</v>
      </c>
      <c r="AI61" s="13">
        <f>IF('Données projet'!$A$62&gt;35,AI60+AH61-AQ60,IF(A61&lt;'Données projet'!$A$62,$AF$205^A61,IF(A61='Données projet'!$A$62,'Données projet'!$B$62,AI60+AH61-AQ60)))</f>
        <v>139.42307692307691</v>
      </c>
      <c r="AJ61" s="13">
        <f>AI61*VLOOKUP('Données projet'!$B$10,Paramètres!$A$1:$I$89,3,0)*VLOOKUP('Données projet'!$B$10,Paramètres!$A$1:$I$89,5,0)</f>
        <v>117.44999999999999</v>
      </c>
      <c r="AK61" s="13">
        <f t="shared" si="35"/>
        <v>31.079512235328849</v>
      </c>
      <c r="AL61" s="20">
        <f t="shared" si="4"/>
        <v>258.68890047653105</v>
      </c>
      <c r="AM61" s="59">
        <f t="shared" si="5"/>
        <v>552.02223380986436</v>
      </c>
      <c r="AN61" s="59">
        <f ca="1">AVERAGE(OFFSET($AM$3,0,0,'Données projet'!$E$10+1,1))-AVERAGE(OFFSET($H$3,0,0,'Données projet'!$E$10+1,1))</f>
        <v>179.55753939371345</v>
      </c>
      <c r="AO61" s="59">
        <f t="shared" si="36"/>
        <v>147.29214159934531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146.30769230769232</v>
      </c>
      <c r="AG62" s="12">
        <f>VLOOKUP(A62,'Données projet'!$A$61:$I$81,9,0)</f>
        <v>6.8846153846153886</v>
      </c>
      <c r="AH62" s="12">
        <f t="array" ref="AH62">INDEX(AG:AG,MIN(IF(ISNUMBER(AG62:AG258),ROW(AG62:AG258),"")))</f>
        <v>6.8846153846153886</v>
      </c>
      <c r="AI62" s="13">
        <f>IF('Données projet'!$A$62&gt;35,AI61+AH62-AQ61,IF(A62&lt;'Données projet'!$A$62,$AF$205^A62,IF(A62='Données projet'!$A$62,'Données projet'!$B$62,AI61+AH62-AQ61)))</f>
        <v>146.30769230769229</v>
      </c>
      <c r="AJ62" s="13">
        <f>AI62*VLOOKUP('Données projet'!$B$10,Paramètres!$A$1:$I$89,3,0)*VLOOKUP('Données projet'!$B$10,Paramètres!$A$1:$I$89,5,0)</f>
        <v>123.24959999999999</v>
      </c>
      <c r="AK62" s="13">
        <f t="shared" si="35"/>
        <v>32.431732479814528</v>
      </c>
      <c r="AL62" s="20">
        <f t="shared" si="4"/>
        <v>271.14498740234359</v>
      </c>
      <c r="AM62" s="59">
        <f t="shared" si="5"/>
        <v>564.4783207356769</v>
      </c>
      <c r="AN62" s="59">
        <f ca="1">AVERAGE(OFFSET($AM$3,0,0,'Données projet'!$E$10+1,1))-AVERAGE(OFFSET($H$3,0,0,'Données projet'!$E$10+1,1))</f>
        <v>179.55753939371345</v>
      </c>
      <c r="AO62" s="59">
        <f t="shared" si="36"/>
        <v>147.29214159934531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30.320512820512818</v>
      </c>
      <c r="AR62" s="16">
        <f>IF(ISNA(VLOOKUP(A62,'Données projet'!$A$61:$I$81,5,0)),0%,VLOOKUP(A62,'Données projet'!$A$61:$I$81,5,0)*VLOOKUP('Données projet'!$B$10,Paramètres!$A$1:$I$89,7,0))</f>
        <v>0.30099999999999999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8.4990132546432147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8.4990132546432147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6.7419871794871753</v>
      </c>
      <c r="AI63" s="13">
        <f>IF('Données projet'!$A$62&gt;35,AI62+AH63-AQ62,IF(A63&lt;'Données projet'!$A$62,$AF$205^A63,IF(A63='Données projet'!$A$62,'Données projet'!$B$62,AI62+AH63-AQ62)))</f>
        <v>122.72916666666666</v>
      </c>
      <c r="AJ63" s="13">
        <f>AI63*VLOOKUP('Données projet'!$B$10,Paramètres!$A$1:$I$89,3,0)*VLOOKUP('Données projet'!$B$10,Paramètres!$A$1:$I$89,5,0)</f>
        <v>103.38704999999999</v>
      </c>
      <c r="AK63" s="13">
        <f t="shared" si="35"/>
        <v>27.767344554164339</v>
      </c>
      <c r="AL63" s="20">
        <f t="shared" si="4"/>
        <v>228.4272371818362</v>
      </c>
      <c r="AM63" s="59">
        <f t="shared" si="5"/>
        <v>521.76057051516955</v>
      </c>
      <c r="AN63" s="59">
        <f ca="1">AVERAGE(OFFSET($AM$3,0,0,'Données projet'!$E$10+1,1))-AVERAGE(OFFSET($H$3,0,0,'Données projet'!$E$10+1,1))</f>
        <v>179.55753939371345</v>
      </c>
      <c r="AO63" s="59">
        <f t="shared" si="36"/>
        <v>147.29214159934531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8.3323527886058795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8.3323527886058795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6.7419871794871753</v>
      </c>
      <c r="AI64" s="13">
        <f>IF('Données projet'!$A$62&gt;35,AI63+AH64-AQ63,IF(A64&lt;'Données projet'!$A$62,$AF$205^A64,IF(A64='Données projet'!$A$62,'Données projet'!$B$62,AI63+AH64-AQ63)))</f>
        <v>129.47115384615384</v>
      </c>
      <c r="AJ64" s="13">
        <f>AI64*VLOOKUP('Données projet'!$B$10,Paramètres!$A$1:$I$89,3,0)*VLOOKUP('Données projet'!$B$10,Paramètres!$A$1:$I$89,5,0)</f>
        <v>109.06649999999999</v>
      </c>
      <c r="AK64" s="13">
        <f t="shared" si="35"/>
        <v>29.110935717213522</v>
      </c>
      <c r="AL64" s="20">
        <f t="shared" si="4"/>
        <v>240.65903387414687</v>
      </c>
      <c r="AM64" s="59">
        <f t="shared" si="5"/>
        <v>533.99236720748013</v>
      </c>
      <c r="AN64" s="59">
        <f ca="1">AVERAGE(OFFSET($AM$3,0,0,'Données projet'!$E$10+1,1))-AVERAGE(OFFSET($H$3,0,0,'Données projet'!$E$10+1,1))</f>
        <v>179.55753939371345</v>
      </c>
      <c r="AO64" s="59">
        <f t="shared" si="36"/>
        <v>147.29214159934531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8.168960432654691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8.168960432654691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6.7419871794871753</v>
      </c>
      <c r="AI65" s="13">
        <f>IF('Données projet'!$A$62&gt;35,AI64+AH65-AQ64,IF(A65&lt;'Données projet'!$A$62,$AF$205^A65,IF(A65='Données projet'!$A$62,'Données projet'!$B$62,AI64+AH65-AQ64)))</f>
        <v>136.21314102564102</v>
      </c>
      <c r="AJ65" s="13">
        <f>AI65*VLOOKUP('Données projet'!$B$10,Paramètres!$A$1:$I$89,3,0)*VLOOKUP('Données projet'!$B$10,Paramètres!$A$1:$I$89,5,0)</f>
        <v>114.74594999999999</v>
      </c>
      <c r="AK65" s="13">
        <f t="shared" si="35"/>
        <v>30.446403687840267</v>
      </c>
      <c r="AL65" s="20">
        <f t="shared" si="4"/>
        <v>252.87668267298844</v>
      </c>
      <c r="AM65" s="59">
        <f t="shared" si="5"/>
        <v>546.21001600632178</v>
      </c>
      <c r="AN65" s="59">
        <f ca="1">AVERAGE(OFFSET($AM$3,0,0,'Données projet'!$E$10+1,1))-AVERAGE(OFFSET($H$3,0,0,'Données projet'!$E$10+1,1))</f>
        <v>179.55753939371345</v>
      </c>
      <c r="AO65" s="59">
        <f t="shared" si="36"/>
        <v>147.29214159934531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8.0087721011442081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8.0087721011442081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6.7419871794871753</v>
      </c>
      <c r="AI66" s="13">
        <f>IF('Données projet'!$A$62&gt;35,AI65+AH66-AQ65,IF(A66&lt;'Données projet'!$A$62,$AF$205^A66,IF(A66='Données projet'!$A$62,'Données projet'!$B$62,AI65+AH66-AQ65)))</f>
        <v>142.9551282051282</v>
      </c>
      <c r="AJ66" s="13">
        <f>AI66*VLOOKUP('Données projet'!$B$10,Paramètres!$A$1:$I$89,3,0)*VLOOKUP('Données projet'!$B$10,Paramètres!$A$1:$I$89,5,0)</f>
        <v>120.4254</v>
      </c>
      <c r="AK66" s="13">
        <f t="shared" si="35"/>
        <v>31.774196414747738</v>
      </c>
      <c r="AL66" s="20">
        <f t="shared" si="4"/>
        <v>265.08096375568567</v>
      </c>
      <c r="AM66" s="59">
        <f t="shared" si="5"/>
        <v>558.41429708901899</v>
      </c>
      <c r="AN66" s="59">
        <f ca="1">AVERAGE(OFFSET($AM$3,0,0,'Données projet'!$E$10+1,1))-AVERAGE(OFFSET($H$3,0,0,'Données projet'!$E$10+1,1))</f>
        <v>179.55753939371345</v>
      </c>
      <c r="AO66" s="59">
        <f t="shared" si="36"/>
        <v>147.29214159934531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7.851724965109411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7.851724965109411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6.7419871794871753</v>
      </c>
      <c r="AI67" s="13">
        <f>IF('Données projet'!$A$62&gt;35,AI66+AH67-AQ66,IF(A67&lt;'Données projet'!$A$62,$AF$205^A67,IF(A67='Données projet'!$A$62,'Données projet'!$B$62,AI66+AH67-AQ66)))</f>
        <v>149.69711538461539</v>
      </c>
      <c r="AJ67" s="13">
        <f>AI67*VLOOKUP('Données projet'!$B$10,Paramètres!$A$1:$I$89,3,0)*VLOOKUP('Données projet'!$B$10,Paramètres!$A$1:$I$89,5,0)</f>
        <v>126.10485000000001</v>
      </c>
      <c r="AK67" s="13">
        <f t="shared" si="35"/>
        <v>33.094717207081793</v>
      </c>
      <c r="AL67" s="20">
        <f t="shared" si="4"/>
        <v>277.27257955233415</v>
      </c>
      <c r="AM67" s="59">
        <f t="shared" si="5"/>
        <v>570.60591288566752</v>
      </c>
      <c r="AN67" s="59">
        <f ca="1">AVERAGE(OFFSET($AM$3,0,0,'Données projet'!$E$10+1,1))-AVERAGE(OFFSET($H$3,0,0,'Données projet'!$E$10+1,1))</f>
        <v>179.55753939371345</v>
      </c>
      <c r="AO67" s="59">
        <f t="shared" si="36"/>
        <v>147.29214159934531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7.6977574276229621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7.6977574276229621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6.7419871794871753</v>
      </c>
      <c r="AI68" s="13">
        <f>IF('Données projet'!$A$62&gt;35,AI67+AH68-AQ67,IF(A68&lt;'Données projet'!$A$62,$AF$205^A68,IF(A68='Données projet'!$A$62,'Données projet'!$B$62,AI67+AH68-AQ67)))</f>
        <v>156.43910256410257</v>
      </c>
      <c r="AJ68" s="13">
        <f>AI68*VLOOKUP('Données projet'!$B$10,Paramètres!$A$1:$I$89,3,0)*VLOOKUP('Données projet'!$B$10,Paramètres!$A$1:$I$89,5,0)</f>
        <v>131.7843</v>
      </c>
      <c r="AK68" s="13">
        <f t="shared" si="35"/>
        <v>34.408330992239506</v>
      </c>
      <c r="AL68" s="20">
        <f t="shared" ref="AL68:AL131" si="58">(AJ68+AK68)*0.475*44/12</f>
        <v>289.45216564481711</v>
      </c>
      <c r="AM68" s="59">
        <f t="shared" ref="AM68:AM131" si="59">AL68+(AD68+AE68)*44/12</f>
        <v>582.78549897815037</v>
      </c>
      <c r="AN68" s="59">
        <f ca="1">AVERAGE(OFFSET($AM$3,0,0,'Données projet'!$E$10+1,1))-AVERAGE(OFFSET($H$3,0,0,'Données projet'!$E$10+1,1))</f>
        <v>179.55753939371345</v>
      </c>
      <c r="AO68" s="59">
        <f t="shared" si="36"/>
        <v>147.29214159934531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7.5468090996356976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7.5468090996356976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6.7419871794871753</v>
      </c>
      <c r="AI69" s="13">
        <f>IF('Données projet'!$A$62&gt;35,AI68+AH69-AQ68,IF(A69&lt;'Données projet'!$A$62,$AF$205^A69,IF(A69='Données projet'!$A$62,'Données projet'!$B$62,AI68+AH69-AQ68)))</f>
        <v>163.18108974358975</v>
      </c>
      <c r="AJ69" s="13">
        <f>AI69*VLOOKUP('Données projet'!$B$10,Paramètres!$A$1:$I$89,3,0)*VLOOKUP('Données projet'!$B$10,Paramètres!$A$1:$I$89,5,0)</f>
        <v>137.46375</v>
      </c>
      <c r="AK69" s="13">
        <f t="shared" ref="AK69:AK132" si="89">EXP(-1.0587+0.8836*LN(AJ69)+0.284)</f>
        <v>35.715369464487488</v>
      </c>
      <c r="AL69" s="20">
        <f t="shared" si="58"/>
        <v>301.62029973398234</v>
      </c>
      <c r="AM69" s="59">
        <f t="shared" si="59"/>
        <v>594.95363306731565</v>
      </c>
      <c r="AN69" s="59">
        <f ca="1">AVERAGE(OFFSET($AM$3,0,0,'Données projet'!$E$10+1,1))-AVERAGE(OFFSET($H$3,0,0,'Données projet'!$E$10+1,1))</f>
        <v>179.55753939371345</v>
      </c>
      <c r="AO69" s="59">
        <f t="shared" ref="AO69:AO132" si="90">$AO$3</f>
        <v>147.29214159934531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7.398820776290874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7.398820776290874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169.92307692307691</v>
      </c>
      <c r="AG70" s="12">
        <f>VLOOKUP(A70,'Données projet'!$A$61:$I$81,9,0)</f>
        <v>6.7419871794871753</v>
      </c>
      <c r="AH70" s="12">
        <f t="array" ref="AH70">INDEX(AG:AG,MIN(IF(ISNUMBER(AG70:AG266),ROW(AG70:AG266),"")))</f>
        <v>6.7419871794871753</v>
      </c>
      <c r="AI70" s="13">
        <f>IF('Données projet'!$A$62&gt;35,AI69+AH70-AQ69,IF(A70&lt;'Données projet'!$A$62,$AF$205^A70,IF(A70='Données projet'!$A$62,'Données projet'!$B$62,AI69+AH70-AQ69)))</f>
        <v>169.92307692307693</v>
      </c>
      <c r="AJ70" s="13">
        <f>AI70*VLOOKUP('Données projet'!$B$10,Paramètres!$A$1:$I$89,3,0)*VLOOKUP('Données projet'!$B$10,Paramètres!$A$1:$I$89,5,0)</f>
        <v>143.14320000000001</v>
      </c>
      <c r="AK70" s="13">
        <f t="shared" si="89"/>
        <v>37.016135358728782</v>
      </c>
      <c r="AL70" s="20">
        <f t="shared" si="58"/>
        <v>313.7775090831193</v>
      </c>
      <c r="AM70" s="59">
        <f t="shared" si="59"/>
        <v>607.11084241645267</v>
      </c>
      <c r="AN70" s="59">
        <f ca="1">AVERAGE(OFFSET($AM$3,0,0,'Données projet'!$E$10+1,1))-AVERAGE(OFFSET($H$3,0,0,'Données projet'!$E$10+1,1))</f>
        <v>179.55753939371345</v>
      </c>
      <c r="AO70" s="59">
        <f t="shared" si="90"/>
        <v>147.29214159934531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30.314102564102562</v>
      </c>
      <c r="AR70" s="16">
        <f>IF(ISNA(VLOOKUP(A70,'Données projet'!$A$61:$I$81,5,0)),0%,VLOOKUP(A70,'Données projet'!$A$61:$I$81,5,0)*VLOOKUP('Données projet'!$B$10,Paramètres!$A$1:$I$89,7,0))</f>
        <v>0.30099999999999999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15.750950836791199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15.750950836791199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6.6314102564102591</v>
      </c>
      <c r="AI71" s="13">
        <f>IF('Données projet'!$A$62&gt;35,AI70+AH71-AQ70,IF(A71&lt;'Données projet'!$A$62,$AF$205^A71,IF(A71='Données projet'!$A$62,'Données projet'!$B$62,AI70+AH71-AQ70)))</f>
        <v>146.24038461538461</v>
      </c>
      <c r="AJ71" s="13">
        <f>AI71*VLOOKUP('Données projet'!$B$10,Paramètres!$A$1:$I$89,3,0)*VLOOKUP('Données projet'!$B$10,Paramètres!$A$1:$I$89,5,0)</f>
        <v>123.19290000000001</v>
      </c>
      <c r="AK71" s="13">
        <f t="shared" si="89"/>
        <v>32.41854884919406</v>
      </c>
      <c r="AL71" s="20">
        <f t="shared" si="58"/>
        <v>271.02327341234633</v>
      </c>
      <c r="AM71" s="59">
        <f t="shared" si="59"/>
        <v>564.35660674567964</v>
      </c>
      <c r="AN71" s="59">
        <f ca="1">AVERAGE(OFFSET($AM$3,0,0,'Données projet'!$E$10+1,1))-AVERAGE(OFFSET($H$3,0,0,'Données projet'!$E$10+1,1))</f>
        <v>179.55753939371345</v>
      </c>
      <c r="AO71" s="59">
        <f t="shared" si="90"/>
        <v>147.29214159934531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15.442084298013109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15.442084298013109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6.6314102564102591</v>
      </c>
      <c r="AI72" s="13">
        <f>IF('Données projet'!$A$62&gt;35,AI71+AH72-AQ71,IF(A72&lt;'Données projet'!$A$62,$AF$205^A72,IF(A72='Données projet'!$A$62,'Données projet'!$B$62,AI71+AH72-AQ71)))</f>
        <v>152.87179487179486</v>
      </c>
      <c r="AJ72" s="13">
        <f>AI72*VLOOKUP('Données projet'!$B$10,Paramètres!$A$1:$I$89,3,0)*VLOOKUP('Données projet'!$B$10,Paramètres!$A$1:$I$89,5,0)</f>
        <v>128.7792</v>
      </c>
      <c r="AK72" s="13">
        <f t="shared" si="89"/>
        <v>33.714113579628744</v>
      </c>
      <c r="AL72" s="20">
        <f t="shared" si="58"/>
        <v>283.00918781785339</v>
      </c>
      <c r="AM72" s="59">
        <f t="shared" si="59"/>
        <v>576.3425211511867</v>
      </c>
      <c r="AN72" s="59">
        <f ca="1">AVERAGE(OFFSET($AM$3,0,0,'Données projet'!$E$10+1,1))-AVERAGE(OFFSET($H$3,0,0,'Données projet'!$E$10+1,1))</f>
        <v>179.55753939371345</v>
      </c>
      <c r="AO72" s="59">
        <f t="shared" si="90"/>
        <v>147.29214159934531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15.13927444367047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15.13927444367047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6.6314102564102591</v>
      </c>
      <c r="AI73" s="13">
        <f>IF('Données projet'!$A$62&gt;35,AI72+AH73-AQ72,IF(A73&lt;'Données projet'!$A$62,$AF$205^A73,IF(A73='Données projet'!$A$62,'Données projet'!$B$62,AI72+AH73-AQ72)))</f>
        <v>159.50320512820511</v>
      </c>
      <c r="AJ73" s="13">
        <f>AI73*VLOOKUP('Données projet'!$B$10,Paramètres!$A$1:$I$89,3,0)*VLOOKUP('Données projet'!$B$10,Paramètres!$A$1:$I$89,5,0)</f>
        <v>134.3655</v>
      </c>
      <c r="AK73" s="13">
        <f t="shared" si="89"/>
        <v>35.003150935949456</v>
      </c>
      <c r="AL73" s="20">
        <f t="shared" si="58"/>
        <v>294.98373371344525</v>
      </c>
      <c r="AM73" s="59">
        <f t="shared" si="59"/>
        <v>588.31706704677856</v>
      </c>
      <c r="AN73" s="59">
        <f ca="1">AVERAGE(OFFSET($AM$3,0,0,'Données projet'!$E$10+1,1))-AVERAGE(OFFSET($H$3,0,0,'Données projet'!$E$10+1,1))</f>
        <v>179.55753939371345</v>
      </c>
      <c r="AO73" s="59">
        <f t="shared" si="90"/>
        <v>147.29214159934531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14.842402505875716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14.842402505875716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6.6314102564102591</v>
      </c>
      <c r="AI74" s="13">
        <f>IF('Données projet'!$A$62&gt;35,AI73+AH74-AQ73,IF(A74&lt;'Données projet'!$A$62,$AF$205^A74,IF(A74='Données projet'!$A$62,'Données projet'!$B$62,AI73+AH74-AQ73)))</f>
        <v>166.13461538461536</v>
      </c>
      <c r="AJ74" s="13">
        <f>AI74*VLOOKUP('Données projet'!$B$10,Paramètres!$A$1:$I$89,3,0)*VLOOKUP('Données projet'!$B$10,Paramètres!$A$1:$I$89,5,0)</f>
        <v>139.95179999999999</v>
      </c>
      <c r="AK74" s="13">
        <f t="shared" si="89"/>
        <v>36.285963330574134</v>
      </c>
      <c r="AL74" s="20">
        <f t="shared" si="58"/>
        <v>306.94743780074992</v>
      </c>
      <c r="AM74" s="59">
        <f t="shared" si="59"/>
        <v>600.28077113408324</v>
      </c>
      <c r="AN74" s="59">
        <f ca="1">AVERAGE(OFFSET($AM$3,0,0,'Données projet'!$E$10+1,1))-AVERAGE(OFFSET($H$3,0,0,'Données projet'!$E$10+1,1))</f>
        <v>179.55753939371345</v>
      </c>
      <c r="AO74" s="59">
        <f t="shared" si="90"/>
        <v>147.29214159934531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14.551352045707116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14.551352045707116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6.6314102564102591</v>
      </c>
      <c r="AI75" s="13">
        <f>IF('Données projet'!$A$62&gt;35,AI74+AH75-AQ74,IF(A75&lt;'Données projet'!$A$62,$AF$205^A75,IF(A75='Données projet'!$A$62,'Données projet'!$B$62,AI74+AH75-AQ74)))</f>
        <v>172.76602564102561</v>
      </c>
      <c r="AJ75" s="13">
        <f>AI75*VLOOKUP('Données projet'!$B$10,Paramètres!$A$1:$I$89,3,0)*VLOOKUP('Données projet'!$B$10,Paramètres!$A$1:$I$89,5,0)</f>
        <v>145.53809999999999</v>
      </c>
      <c r="AK75" s="13">
        <f t="shared" si="89"/>
        <v>37.562827667245628</v>
      </c>
      <c r="AL75" s="20">
        <f t="shared" si="58"/>
        <v>318.90078235378616</v>
      </c>
      <c r="AM75" s="59">
        <f t="shared" si="59"/>
        <v>612.23411568711947</v>
      </c>
      <c r="AN75" s="59">
        <f ca="1">AVERAGE(OFFSET($AM$3,0,0,'Données projet'!$E$10+1,1))-AVERAGE(OFFSET($H$3,0,0,'Données projet'!$E$10+1,1))</f>
        <v>179.55753939371345</v>
      </c>
      <c r="AO75" s="59">
        <f t="shared" si="90"/>
        <v>147.29214159934531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14.26600890753917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14.26600890753917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6.6314102564102591</v>
      </c>
      <c r="AI76" s="13">
        <f>IF('Données projet'!$A$62&gt;35,AI75+AH76-AQ75,IF(A76&lt;'Données projet'!$A$62,$AF$205^A76,IF(A76='Données projet'!$A$62,'Données projet'!$B$62,AI75+AH76-AQ75)))</f>
        <v>179.39743589743586</v>
      </c>
      <c r="AJ76" s="13">
        <f>AI76*VLOOKUP('Données projet'!$B$10,Paramètres!$A$1:$I$89,3,0)*VLOOKUP('Données projet'!$B$10,Paramètres!$A$1:$I$89,5,0)</f>
        <v>151.12439999999998</v>
      </c>
      <c r="AK76" s="13">
        <f t="shared" si="89"/>
        <v>38.833998388636473</v>
      </c>
      <c r="AL76" s="20">
        <f t="shared" si="58"/>
        <v>330.84421052687514</v>
      </c>
      <c r="AM76" s="59">
        <f t="shared" si="59"/>
        <v>624.17754386020852</v>
      </c>
      <c r="AN76" s="59">
        <f ca="1">AVERAGE(OFFSET($AM$3,0,0,'Données projet'!$E$10+1,1))-AVERAGE(OFFSET($H$3,0,0,'Données projet'!$E$10+1,1))</f>
        <v>179.55753939371345</v>
      </c>
      <c r="AO76" s="59">
        <f t="shared" si="90"/>
        <v>147.29214159934531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13.986261174268568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13.986261174268568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6.6314102564102591</v>
      </c>
      <c r="AI77" s="13">
        <f>IF('Données projet'!$A$62&gt;35,AI76+AH77-AQ76,IF(A77&lt;'Données projet'!$A$62,$AF$205^A77,IF(A77='Données projet'!$A$62,'Données projet'!$B$62,AI76+AH77-AQ76)))</f>
        <v>186.0288461538461</v>
      </c>
      <c r="AJ77" s="13">
        <f>AI77*VLOOKUP('Données projet'!$B$10,Paramètres!$A$1:$I$89,3,0)*VLOOKUP('Données projet'!$B$10,Paramètres!$A$1:$I$89,5,0)</f>
        <v>156.71069999999997</v>
      </c>
      <c r="AK77" s="13">
        <f t="shared" si="89"/>
        <v>40.099710060668833</v>
      </c>
      <c r="AL77" s="20">
        <f t="shared" si="58"/>
        <v>342.77813085566481</v>
      </c>
      <c r="AM77" s="59">
        <f t="shared" si="59"/>
        <v>636.11146418899807</v>
      </c>
      <c r="AN77" s="59">
        <f ca="1">AVERAGE(OFFSET($AM$3,0,0,'Données projet'!$E$10+1,1))-AVERAGE(OFFSET($H$3,0,0,'Données projet'!$E$10+1,1))</f>
        <v>179.55753939371345</v>
      </c>
      <c r="AO77" s="59">
        <f t="shared" si="90"/>
        <v>147.29214159934531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13.711999123418133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13.711999123418133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192.66025641025641</v>
      </c>
      <c r="AG78" s="12">
        <f>VLOOKUP(A78,'Données projet'!$A$61:$I$81,9,0)</f>
        <v>6.6314102564102591</v>
      </c>
      <c r="AH78" s="12">
        <f t="array" ref="AH78">INDEX(AG:AG,MIN(IF(ISNUMBER(AG78:AG274),ROW(AG78:AG274),"")))</f>
        <v>6.6314102564102591</v>
      </c>
      <c r="AI78" s="13">
        <f>IF('Données projet'!$A$62&gt;35,AI77+AH78-AQ77,IF(A78&lt;'Données projet'!$A$62,$AF$205^A78,IF(A78='Données projet'!$A$62,'Données projet'!$B$62,AI77+AH78-AQ77)))</f>
        <v>192.66025641025635</v>
      </c>
      <c r="AJ78" s="13">
        <f>AI78*VLOOKUP('Données projet'!$B$10,Paramètres!$A$1:$I$89,3,0)*VLOOKUP('Données projet'!$B$10,Paramètres!$A$1:$I$89,5,0)</f>
        <v>162.29699999999997</v>
      </c>
      <c r="AK78" s="13">
        <f t="shared" si="89"/>
        <v>41.360179577983907</v>
      </c>
      <c r="AL78" s="20">
        <f t="shared" si="58"/>
        <v>354.70292109832189</v>
      </c>
      <c r="AM78" s="59">
        <f t="shared" si="59"/>
        <v>648.03625443165515</v>
      </c>
      <c r="AN78" s="59">
        <f ca="1">AVERAGE(OFFSET($AM$3,0,0,'Données projet'!$E$10+1,1))-AVERAGE(OFFSET($H$3,0,0,'Données projet'!$E$10+1,1))</f>
        <v>179.55753939371345</v>
      </c>
      <c r="AO78" s="59">
        <f t="shared" si="90"/>
        <v>147.29214159934531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30.705128205128204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22.04993833203833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22.04993833203833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6.4791666666666643</v>
      </c>
      <c r="AI79" s="13">
        <f>IF('Données projet'!$A$62&gt;35,AI78+AH79-AQ78,IF(A79&lt;'Données projet'!$A$62,$AF$205^A79,IF(A79='Données projet'!$A$62,'Données projet'!$B$62,AI78+AH79-AQ78)))</f>
        <v>168.4342948717948</v>
      </c>
      <c r="AJ79" s="13">
        <f>AI79*VLOOKUP('Données projet'!$B$10,Paramètres!$A$1:$I$89,3,0)*VLOOKUP('Données projet'!$B$10,Paramètres!$A$1:$I$89,5,0)</f>
        <v>141.88904999999997</v>
      </c>
      <c r="AK79" s="13">
        <f t="shared" si="89"/>
        <v>36.729422172906538</v>
      </c>
      <c r="AL79" s="20">
        <f t="shared" si="58"/>
        <v>311.09383903447878</v>
      </c>
      <c r="AM79" s="59">
        <f t="shared" si="59"/>
        <v>604.42717236781209</v>
      </c>
      <c r="AN79" s="59">
        <f ca="1">AVERAGE(OFFSET($AM$3,0,0,'Données projet'!$E$10+1,1))-AVERAGE(OFFSET($H$3,0,0,'Données projet'!$E$10+1,1))</f>
        <v>179.55753939371345</v>
      </c>
      <c r="AO79" s="59">
        <f t="shared" si="90"/>
        <v>147.29214159934531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21.617552490481451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21.617552490481451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6.4791666666666643</v>
      </c>
      <c r="AI80" s="13">
        <f>IF('Données projet'!$A$62&gt;35,AI79+AH80-AQ79,IF(A80&lt;'Données projet'!$A$62,$AF$205^A80,IF(A80='Données projet'!$A$62,'Données projet'!$B$62,AI79+AH80-AQ79)))</f>
        <v>174.91346153846146</v>
      </c>
      <c r="AJ80" s="13">
        <f>AI80*VLOOKUP('Données projet'!$B$10,Paramètres!$A$1:$I$89,3,0)*VLOOKUP('Données projet'!$B$10,Paramètres!$A$1:$I$89,5,0)</f>
        <v>147.34709999999995</v>
      </c>
      <c r="AK80" s="13">
        <f t="shared" si="89"/>
        <v>37.975079892734712</v>
      </c>
      <c r="AL80" s="20">
        <f t="shared" si="58"/>
        <v>322.76946331317953</v>
      </c>
      <c r="AM80" s="59">
        <f t="shared" si="59"/>
        <v>616.10279664651284</v>
      </c>
      <c r="AN80" s="59">
        <f ca="1">AVERAGE(OFFSET($AM$3,0,0,'Données projet'!$E$10+1,1))-AVERAGE(OFFSET($H$3,0,0,'Données projet'!$E$10+1,1))</f>
        <v>179.55753939371345</v>
      </c>
      <c r="AO80" s="59">
        <f t="shared" si="90"/>
        <v>147.29214159934531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21.193645471548177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21.193645471548177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6.4791666666666643</v>
      </c>
      <c r="AI81" s="13">
        <f>IF('Données projet'!$A$62&gt;35,AI80+AH81-AQ80,IF(A81&lt;'Données projet'!$A$62,$AF$205^A81,IF(A81='Données projet'!$A$62,'Données projet'!$B$62,AI80+AH81-AQ80)))</f>
        <v>181.39262820512812</v>
      </c>
      <c r="AJ81" s="13">
        <f>AI81*VLOOKUP('Données projet'!$B$10,Paramètres!$A$1:$I$89,3,0)*VLOOKUP('Données projet'!$B$10,Paramètres!$A$1:$I$89,5,0)</f>
        <v>152.80514999999994</v>
      </c>
      <c r="AK81" s="13">
        <f t="shared" si="89"/>
        <v>39.215376973066448</v>
      </c>
      <c r="AL81" s="20">
        <f t="shared" si="58"/>
        <v>334.43575114475726</v>
      </c>
      <c r="AM81" s="59">
        <f t="shared" si="59"/>
        <v>627.76908447809058</v>
      </c>
      <c r="AN81" s="59">
        <f ca="1">AVERAGE(OFFSET($AM$3,0,0,'Données projet'!$E$10+1,1))-AVERAGE(OFFSET($H$3,0,0,'Données projet'!$E$10+1,1))</f>
        <v>179.55753939371345</v>
      </c>
      <c r="AO81" s="59">
        <f t="shared" si="90"/>
        <v>147.29214159934531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20.778051010698434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20.778051010698434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6.4791666666666643</v>
      </c>
      <c r="AI82" s="13">
        <f>IF('Données projet'!$A$62&gt;35,AI81+AH82-AQ81,IF(A82&lt;'Données projet'!$A$62,$AF$205^A82,IF(A82='Données projet'!$A$62,'Données projet'!$B$62,AI81+AH82-AQ81)))</f>
        <v>187.87179487179478</v>
      </c>
      <c r="AJ82" s="13">
        <f>AI82*VLOOKUP('Données projet'!$B$10,Paramètres!$A$1:$I$89,3,0)*VLOOKUP('Données projet'!$B$10,Paramètres!$A$1:$I$89,5,0)</f>
        <v>158.26319999999993</v>
      </c>
      <c r="AK82" s="13">
        <f t="shared" si="89"/>
        <v>40.45052682709521</v>
      </c>
      <c r="AL82" s="20">
        <f t="shared" si="58"/>
        <v>346.0930742238574</v>
      </c>
      <c r="AM82" s="59">
        <f t="shared" si="59"/>
        <v>639.42640755719071</v>
      </c>
      <c r="AN82" s="59">
        <f ca="1">AVERAGE(OFFSET($AM$3,0,0,'Données projet'!$E$10+1,1))-AVERAGE(OFFSET($H$3,0,0,'Données projet'!$E$10+1,1))</f>
        <v>179.55753939371345</v>
      </c>
      <c r="AO82" s="59">
        <f t="shared" si="90"/>
        <v>147.29214159934531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20.370606103738364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20.370606103738364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6.4791666666666643</v>
      </c>
      <c r="AI83" s="13">
        <f>IF('Données projet'!$A$62&gt;35,AI82+AH83-AQ82,IF(A83&lt;'Données projet'!$A$62,$AF$205^A83,IF(A83='Données projet'!$A$62,'Données projet'!$B$62,AI82+AH83-AQ82)))</f>
        <v>194.35096153846143</v>
      </c>
      <c r="AJ83" s="13">
        <f>AI83*VLOOKUP('Données projet'!$B$10,Paramètres!$A$1:$I$89,3,0)*VLOOKUP('Données projet'!$B$10,Paramètres!$A$1:$I$89,5,0)</f>
        <v>163.72124999999994</v>
      </c>
      <c r="AK83" s="13">
        <f t="shared" si="89"/>
        <v>41.680727313109671</v>
      </c>
      <c r="AL83" s="20">
        <f t="shared" si="58"/>
        <v>357.74177715366591</v>
      </c>
      <c r="AM83" s="59">
        <f t="shared" si="59"/>
        <v>651.07511048699917</v>
      </c>
      <c r="AN83" s="59">
        <f ca="1">AVERAGE(OFFSET($AM$3,0,0,'Données projet'!$E$10+1,1))-AVERAGE(OFFSET($H$3,0,0,'Données projet'!$E$10+1,1))</f>
        <v>179.55753939371345</v>
      </c>
      <c r="AO83" s="59">
        <f t="shared" si="90"/>
        <v>147.29214159934531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19.971150942886926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19.971150942886926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6.4791666666666643</v>
      </c>
      <c r="AI84" s="13">
        <f>IF('Données projet'!$A$62&gt;35,AI83+AH84-AQ83,IF(A84&lt;'Données projet'!$A$62,$AF$205^A84,IF(A84='Données projet'!$A$62,'Données projet'!$B$62,AI83+AH84-AQ83)))</f>
        <v>200.83012820512809</v>
      </c>
      <c r="AJ84" s="13">
        <f>AI84*VLOOKUP('Données projet'!$B$10,Paramètres!$A$1:$I$89,3,0)*VLOOKUP('Données projet'!$B$10,Paramètres!$A$1:$I$89,5,0)</f>
        <v>169.1792999999999</v>
      </c>
      <c r="AK84" s="13">
        <f t="shared" si="89"/>
        <v>42.906162348627809</v>
      </c>
      <c r="AL84" s="20">
        <f t="shared" si="58"/>
        <v>369.38218025719328</v>
      </c>
      <c r="AM84" s="59">
        <f t="shared" si="59"/>
        <v>662.7155135905266</v>
      </c>
      <c r="AN84" s="59">
        <f ca="1">AVERAGE(OFFSET($AM$3,0,0,'Données projet'!$E$10+1,1))-AVERAGE(OFFSET($H$3,0,0,'Données projet'!$E$10+1,1))</f>
        <v>179.55753939371345</v>
      </c>
      <c r="AO84" s="59">
        <f t="shared" si="90"/>
        <v>147.29214159934531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19.579528854096196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19.579528854096196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6.4791666666666643</v>
      </c>
      <c r="AI85" s="13">
        <f>IF('Données projet'!$A$62&gt;35,AI84+AH85-AQ84,IF(A85&lt;'Données projet'!$A$62,$AF$205^A85,IF(A85='Données projet'!$A$62,'Données projet'!$B$62,AI84+AH85-AQ84)))</f>
        <v>207.30929487179475</v>
      </c>
      <c r="AJ85" s="13">
        <f>AI85*VLOOKUP('Données projet'!$B$10,Paramètres!$A$1:$I$89,3,0)*VLOOKUP('Données projet'!$B$10,Paramètres!$A$1:$I$89,5,0)</f>
        <v>174.63734999999991</v>
      </c>
      <c r="AK85" s="13">
        <f t="shared" si="89"/>
        <v>44.127003310379465</v>
      </c>
      <c r="AL85" s="20">
        <f t="shared" si="58"/>
        <v>381.01458201557739</v>
      </c>
      <c r="AM85" s="59">
        <f t="shared" si="59"/>
        <v>674.34791534891065</v>
      </c>
      <c r="AN85" s="59">
        <f ca="1">AVERAGE(OFFSET($AM$3,0,0,'Données projet'!$E$10+1,1))-AVERAGE(OFFSET($H$3,0,0,'Données projet'!$E$10+1,1))</f>
        <v>179.55753939371345</v>
      </c>
      <c r="AO85" s="59">
        <f t="shared" si="90"/>
        <v>147.29214159934531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19.195586235600764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19.195586235600764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213.78846153846152</v>
      </c>
      <c r="AG86" s="12">
        <f>VLOOKUP(A86,'Données projet'!$A$61:$I$81,9,0)</f>
        <v>6.4791666666666643</v>
      </c>
      <c r="AH86" s="12">
        <f t="array" ref="AH86">INDEX(AG:AG,MIN(IF(ISNUMBER(AG86:AG282),ROW(AG86:AG282),"")))</f>
        <v>6.4791666666666643</v>
      </c>
      <c r="AI86" s="13">
        <f>IF('Données projet'!$A$62&gt;35,AI85+AH86-AQ85,IF(A86&lt;'Données projet'!$A$62,$AF$205^A86,IF(A86='Données projet'!$A$62,'Données projet'!$B$62,AI85+AH86-AQ85)))</f>
        <v>213.78846153846141</v>
      </c>
      <c r="AJ86" s="13">
        <f>AI86*VLOOKUP('Données projet'!$B$10,Paramètres!$A$1:$I$89,3,0)*VLOOKUP('Données projet'!$B$10,Paramètres!$A$1:$I$89,5,0)</f>
        <v>180.09539999999993</v>
      </c>
      <c r="AK86" s="13">
        <f t="shared" si="89"/>
        <v>45.343410254354019</v>
      </c>
      <c r="AL86" s="20">
        <f t="shared" si="58"/>
        <v>392.63926119299975</v>
      </c>
      <c r="AM86" s="59">
        <f t="shared" si="59"/>
        <v>685.97259452633307</v>
      </c>
      <c r="AN86" s="59">
        <f ca="1">AVERAGE(OFFSET($AM$3,0,0,'Données projet'!$E$10+1,1))-AVERAGE(OFFSET($H$3,0,0,'Données projet'!$E$10+1,1))</f>
        <v>179.55753939371345</v>
      </c>
      <c r="AO86" s="59">
        <f t="shared" si="90"/>
        <v>147.29214159934531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34.955128205128204</v>
      </c>
      <c r="AR86" s="16">
        <f>IF(ISNA(VLOOKUP(A86,'Données projet'!$A$61:$I$81,5,0)),0%,VLOOKUP(A86,'Données projet'!$A$61:$I$81,5,0)*VLOOKUP('Données projet'!$B$10,Paramètres!$A$1:$I$89,7,0))</f>
        <v>0.30099999999999999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28.617294966502904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28.617294966502904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6.3076923076923093</v>
      </c>
      <c r="AI87" s="13">
        <f>IF('Données projet'!$A$62&gt;35,AI86+AH87-AQ86,IF(A87&lt;'Données projet'!$A$62,$AF$205^A87,IF(A87='Données projet'!$A$62,'Données projet'!$B$62,AI86+AH87-AQ86)))</f>
        <v>185.14102564102552</v>
      </c>
      <c r="AJ87" s="13">
        <f>AI87*VLOOKUP('Données projet'!$B$10,Paramètres!$A$1:$I$89,3,0)*VLOOKUP('Données projet'!$B$10,Paramètres!$A$1:$I$89,5,0)</f>
        <v>155.96279999999993</v>
      </c>
      <c r="AK87" s="13">
        <f t="shared" si="89"/>
        <v>39.930563703324054</v>
      </c>
      <c r="AL87" s="20">
        <f t="shared" si="58"/>
        <v>341.18094178328926</v>
      </c>
      <c r="AM87" s="59">
        <f t="shared" si="59"/>
        <v>634.51427511662257</v>
      </c>
      <c r="AN87" s="59">
        <f ca="1">AVERAGE(OFFSET($AM$3,0,0,'Données projet'!$E$10+1,1))-AVERAGE(OFFSET($H$3,0,0,'Données projet'!$E$10+1,1))</f>
        <v>179.55753939371345</v>
      </c>
      <c r="AO87" s="59">
        <f t="shared" si="90"/>
        <v>147.29214159934531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28.056127267036189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28.056127267036189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6.3076923076923093</v>
      </c>
      <c r="AI88" s="13">
        <f>IF('Données projet'!$A$62&gt;35,AI87+AH88-AQ87,IF(A88&lt;'Données projet'!$A$62,$AF$205^A88,IF(A88='Données projet'!$A$62,'Données projet'!$B$62,AI87+AH88-AQ87)))</f>
        <v>191.44871794871784</v>
      </c>
      <c r="AJ88" s="13">
        <f>AI88*VLOOKUP('Données projet'!$B$10,Paramètres!$A$1:$I$89,3,0)*VLOOKUP('Données projet'!$B$10,Paramètres!$A$1:$I$89,5,0)</f>
        <v>161.27639999999994</v>
      </c>
      <c r="AK88" s="13">
        <f t="shared" si="89"/>
        <v>41.130277717520038</v>
      </c>
      <c r="AL88" s="20">
        <f t="shared" si="58"/>
        <v>352.52496369134724</v>
      </c>
      <c r="AM88" s="59">
        <f t="shared" si="59"/>
        <v>645.8582970246805</v>
      </c>
      <c r="AN88" s="59">
        <f ca="1">AVERAGE(OFFSET($AM$3,0,0,'Données projet'!$E$10+1,1))-AVERAGE(OFFSET($H$3,0,0,'Données projet'!$E$10+1,1))</f>
        <v>179.55753939371345</v>
      </c>
      <c r="AO88" s="59">
        <f t="shared" si="90"/>
        <v>147.29214159934531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27.505963723877517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27.505963723877517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6.3076923076923093</v>
      </c>
      <c r="AI89" s="13">
        <f>IF('Données projet'!$A$62&gt;35,AI88+AH89-AQ88,IF(A89&lt;'Données projet'!$A$62,$AF$205^A89,IF(A89='Données projet'!$A$62,'Données projet'!$B$62,AI88+AH89-AQ88)))</f>
        <v>197.75641025641016</v>
      </c>
      <c r="AJ89" s="13">
        <f>AI89*VLOOKUP('Données projet'!$B$10,Paramètres!$A$1:$I$89,3,0)*VLOOKUP('Données projet'!$B$10,Paramètres!$A$1:$I$89,5,0)</f>
        <v>166.58999999999992</v>
      </c>
      <c r="AK89" s="13">
        <f t="shared" si="89"/>
        <v>42.325398701936678</v>
      </c>
      <c r="AL89" s="20">
        <f t="shared" si="58"/>
        <v>363.86098607253956</v>
      </c>
      <c r="AM89" s="59">
        <f t="shared" si="59"/>
        <v>657.19431940587287</v>
      </c>
      <c r="AN89" s="59">
        <f ca="1">AVERAGE(OFFSET($AM$3,0,0,'Données projet'!$E$10+1,1))-AVERAGE(OFFSET($H$3,0,0,'Données projet'!$E$10+1,1))</f>
        <v>179.55753939371345</v>
      </c>
      <c r="AO89" s="59">
        <f t="shared" si="90"/>
        <v>147.29214159934531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26.96658855223356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26.96658855223356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6.3076923076923093</v>
      </c>
      <c r="AI90" s="13">
        <f>IF('Données projet'!$A$62&gt;35,AI89+AH90-AQ89,IF(A90&lt;'Données projet'!$A$62,$AF$205^A90,IF(A90='Données projet'!$A$62,'Données projet'!$B$62,AI89+AH90-AQ89)))</f>
        <v>204.06410256410248</v>
      </c>
      <c r="AJ90" s="13">
        <f>AI90*VLOOKUP('Données projet'!$B$10,Paramètres!$A$1:$I$89,3,0)*VLOOKUP('Données projet'!$B$10,Paramètres!$A$1:$I$89,5,0)</f>
        <v>171.90359999999995</v>
      </c>
      <c r="AK90" s="13">
        <f t="shared" si="89"/>
        <v>43.51608996272973</v>
      </c>
      <c r="AL90" s="20">
        <f t="shared" si="58"/>
        <v>375.1892933517542</v>
      </c>
      <c r="AM90" s="59">
        <f t="shared" si="59"/>
        <v>668.52262668508752</v>
      </c>
      <c r="AN90" s="59">
        <f ca="1">AVERAGE(OFFSET($AM$3,0,0,'Données projet'!$E$10+1,1))-AVERAGE(OFFSET($H$3,0,0,'Données projet'!$E$10+1,1))</f>
        <v>179.55753939371345</v>
      </c>
      <c r="AO90" s="59">
        <f t="shared" si="90"/>
        <v>147.29214159934531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26.437790198719171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26.437790198719171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6.3076923076923093</v>
      </c>
      <c r="AI91" s="13">
        <f>IF('Données projet'!$A$62&gt;35,AI90+AH91-AQ90,IF(A91&lt;'Données projet'!$A$62,$AF$205^A91,IF(A91='Données projet'!$A$62,'Données projet'!$B$62,AI90+AH91-AQ90)))</f>
        <v>210.3717948717948</v>
      </c>
      <c r="AJ91" s="13">
        <f>AI91*VLOOKUP('Données projet'!$B$10,Paramètres!$A$1:$I$89,3,0)*VLOOKUP('Données projet'!$B$10,Paramètres!$A$1:$I$89,5,0)</f>
        <v>177.21719999999996</v>
      </c>
      <c r="AK91" s="13">
        <f t="shared" si="89"/>
        <v>44.702504136827976</v>
      </c>
      <c r="AL91" s="20">
        <f t="shared" si="58"/>
        <v>386.51015137164194</v>
      </c>
      <c r="AM91" s="59">
        <f t="shared" si="59"/>
        <v>679.84348470497525</v>
      </c>
      <c r="AN91" s="59">
        <f ca="1">AVERAGE(OFFSET($AM$3,0,0,'Données projet'!$E$10+1,1))-AVERAGE(OFFSET($H$3,0,0,'Données projet'!$E$10+1,1))</f>
        <v>179.55753939371345</v>
      </c>
      <c r="AO91" s="59">
        <f t="shared" si="90"/>
        <v>147.29214159934531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25.91936125838205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25.91936125838205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6.3076923076923093</v>
      </c>
      <c r="AI92" s="13">
        <f>IF('Données projet'!$A$62&gt;35,AI91+AH92-AQ91,IF(A92&lt;'Données projet'!$A$62,$AF$205^A92,IF(A92='Données projet'!$A$62,'Données projet'!$B$62,AI91+AH92-AQ91)))</f>
        <v>216.67948717948713</v>
      </c>
      <c r="AJ92" s="13">
        <f>AI92*VLOOKUP('Données projet'!$B$10,Paramètres!$A$1:$I$89,3,0)*VLOOKUP('Données projet'!$B$10,Paramètres!$A$1:$I$89,5,0)</f>
        <v>182.53079999999997</v>
      </c>
      <c r="AK92" s="13">
        <f t="shared" si="89"/>
        <v>45.88478418774239</v>
      </c>
      <c r="AL92" s="20">
        <f t="shared" si="58"/>
        <v>397.8238091269846</v>
      </c>
      <c r="AM92" s="59">
        <f t="shared" si="59"/>
        <v>691.15714246031791</v>
      </c>
      <c r="AN92" s="59">
        <f ca="1">AVERAGE(OFFSET($AM$3,0,0,'Données projet'!$E$10+1,1))-AVERAGE(OFFSET($H$3,0,0,'Données projet'!$E$10+1,1))</f>
        <v>179.55753939371345</v>
      </c>
      <c r="AO92" s="59">
        <f t="shared" si="90"/>
        <v>147.29214159934531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25.411098393354511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25.411098393354511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6.3076923076923093</v>
      </c>
      <c r="AI93" s="13">
        <f>IF('Données projet'!$A$62&gt;35,AI92+AH93-AQ92,IF(A93&lt;'Données projet'!$A$62,$AF$205^A93,IF(A93='Données projet'!$A$62,'Données projet'!$B$62,AI92+AH93-AQ92)))</f>
        <v>222.98717948717945</v>
      </c>
      <c r="AJ93" s="13">
        <f>AI93*VLOOKUP('Données projet'!$B$10,Paramètres!$A$1:$I$89,3,0)*VLOOKUP('Données projet'!$B$10,Paramètres!$A$1:$I$89,5,0)</f>
        <v>187.84440000000001</v>
      </c>
      <c r="AK93" s="13">
        <f t="shared" si="89"/>
        <v>47.063064282161939</v>
      </c>
      <c r="AL93" s="20">
        <f t="shared" si="58"/>
        <v>409.1305002914321</v>
      </c>
      <c r="AM93" s="59">
        <f t="shared" si="59"/>
        <v>702.46383362476536</v>
      </c>
      <c r="AN93" s="59">
        <f ca="1">AVERAGE(OFFSET($AM$3,0,0,'Données projet'!$E$10+1,1))-AVERAGE(OFFSET($H$3,0,0,'Données projet'!$E$10+1,1))</f>
        <v>179.55753939371345</v>
      </c>
      <c r="AO93" s="59">
        <f t="shared" si="90"/>
        <v>147.29214159934531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24.912802253100427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24.912802253100427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6.3076923076923093</v>
      </c>
      <c r="AI94" s="13">
        <f>IF('Données projet'!$A$62&gt;35,AI93+AH94-AQ93,IF(A94&lt;'Données projet'!$A$62,$AF$205^A94,IF(A94='Données projet'!$A$62,'Données projet'!$B$62,AI93+AH94-AQ93)))</f>
        <v>229.29487179487177</v>
      </c>
      <c r="AJ94" s="13">
        <f>AI94*VLOOKUP('Données projet'!$B$10,Paramètres!$A$1:$I$89,3,0)*VLOOKUP('Données projet'!$B$10,Paramètres!$A$1:$I$89,5,0)</f>
        <v>193.15799999999999</v>
      </c>
      <c r="AK94" s="13">
        <f t="shared" si="89"/>
        <v>48.237470564575155</v>
      </c>
      <c r="AL94" s="20">
        <f t="shared" si="58"/>
        <v>420.430444566635</v>
      </c>
      <c r="AM94" s="59">
        <f t="shared" si="59"/>
        <v>713.76377789996832</v>
      </c>
      <c r="AN94" s="59">
        <f ca="1">AVERAGE(OFFSET($AM$3,0,0,'Données projet'!$E$10+1,1))-AVERAGE(OFFSET($H$3,0,0,'Données projet'!$E$10+1,1))</f>
        <v>179.55753939371345</v>
      </c>
      <c r="AO94" s="59">
        <f t="shared" si="90"/>
        <v>147.29214159934531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24.424277396226088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24.424277396226088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6.3076923076923093</v>
      </c>
      <c r="AI95" s="13">
        <f>IF('Données projet'!$A$62&gt;35,AI94+AH95-AQ94,IF(A95&lt;'Données projet'!$A$62,$AF$205^A95,IF(A95='Données projet'!$A$62,'Données projet'!$B$62,AI94+AH95-AQ94)))</f>
        <v>235.60256410256409</v>
      </c>
      <c r="AJ95" s="13">
        <f>AI95*VLOOKUP('Données projet'!$B$10,Paramètres!$A$1:$I$89,3,0)*VLOOKUP('Données projet'!$B$10,Paramètres!$A$1:$I$89,5,0)</f>
        <v>198.4716</v>
      </c>
      <c r="AK95" s="13">
        <f t="shared" si="89"/>
        <v>49.408121844259135</v>
      </c>
      <c r="AL95" s="20">
        <f t="shared" si="58"/>
        <v>431.72384887875131</v>
      </c>
      <c r="AM95" s="59">
        <f t="shared" si="59"/>
        <v>725.05718221208463</v>
      </c>
      <c r="AN95" s="59">
        <f ca="1">AVERAGE(OFFSET($AM$3,0,0,'Données projet'!$E$10+1,1))-AVERAGE(OFFSET($H$3,0,0,'Données projet'!$E$10+1,1))</f>
        <v>179.55753939371345</v>
      </c>
      <c r="AO95" s="59">
        <f t="shared" si="90"/>
        <v>147.29214159934531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23.945332213824315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23.945332213824315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241.91025641025641</v>
      </c>
      <c r="AG96" s="12">
        <f>VLOOKUP(A96,'Données projet'!$A$61:$I$81,9,0)</f>
        <v>6.3076923076923093</v>
      </c>
      <c r="AH96" s="12">
        <f t="array" ref="AH96">INDEX(AG:AG,MIN(IF(ISNUMBER(AG96:AG292),ROW(AG96:AG292),"")))</f>
        <v>6.3076923076923093</v>
      </c>
      <c r="AI96" s="13">
        <f>IF('Données projet'!$A$62&gt;35,AI95+AH96-AQ95,IF(A96&lt;'Données projet'!$A$62,$AF$205^A96,IF(A96='Données projet'!$A$62,'Données projet'!$B$62,AI95+AH96-AQ95)))</f>
        <v>241.91025641025641</v>
      </c>
      <c r="AJ96" s="13">
        <f>AI96*VLOOKUP('Données projet'!$B$10,Paramètres!$A$1:$I$89,3,0)*VLOOKUP('Données projet'!$B$10,Paramètres!$A$1:$I$89,5,0)</f>
        <v>203.78520000000003</v>
      </c>
      <c r="AK96" s="13">
        <f t="shared" si="89"/>
        <v>50.575130206628899</v>
      </c>
      <c r="AL96" s="20">
        <f t="shared" si="58"/>
        <v>443.01090844321203</v>
      </c>
      <c r="AM96" s="59">
        <f t="shared" si="59"/>
        <v>736.34424177654535</v>
      </c>
      <c r="AN96" s="59">
        <f ca="1">AVERAGE(OFFSET($AM$3,0,0,'Données projet'!$E$10+1,1))-AVERAGE(OFFSET($H$3,0,0,'Données projet'!$E$10+1,1))</f>
        <v>179.55753939371345</v>
      </c>
      <c r="AO96" s="59">
        <f t="shared" si="90"/>
        <v>147.29214159934531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46.826923076923073</v>
      </c>
      <c r="AR96" s="16">
        <f>IF(ISNA(VLOOKUP(A96,'Données projet'!$A$61:$I$81,5,0)),0%,VLOOKUP(A96,'Données projet'!$A$61:$I$81,5,0)*VLOOKUP('Données projet'!$B$10,Paramètres!$A$1:$I$89,7,0))</f>
        <v>0.38700000000000001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40.351877508097573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40.351877508097573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6.0948717948717928</v>
      </c>
      <c r="AI97" s="13">
        <f>IF('Données projet'!$A$62&gt;35,AI96+AH97-AQ96,IF(A97&lt;'Données projet'!$A$62,$AF$205^A97,IF(A97='Données projet'!$A$62,'Données projet'!$B$62,AI96+AH97-AQ96)))</f>
        <v>201.17820512820512</v>
      </c>
      <c r="AJ97" s="13">
        <f>AI97*VLOOKUP('Données projet'!$B$10,Paramètres!$A$1:$I$89,3,0)*VLOOKUP('Données projet'!$B$10,Paramètres!$A$1:$I$89,5,0)</f>
        <v>169.47252000000003</v>
      </c>
      <c r="AK97" s="13">
        <f t="shared" si="89"/>
        <v>42.971864253735085</v>
      </c>
      <c r="AL97" s="20">
        <f t="shared" si="58"/>
        <v>370.00730257525532</v>
      </c>
      <c r="AM97" s="59">
        <f t="shared" si="59"/>
        <v>663.34063590858864</v>
      </c>
      <c r="AN97" s="59">
        <f ca="1">AVERAGE(OFFSET($AM$3,0,0,'Données projet'!$E$10+1,1))-AVERAGE(OFFSET($H$3,0,0,'Données projet'!$E$10+1,1))</f>
        <v>179.55753939371345</v>
      </c>
      <c r="AO97" s="59">
        <f t="shared" si="90"/>
        <v>147.29214159934531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39.560601802378805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39.560601802378805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6.0948717948717928</v>
      </c>
      <c r="AI98" s="13">
        <f>IF('Données projet'!$A$62&gt;35,AI97+AH98-AQ97,IF(A98&lt;'Données projet'!$A$62,$AF$205^A98,IF(A98='Données projet'!$A$62,'Données projet'!$B$62,AI97+AH98-AQ97)))</f>
        <v>207.27307692307693</v>
      </c>
      <c r="AJ98" s="13">
        <f>AI98*VLOOKUP('Données projet'!$B$10,Paramètres!$A$1:$I$89,3,0)*VLOOKUP('Données projet'!$B$10,Paramètres!$A$1:$I$89,5,0)</f>
        <v>174.60684000000001</v>
      </c>
      <c r="AK98" s="13">
        <f t="shared" si="89"/>
        <v>44.120191388894838</v>
      </c>
      <c r="AL98" s="20">
        <f t="shared" si="58"/>
        <v>380.94957966899182</v>
      </c>
      <c r="AM98" s="59">
        <f t="shared" si="59"/>
        <v>674.28291300232513</v>
      </c>
      <c r="AN98" s="59">
        <f ca="1">AVERAGE(OFFSET($AM$3,0,0,'Données projet'!$E$10+1,1))-AVERAGE(OFFSET($H$3,0,0,'Données projet'!$E$10+1,1))</f>
        <v>179.55753939371345</v>
      </c>
      <c r="AO98" s="59">
        <f t="shared" si="90"/>
        <v>147.29214159934531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38.784842530618661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38.784842530618661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6.0948717948717928</v>
      </c>
      <c r="AI99" s="13">
        <f>IF('Données projet'!$A$62&gt;35,AI98+AH99-AQ98,IF(A99&lt;'Données projet'!$A$62,$AF$205^A99,IF(A99='Données projet'!$A$62,'Données projet'!$B$62,AI98+AH99-AQ98)))</f>
        <v>213.36794871794871</v>
      </c>
      <c r="AJ99" s="13">
        <f>AI99*VLOOKUP('Données projet'!$B$10,Paramètres!$A$1:$I$89,3,0)*VLOOKUP('Données projet'!$B$10,Paramètres!$A$1:$I$89,5,0)</f>
        <v>179.74116000000001</v>
      </c>
      <c r="AK99" s="13">
        <f t="shared" si="89"/>
        <v>45.264594213267848</v>
      </c>
      <c r="AL99" s="20">
        <f t="shared" si="58"/>
        <v>391.88502192144148</v>
      </c>
      <c r="AM99" s="59">
        <f t="shared" si="59"/>
        <v>685.21835525477479</v>
      </c>
      <c r="AN99" s="59">
        <f ca="1">AVERAGE(OFFSET($AM$3,0,0,'Données projet'!$E$10+1,1))-AVERAGE(OFFSET($H$3,0,0,'Données projet'!$E$10+1,1))</f>
        <v>179.55753939371345</v>
      </c>
      <c r="AO99" s="59">
        <f t="shared" si="90"/>
        <v>147.29214159934531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38.024295425011296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38.024295425011296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6.0948717948717928</v>
      </c>
      <c r="AI100" s="13">
        <f>IF('Données projet'!$A$62&gt;35,AI99+AH100-AQ99,IF(A100&lt;'Données projet'!$A$62,$AF$205^A100,IF(A100='Données projet'!$A$62,'Données projet'!$B$62,AI99+AH100-AQ99)))</f>
        <v>219.46282051282049</v>
      </c>
      <c r="AJ100" s="13">
        <f>AI100*VLOOKUP('Données projet'!$B$10,Paramètres!$A$1:$I$89,3,0)*VLOOKUP('Données projet'!$B$10,Paramètres!$A$1:$I$89,5,0)</f>
        <v>184.87548000000001</v>
      </c>
      <c r="AK100" s="13">
        <f t="shared" si="89"/>
        <v>46.405197699944253</v>
      </c>
      <c r="AL100" s="20">
        <f t="shared" si="58"/>
        <v>402.81384699406954</v>
      </c>
      <c r="AM100" s="59">
        <f t="shared" si="59"/>
        <v>696.14718032740279</v>
      </c>
      <c r="AN100" s="59">
        <f ca="1">AVERAGE(OFFSET($AM$3,0,0,'Données projet'!$E$10+1,1))-AVERAGE(OFFSET($H$3,0,0,'Données projet'!$E$10+1,1))</f>
        <v>179.55753939371345</v>
      </c>
      <c r="AO100" s="59">
        <f t="shared" si="90"/>
        <v>147.29214159934531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37.278662184256959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37.278662184256959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6.0948717948717928</v>
      </c>
      <c r="AI101" s="13">
        <f>IF('Données projet'!$A$62&gt;35,AI100+AH101-AQ100,IF(A101&lt;'Données projet'!$A$62,$AF$205^A101,IF(A101='Données projet'!$A$62,'Données projet'!$B$62,AI100+AH101-AQ100)))</f>
        <v>225.55769230769226</v>
      </c>
      <c r="AJ101" s="13">
        <f>AI101*VLOOKUP('Données projet'!$B$10,Paramètres!$A$1:$I$89,3,0)*VLOOKUP('Données projet'!$B$10,Paramètres!$A$1:$I$89,5,0)</f>
        <v>190.00979999999998</v>
      </c>
      <c r="AK101" s="13">
        <f t="shared" si="89"/>
        <v>47.542119485581608</v>
      </c>
      <c r="AL101" s="20">
        <f t="shared" si="58"/>
        <v>413.73625977072129</v>
      </c>
      <c r="AM101" s="59">
        <f t="shared" si="59"/>
        <v>707.06959310405455</v>
      </c>
      <c r="AN101" s="59">
        <f ca="1">AVERAGE(OFFSET($AM$3,0,0,'Données projet'!$E$10+1,1))-AVERAGE(OFFSET($H$3,0,0,'Données projet'!$E$10+1,1))</f>
        <v>179.55753939371345</v>
      </c>
      <c r="AO101" s="59">
        <f t="shared" si="90"/>
        <v>147.29214159934531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36.54765035656245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36.54765035656245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6.0948717948717928</v>
      </c>
      <c r="AI102" s="13">
        <f>IF('Données projet'!$A$62&gt;35,AI101+AH102-AQ101,IF(A102&lt;'Données projet'!$A$62,$AF$205^A102,IF(A102='Données projet'!$A$62,'Données projet'!$B$62,AI101+AH102-AQ101)))</f>
        <v>231.65256410256404</v>
      </c>
      <c r="AJ102" s="13">
        <f>AI102*VLOOKUP('Données projet'!$B$10,Paramètres!$A$1:$I$89,3,0)*VLOOKUP('Données projet'!$B$10,Paramètres!$A$1:$I$89,5,0)</f>
        <v>195.14411999999996</v>
      </c>
      <c r="AK102" s="13">
        <f t="shared" si="89"/>
        <v>48.675470487534454</v>
      </c>
      <c r="AL102" s="20">
        <f t="shared" si="58"/>
        <v>424.65245343245579</v>
      </c>
      <c r="AM102" s="59">
        <f t="shared" si="59"/>
        <v>717.98578676578904</v>
      </c>
      <c r="AN102" s="59">
        <f ca="1">AVERAGE(OFFSET($AM$3,0,0,'Données projet'!$E$10+1,1))-AVERAGE(OFFSET($H$3,0,0,'Données projet'!$E$10+1,1))</f>
        <v>179.55753939371345</v>
      </c>
      <c r="AO102" s="59">
        <f t="shared" si="90"/>
        <v>147.29214159934531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35.830973224935839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35.830973224935839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6.0948717948717928</v>
      </c>
      <c r="AI103" s="13">
        <f>IF('Données projet'!$A$62&gt;35,AI102+AH103-AQ102,IF(A103&lt;'Données projet'!$A$62,$AF$205^A103,IF(A103='Données projet'!$A$62,'Données projet'!$B$62,AI102+AH103-AQ102)))</f>
        <v>237.74743589743582</v>
      </c>
      <c r="AJ103" s="13">
        <f>AI103*VLOOKUP('Données projet'!$B$10,Paramètres!$A$1:$I$89,3,0)*VLOOKUP('Données projet'!$B$10,Paramètres!$A$1:$I$89,5,0)</f>
        <v>200.27843999999996</v>
      </c>
      <c r="AK103" s="13">
        <f t="shared" si="89"/>
        <v>49.805355454208652</v>
      </c>
      <c r="AL103" s="20">
        <f t="shared" si="58"/>
        <v>435.56261041607996</v>
      </c>
      <c r="AM103" s="59">
        <f t="shared" si="59"/>
        <v>728.89594374941328</v>
      </c>
      <c r="AN103" s="59">
        <f ca="1">AVERAGE(OFFSET($AM$3,0,0,'Données projet'!$E$10+1,1))-AVERAGE(OFFSET($H$3,0,0,'Données projet'!$E$10+1,1))</f>
        <v>179.55753939371345</v>
      </c>
      <c r="AO103" s="59">
        <f t="shared" si="90"/>
        <v>147.29214159934531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35.128349694730538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35.128349694730538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6.0948717948717928</v>
      </c>
      <c r="AI104" s="13">
        <f>IF('Données projet'!$A$62&gt;35,AI103+AH104-AQ103,IF(A104&lt;'Données projet'!$A$62,$AF$205^A104,IF(A104='Données projet'!$A$62,'Données projet'!$B$62,AI103+AH104-AQ103)))</f>
        <v>243.8423076923076</v>
      </c>
      <c r="AJ104" s="13">
        <f>AI104*VLOOKUP('Données projet'!$B$10,Paramètres!$A$1:$I$89,3,0)*VLOOKUP('Données projet'!$B$10,Paramètres!$A$1:$I$89,5,0)</f>
        <v>205.41275999999996</v>
      </c>
      <c r="AK104" s="13">
        <f t="shared" si="89"/>
        <v>50.931873457392705</v>
      </c>
      <c r="AL104" s="20">
        <f t="shared" si="58"/>
        <v>446.46690327162554</v>
      </c>
      <c r="AM104" s="59">
        <f t="shared" si="59"/>
        <v>739.80023660495885</v>
      </c>
      <c r="AN104" s="59">
        <f ca="1">AVERAGE(OFFSET($AM$3,0,0,'Données projet'!$E$10+1,1))-AVERAGE(OFFSET($H$3,0,0,'Données projet'!$E$10+1,1))</f>
        <v>179.55753939371345</v>
      </c>
      <c r="AO104" s="59">
        <f t="shared" si="90"/>
        <v>147.29214159934531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34.439504183394526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34.439504183394526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6.0948717948717928</v>
      </c>
      <c r="AI105" s="13">
        <f>IF('Données projet'!$A$62&gt;35,AI104+AH105-AQ104,IF(A105&lt;'Données projet'!$A$62,$AF$205^A105,IF(A105='Données projet'!$A$62,'Données projet'!$B$62,AI104+AH105-AQ104)))</f>
        <v>249.93717948717938</v>
      </c>
      <c r="AJ105" s="13">
        <f>AI105*VLOOKUP('Données projet'!$B$10,Paramètres!$A$1:$I$89,3,0)*VLOOKUP('Données projet'!$B$10,Paramètres!$A$1:$I$89,5,0)</f>
        <v>210.54707999999994</v>
      </c>
      <c r="AK105" s="13">
        <f t="shared" si="89"/>
        <v>52.05511833397977</v>
      </c>
      <c r="AL105" s="20">
        <f t="shared" si="58"/>
        <v>457.36549543168127</v>
      </c>
      <c r="AM105" s="59">
        <f t="shared" si="59"/>
        <v>750.69882876501458</v>
      </c>
      <c r="AN105" s="59">
        <f ca="1">AVERAGE(OFFSET($AM$3,0,0,'Données projet'!$E$10+1,1))-AVERAGE(OFFSET($H$3,0,0,'Données projet'!$E$10+1,1))</f>
        <v>179.55753939371345</v>
      </c>
      <c r="AO105" s="59">
        <f t="shared" si="90"/>
        <v>147.29214159934531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33.764166512381536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33.764166512381536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256.03205128205127</v>
      </c>
      <c r="AG106" s="12">
        <f>VLOOKUP(A106,'Données projet'!$A$61:$I$81,9,0)</f>
        <v>6.0948717948717928</v>
      </c>
      <c r="AH106" s="12">
        <f t="array" ref="AH106">INDEX(AG:AG,MIN(IF(ISNUMBER(AG106:AG302),ROW(AG106:AG302),"")))</f>
        <v>6.0948717948717928</v>
      </c>
      <c r="AI106" s="13">
        <f>IF('Données projet'!$A$62&gt;35,AI105+AH106-AQ105,IF(A106&lt;'Données projet'!$A$62,$AF$205^A106,IF(A106='Données projet'!$A$62,'Données projet'!$B$62,AI105+AH106-AQ105)))</f>
        <v>256.03205128205116</v>
      </c>
      <c r="AJ106" s="13">
        <f>AI106*VLOOKUP('Données projet'!$B$10,Paramètres!$A$1:$I$89,3,0)*VLOOKUP('Données projet'!$B$10,Paramètres!$A$1:$I$89,5,0)</f>
        <v>215.68139999999988</v>
      </c>
      <c r="AK106" s="13">
        <f t="shared" si="89"/>
        <v>53.175179083390056</v>
      </c>
      <c r="AL106" s="20">
        <f t="shared" si="58"/>
        <v>468.2585419035708</v>
      </c>
      <c r="AM106" s="59">
        <f t="shared" si="59"/>
        <v>761.59187523690412</v>
      </c>
      <c r="AN106" s="59">
        <f ca="1">AVERAGE(OFFSET($AM$3,0,0,'Données projet'!$E$10+1,1))-AVERAGE(OFFSET($H$3,0,0,'Données projet'!$E$10+1,1))</f>
        <v>179.55753939371345</v>
      </c>
      <c r="AO106" s="59">
        <f t="shared" si="90"/>
        <v>147.29214159934531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46.730769230769234</v>
      </c>
      <c r="AR106" s="16">
        <f>IF(ISNA(VLOOKUP(A106,'Données projet'!$A$61:$I$81,5,0)),0%,VLOOKUP(A106,'Données projet'!$A$61:$I$81,5,0)*VLOOKUP('Données projet'!$B$10,Paramètres!$A$1:$I$89,7,0))</f>
        <v>0.38700000000000001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49.943517274970432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49.943517274970432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5.9115384615384645</v>
      </c>
      <c r="AI107" s="13">
        <f>IF('Données projet'!$A$62&gt;35,AI106+AH107-AQ106,IF(A107&lt;'Données projet'!$A$62,$AF$205^A107,IF(A107='Données projet'!$A$62,'Données projet'!$B$62,AI106+AH107-AQ106)))</f>
        <v>215.21282051282037</v>
      </c>
      <c r="AJ107" s="13">
        <f>AI107*VLOOKUP('Données projet'!$B$10,Paramètres!$A$1:$I$89,3,0)*VLOOKUP('Données projet'!$B$10,Paramètres!$A$1:$I$89,5,0)</f>
        <v>181.29527999999991</v>
      </c>
      <c r="AK107" s="13">
        <f t="shared" si="89"/>
        <v>45.61024173425686</v>
      </c>
      <c r="AL107" s="20">
        <f t="shared" si="58"/>
        <v>395.19378368716383</v>
      </c>
      <c r="AM107" s="59">
        <f t="shared" si="59"/>
        <v>688.52711702049714</v>
      </c>
      <c r="AN107" s="59">
        <f ca="1">AVERAGE(OFFSET($AM$3,0,0,'Données projet'!$E$10+1,1))-AVERAGE(OFFSET($H$3,0,0,'Données projet'!$E$10+1,1))</f>
        <v>179.55753939371345</v>
      </c>
      <c r="AO107" s="59">
        <f t="shared" si="90"/>
        <v>147.29214159934531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48.964155363745874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48.964155363745874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5.9115384615384645</v>
      </c>
      <c r="AI108" s="13">
        <f>IF('Données projet'!$A$62&gt;35,AI107+AH108-AQ107,IF(A108&lt;'Données projet'!$A$62,$AF$205^A108,IF(A108='Données projet'!$A$62,'Données projet'!$B$62,AI107+AH108-AQ107)))</f>
        <v>221.12435897435884</v>
      </c>
      <c r="AJ108" s="13">
        <f>AI108*VLOOKUP('Données projet'!$B$10,Paramètres!$A$1:$I$89,3,0)*VLOOKUP('Données projet'!$B$10,Paramètres!$A$1:$I$89,5,0)</f>
        <v>186.27515999999989</v>
      </c>
      <c r="AK108" s="13">
        <f t="shared" si="89"/>
        <v>46.715497081116304</v>
      </c>
      <c r="AL108" s="20">
        <f t="shared" si="58"/>
        <v>405.79206108294397</v>
      </c>
      <c r="AM108" s="59">
        <f t="shared" si="59"/>
        <v>699.12539441627723</v>
      </c>
      <c r="AN108" s="59">
        <f ca="1">AVERAGE(OFFSET($AM$3,0,0,'Données projet'!$E$10+1,1))-AVERAGE(OFFSET($H$3,0,0,'Données projet'!$E$10+1,1))</f>
        <v>179.55753939371345</v>
      </c>
      <c r="AO108" s="59">
        <f t="shared" si="90"/>
        <v>147.29214159934531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48.003998142248648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48.003998142248648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5.9115384615384645</v>
      </c>
      <c r="AI109" s="13">
        <f>IF('Données projet'!$A$62&gt;35,AI108+AH109-AQ108,IF(A109&lt;'Données projet'!$A$62,$AF$205^A109,IF(A109='Données projet'!$A$62,'Données projet'!$B$62,AI108+AH109-AQ108)))</f>
        <v>227.03589743589731</v>
      </c>
      <c r="AJ109" s="13">
        <f>AI109*VLOOKUP('Données projet'!$B$10,Paramètres!$A$1:$I$89,3,0)*VLOOKUP('Données projet'!$B$10,Paramètres!$A$1:$I$89,5,0)</f>
        <v>191.25503999999989</v>
      </c>
      <c r="AK109" s="13">
        <f t="shared" si="89"/>
        <v>47.817317966442367</v>
      </c>
      <c r="AL109" s="20">
        <f t="shared" si="58"/>
        <v>416.38435679155356</v>
      </c>
      <c r="AM109" s="59">
        <f t="shared" si="59"/>
        <v>709.71769012488687</v>
      </c>
      <c r="AN109" s="59">
        <f ca="1">AVERAGE(OFFSET($AM$3,0,0,'Données projet'!$E$10+1,1))-AVERAGE(OFFSET($H$3,0,0,'Données projet'!$E$10+1,1))</f>
        <v>179.55753939371345</v>
      </c>
      <c r="AO109" s="59">
        <f t="shared" si="90"/>
        <v>147.29214159934531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47.062669018226906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47.062669018226906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5.9115384615384645</v>
      </c>
      <c r="AI110" s="13">
        <f>IF('Données projet'!$A$62&gt;35,AI109+AH110-AQ109,IF(A110&lt;'Données projet'!$A$62,$AF$205^A110,IF(A110='Données projet'!$A$62,'Données projet'!$B$62,AI109+AH110-AQ109)))</f>
        <v>232.94743589743578</v>
      </c>
      <c r="AJ110" s="13">
        <f>AI110*VLOOKUP('Données projet'!$B$10,Paramètres!$A$1:$I$89,3,0)*VLOOKUP('Données projet'!$B$10,Paramètres!$A$1:$I$89,5,0)</f>
        <v>196.2349199999999</v>
      </c>
      <c r="AK110" s="13">
        <f t="shared" si="89"/>
        <v>48.915804097279683</v>
      </c>
      <c r="AL110" s="20">
        <f t="shared" si="58"/>
        <v>426.97084446942858</v>
      </c>
      <c r="AM110" s="59">
        <f t="shared" si="59"/>
        <v>720.30417780276184</v>
      </c>
      <c r="AN110" s="59">
        <f ca="1">AVERAGE(OFFSET($AM$3,0,0,'Données projet'!$E$10+1,1))-AVERAGE(OFFSET($H$3,0,0,'Données projet'!$E$10+1,1))</f>
        <v>179.55753939371345</v>
      </c>
      <c r="AO110" s="59">
        <f t="shared" si="90"/>
        <v>147.29214159934531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46.139798784173152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46.139798784173152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5.9115384615384645</v>
      </c>
      <c r="AI111" s="13">
        <f>IF('Données projet'!$A$62&gt;35,AI110+AH111-AQ110,IF(A111&lt;'Données projet'!$A$62,$AF$205^A111,IF(A111='Données projet'!$A$62,'Données projet'!$B$62,AI110+AH111-AQ110)))</f>
        <v>238.85897435897425</v>
      </c>
      <c r="AJ111" s="13">
        <f>AI111*VLOOKUP('Données projet'!$B$10,Paramètres!$A$1:$I$89,3,0)*VLOOKUP('Données projet'!$B$10,Paramètres!$A$1:$I$89,5,0)</f>
        <v>201.21479999999994</v>
      </c>
      <c r="AK111" s="13">
        <f t="shared" si="89"/>
        <v>50.011049831760154</v>
      </c>
      <c r="AL111" s="20">
        <f t="shared" si="58"/>
        <v>437.55168845698216</v>
      </c>
      <c r="AM111" s="59">
        <f t="shared" si="59"/>
        <v>730.88502179031548</v>
      </c>
      <c r="AN111" s="59">
        <f ca="1">AVERAGE(OFFSET($AM$3,0,0,'Données projet'!$E$10+1,1))-AVERAGE(OFFSET($H$3,0,0,'Données projet'!$E$10+1,1))</f>
        <v>179.55753939371345</v>
      </c>
      <c r="AO111" s="59">
        <f t="shared" si="90"/>
        <v>147.29214159934531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45.235025472513932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45.235025472513932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5.9115384615384645</v>
      </c>
      <c r="AI112" s="13">
        <f>IF('Données projet'!$A$62&gt;35,AI111+AH112-AQ111,IF(A112&lt;'Données projet'!$A$62,$AF$205^A112,IF(A112='Données projet'!$A$62,'Données projet'!$B$62,AI111+AH112-AQ111)))</f>
        <v>244.77051282051272</v>
      </c>
      <c r="AJ112" s="13">
        <f>AI112*VLOOKUP('Données projet'!$B$10,Paramètres!$A$1:$I$89,3,0)*VLOOKUP('Données projet'!$B$10,Paramètres!$A$1:$I$89,5,0)</f>
        <v>206.19467999999995</v>
      </c>
      <c r="AK112" s="13">
        <f t="shared" si="89"/>
        <v>51.103144591229984</v>
      </c>
      <c r="AL112" s="20">
        <f t="shared" si="58"/>
        <v>448.12704449639205</v>
      </c>
      <c r="AM112" s="59">
        <f t="shared" si="59"/>
        <v>741.4603778297253</v>
      </c>
      <c r="AN112" s="59">
        <f ca="1">AVERAGE(OFFSET($AM$3,0,0,'Données projet'!$E$10+1,1))-AVERAGE(OFFSET($H$3,0,0,'Données projet'!$E$10+1,1))</f>
        <v>179.55753939371345</v>
      </c>
      <c r="AO112" s="59">
        <f t="shared" si="90"/>
        <v>147.29214159934531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44.347994213639126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44.347994213639126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5.9115384615384645</v>
      </c>
      <c r="AI113" s="13">
        <f>IF('Données projet'!$A$62&gt;35,AI112+AH113-AQ112,IF(A113&lt;'Données projet'!$A$62,$AF$205^A113,IF(A113='Données projet'!$A$62,'Données projet'!$B$62,AI112+AH113-AQ112)))</f>
        <v>250.68205128205119</v>
      </c>
      <c r="AJ113" s="13">
        <f>AI113*VLOOKUP('Données projet'!$B$10,Paramètres!$A$1:$I$89,3,0)*VLOOKUP('Données projet'!$B$10,Paramètres!$A$1:$I$89,5,0)</f>
        <v>211.17455999999993</v>
      </c>
      <c r="AK113" s="13">
        <f t="shared" si="89"/>
        <v>52.19217323144148</v>
      </c>
      <c r="AL113" s="20">
        <f t="shared" si="58"/>
        <v>458.69706037809374</v>
      </c>
      <c r="AM113" s="59">
        <f t="shared" si="59"/>
        <v>752.030393711427</v>
      </c>
      <c r="AN113" s="59">
        <f ca="1">AVERAGE(OFFSET($AM$3,0,0,'Données projet'!$E$10+1,1))-AVERAGE(OFFSET($H$3,0,0,'Données projet'!$E$10+1,1))</f>
        <v>179.55753939371345</v>
      </c>
      <c r="AO113" s="59">
        <f t="shared" si="90"/>
        <v>147.29214159934531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43.478357096715207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43.478357096715207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5.9115384615384645</v>
      </c>
      <c r="AI114" s="13">
        <f>IF('Données projet'!$A$62&gt;35,AI113+AH114-AQ113,IF(A114&lt;'Données projet'!$A$62,$AF$205^A114,IF(A114='Données projet'!$A$62,'Données projet'!$B$62,AI113+AH114-AQ113)))</f>
        <v>256.59358974358963</v>
      </c>
      <c r="AJ114" s="13">
        <f>AI114*VLOOKUP('Données projet'!$B$10,Paramètres!$A$1:$I$89,3,0)*VLOOKUP('Données projet'!$B$10,Paramètres!$A$1:$I$89,5,0)</f>
        <v>216.15443999999994</v>
      </c>
      <c r="AK114" s="13">
        <f t="shared" si="89"/>
        <v>53.278216377745693</v>
      </c>
      <c r="AL114" s="20">
        <f t="shared" si="58"/>
        <v>469.26187652457361</v>
      </c>
      <c r="AM114" s="59">
        <f t="shared" si="59"/>
        <v>762.59520985790687</v>
      </c>
      <c r="AN114" s="59">
        <f ca="1">AVERAGE(OFFSET($AM$3,0,0,'Données projet'!$E$10+1,1))-AVERAGE(OFFSET($H$3,0,0,'Données projet'!$E$10+1,1))</f>
        <v>179.55753939371345</v>
      </c>
      <c r="AO114" s="59">
        <f t="shared" si="90"/>
        <v>147.29214159934531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42.625773033227901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42.625773033227901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5.9115384615384645</v>
      </c>
      <c r="AI115" s="13">
        <f>IF('Données projet'!$A$62&gt;35,AI114+AH115-AQ114,IF(A115&lt;'Données projet'!$A$62,$AF$205^A115,IF(A115='Données projet'!$A$62,'Données projet'!$B$62,AI114+AH115-AQ114)))</f>
        <v>262.50512820512807</v>
      </c>
      <c r="AJ115" s="13">
        <f>AI115*VLOOKUP('Données projet'!$B$10,Paramètres!$A$1:$I$89,3,0)*VLOOKUP('Données projet'!$B$10,Paramètres!$A$1:$I$89,5,0)</f>
        <v>221.13431999999989</v>
      </c>
      <c r="AK115" s="13">
        <f t="shared" si="89"/>
        <v>54.36135072852413</v>
      </c>
      <c r="AL115" s="20">
        <f t="shared" si="58"/>
        <v>479.82162651884596</v>
      </c>
      <c r="AM115" s="59">
        <f t="shared" si="59"/>
        <v>773.15495985217922</v>
      </c>
      <c r="AN115" s="59">
        <f ca="1">AVERAGE(OFFSET($AM$3,0,0,'Données projet'!$E$10+1,1))-AVERAGE(OFFSET($H$3,0,0,'Données projet'!$E$10+1,1))</f>
        <v>179.55753939371345</v>
      </c>
      <c r="AO115" s="59">
        <f t="shared" si="90"/>
        <v>147.29214159934531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41.789907623200648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41.789907623200648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268.41666666666669</v>
      </c>
      <c r="AG116" s="12">
        <f>VLOOKUP(A116,'Données projet'!$A$61:$I$81,9,0)</f>
        <v>5.9115384615384645</v>
      </c>
      <c r="AH116" s="12">
        <f t="array" ref="AH116">INDEX(AG:AG,MIN(IF(ISNUMBER(AG116:AG312),ROW(AG116:AG312),"")))</f>
        <v>5.9115384615384645</v>
      </c>
      <c r="AI116" s="13">
        <f>IF('Données projet'!$A$62&gt;35,AI115+AH116-AQ115,IF(A116&lt;'Données projet'!$A$62,$AF$205^A116,IF(A116='Données projet'!$A$62,'Données projet'!$B$62,AI115+AH116-AQ115)))</f>
        <v>268.41666666666652</v>
      </c>
      <c r="AJ116" s="13">
        <f>AI116*VLOOKUP('Données projet'!$B$10,Paramètres!$A$1:$I$89,3,0)*VLOOKUP('Données projet'!$B$10,Paramètres!$A$1:$I$89,5,0)</f>
        <v>226.1141999999999</v>
      </c>
      <c r="AK116" s="13">
        <f t="shared" si="89"/>
        <v>55.441649330517961</v>
      </c>
      <c r="AL116" s="20">
        <f t="shared" si="58"/>
        <v>490.37643758398525</v>
      </c>
      <c r="AM116" s="59">
        <f t="shared" si="59"/>
        <v>783.70977091731856</v>
      </c>
      <c r="AN116" s="59">
        <f ca="1">AVERAGE(OFFSET($AM$3,0,0,'Données projet'!$E$10+1,1))-AVERAGE(OFFSET($H$3,0,0,'Données projet'!$E$10+1,1))</f>
        <v>179.55753939371345</v>
      </c>
      <c r="AO116" s="59">
        <f t="shared" si="90"/>
        <v>147.29214159934531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47.141025641025642</v>
      </c>
      <c r="AR116" s="16">
        <f>IF(ISNA(VLOOKUP(A116,'Données projet'!$A$61:$I$81,5,0)),0%,VLOOKUP(A116,'Données projet'!$A$61:$I$81,5,0)*VLOOKUP('Données projet'!$B$10,Paramètres!$A$1:$I$89,7,0))</f>
        <v>0.38700000000000001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57.959732065770567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57.959732065770567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5.8570512820512759</v>
      </c>
      <c r="AI117" s="13">
        <f>IF('Données projet'!$A$62&gt;35,AI116+AH117-AQ116,IF(A117&lt;'Données projet'!$A$62,$AF$205^A117,IF(A117='Données projet'!$A$62,'Données projet'!$B$62,AI116+AH117-AQ116)))</f>
        <v>227.13269230769214</v>
      </c>
      <c r="AJ117" s="13">
        <f>AI117*VLOOKUP('Données projet'!$B$10,Paramètres!$A$1:$I$89,3,0)*VLOOKUP('Données projet'!$B$10,Paramètres!$A$1:$I$89,5,0)</f>
        <v>191.33657999999988</v>
      </c>
      <c r="AK117" s="13">
        <f t="shared" si="89"/>
        <v>47.835331045883272</v>
      </c>
      <c r="AL117" s="20">
        <f t="shared" si="58"/>
        <v>416.5577450715798</v>
      </c>
      <c r="AM117" s="59">
        <f t="shared" si="59"/>
        <v>709.89107840491306</v>
      </c>
      <c r="AN117" s="59">
        <f ca="1">AVERAGE(OFFSET($AM$3,0,0,'Données projet'!$E$10+1,1))-AVERAGE(OFFSET($H$3,0,0,'Données projet'!$E$10+1,1))</f>
        <v>179.55753939371345</v>
      </c>
      <c r="AO117" s="59">
        <f t="shared" si="90"/>
        <v>147.29214159934531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56.823177071906649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56.823177071906649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5.8570512820512759</v>
      </c>
      <c r="AI118" s="13">
        <f>IF('Données projet'!$A$62&gt;35,AI117+AH118-AQ117,IF(A118&lt;'Données projet'!$A$62,$AF$205^A118,IF(A118='Données projet'!$A$62,'Données projet'!$B$62,AI117+AH118-AQ117)))</f>
        <v>232.98974358974343</v>
      </c>
      <c r="AJ118" s="13">
        <f>AI118*VLOOKUP('Données projet'!$B$10,Paramètres!$A$1:$I$89,3,0)*VLOOKUP('Données projet'!$B$10,Paramètres!$A$1:$I$89,5,0)</f>
        <v>196.27055999999988</v>
      </c>
      <c r="AK118" s="13">
        <f t="shared" si="89"/>
        <v>48.923653953761736</v>
      </c>
      <c r="AL118" s="20">
        <f t="shared" si="58"/>
        <v>427.04658930280146</v>
      </c>
      <c r="AM118" s="59">
        <f t="shared" si="59"/>
        <v>720.37992263613478</v>
      </c>
      <c r="AN118" s="59">
        <f ca="1">AVERAGE(OFFSET($AM$3,0,0,'Données projet'!$E$10+1,1))-AVERAGE(OFFSET($H$3,0,0,'Données projet'!$E$10+1,1))</f>
        <v>179.55753939371345</v>
      </c>
      <c r="AO118" s="59">
        <f t="shared" si="90"/>
        <v>147.29214159934531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55.708909228242312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55.708909228242312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5.8570512820512759</v>
      </c>
      <c r="AI119" s="13">
        <f>IF('Données projet'!$A$62&gt;35,AI118+AH119-AQ118,IF(A119&lt;'Données projet'!$A$62,$AF$205^A119,IF(A119='Données projet'!$A$62,'Données projet'!$B$62,AI118+AH119-AQ118)))</f>
        <v>238.84679487179471</v>
      </c>
      <c r="AJ119" s="13">
        <f>AI119*VLOOKUP('Données projet'!$B$10,Paramètres!$A$1:$I$89,3,0)*VLOOKUP('Données projet'!$B$10,Paramètres!$A$1:$I$89,5,0)</f>
        <v>201.20453999999989</v>
      </c>
      <c r="AK119" s="13">
        <f t="shared" si="89"/>
        <v>50.008796576431145</v>
      </c>
      <c r="AL119" s="20">
        <f t="shared" si="58"/>
        <v>437.52989453728406</v>
      </c>
      <c r="AM119" s="59">
        <f t="shared" si="59"/>
        <v>730.86322787061738</v>
      </c>
      <c r="AN119" s="59">
        <f ca="1">AVERAGE(OFFSET($AM$3,0,0,'Données projet'!$E$10+1,1))-AVERAGE(OFFSET($H$3,0,0,'Données projet'!$E$10+1,1))</f>
        <v>179.55753939371345</v>
      </c>
      <c r="AO119" s="59">
        <f t="shared" si="90"/>
        <v>147.29214159934531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54.616491497355952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54.616491497355952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5.8570512820512759</v>
      </c>
      <c r="AI120" s="13">
        <f>IF('Données projet'!$A$62&gt;35,AI119+AH120-AQ119,IF(A120&lt;'Données projet'!$A$62,$AF$205^A120,IF(A120='Données projet'!$A$62,'Données projet'!$B$62,AI119+AH120-AQ119)))</f>
        <v>244.703846153846</v>
      </c>
      <c r="AJ120" s="13">
        <f>AI120*VLOOKUP('Données projet'!$B$10,Paramètres!$A$1:$I$89,3,0)*VLOOKUP('Données projet'!$B$10,Paramètres!$A$1:$I$89,5,0)</f>
        <v>206.13851999999991</v>
      </c>
      <c r="AK120" s="13">
        <f t="shared" si="89"/>
        <v>51.090845872759019</v>
      </c>
      <c r="AL120" s="20">
        <f t="shared" si="58"/>
        <v>448.00781222838845</v>
      </c>
      <c r="AM120" s="59">
        <f t="shared" si="59"/>
        <v>741.34114556172176</v>
      </c>
      <c r="AN120" s="59">
        <f ca="1">AVERAGE(OFFSET($AM$3,0,0,'Données projet'!$E$10+1,1))-AVERAGE(OFFSET($H$3,0,0,'Données projet'!$E$10+1,1))</f>
        <v>179.55753939371345</v>
      </c>
      <c r="AO120" s="59">
        <f t="shared" si="90"/>
        <v>147.29214159934531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53.54549541186325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53.54549541186325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5.8570512820512759</v>
      </c>
      <c r="AI121" s="13">
        <f>IF('Données projet'!$A$62&gt;35,AI120+AH121-AQ120,IF(A121&lt;'Données projet'!$A$62,$AF$205^A121,IF(A121='Données projet'!$A$62,'Données projet'!$B$62,AI120+AH121-AQ120)))</f>
        <v>250.56089743589729</v>
      </c>
      <c r="AJ121" s="13">
        <f>AI121*VLOOKUP('Données projet'!$B$10,Paramètres!$A$1:$I$89,3,0)*VLOOKUP('Données projet'!$B$10,Paramètres!$A$1:$I$89,5,0)</f>
        <v>211.07249999999991</v>
      </c>
      <c r="AK121" s="13">
        <f t="shared" si="89"/>
        <v>52.169884401438239</v>
      </c>
      <c r="AL121" s="20">
        <f t="shared" si="58"/>
        <v>458.48048616583804</v>
      </c>
      <c r="AM121" s="59">
        <f t="shared" si="59"/>
        <v>751.81381949917136</v>
      </c>
      <c r="AN121" s="59">
        <f ca="1">AVERAGE(OFFSET($AM$3,0,0,'Données projet'!$E$10+1,1))-AVERAGE(OFFSET($H$3,0,0,'Données projet'!$E$10+1,1))</f>
        <v>179.55753939371345</v>
      </c>
      <c r="AO121" s="59">
        <f t="shared" si="90"/>
        <v>147.29214159934531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52.495500906363951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52.495500906363951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5.8570512820512759</v>
      </c>
      <c r="AI122" s="13">
        <f>IF('Données projet'!$A$62&gt;35,AI121+AH122-AQ121,IF(A122&lt;'Données projet'!$A$62,$AF$205^A122,IF(A122='Données projet'!$A$62,'Données projet'!$B$62,AI121+AH122-AQ121)))</f>
        <v>256.41794871794855</v>
      </c>
      <c r="AJ122" s="13">
        <f>AI122*VLOOKUP('Données projet'!$B$10,Paramètres!$A$1:$I$89,3,0)*VLOOKUP('Données projet'!$B$10,Paramètres!$A$1:$I$89,5,0)</f>
        <v>216.00647999999987</v>
      </c>
      <c r="AK122" s="13">
        <f t="shared" si="89"/>
        <v>53.245990641213581</v>
      </c>
      <c r="AL122" s="20">
        <f t="shared" si="58"/>
        <v>468.94805303344674</v>
      </c>
      <c r="AM122" s="59">
        <f t="shared" si="59"/>
        <v>762.28138636678</v>
      </c>
      <c r="AN122" s="59">
        <f ca="1">AVERAGE(OFFSET($AM$3,0,0,'Données projet'!$E$10+1,1))-AVERAGE(OFFSET($H$3,0,0,'Données projet'!$E$10+1,1))</f>
        <v>179.55753939371345</v>
      </c>
      <c r="AO122" s="59">
        <f t="shared" si="90"/>
        <v>147.29214159934531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51.466096152684081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51.466096152684081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5.8570512820512759</v>
      </c>
      <c r="AI123" s="13">
        <f>IF('Données projet'!$A$62&gt;35,AI122+AH123-AQ122,IF(A123&lt;'Données projet'!$A$62,$AF$205^A123,IF(A123='Données projet'!$A$62,'Données projet'!$B$62,AI122+AH123-AQ122)))</f>
        <v>262.27499999999981</v>
      </c>
      <c r="AJ123" s="13">
        <f>AI123*VLOOKUP('Données projet'!$B$10,Paramètres!$A$1:$I$89,3,0)*VLOOKUP('Données projet'!$B$10,Paramètres!$A$1:$I$89,5,0)</f>
        <v>220.94045999999989</v>
      </c>
      <c r="AK123" s="13">
        <f t="shared" si="89"/>
        <v>54.319239281025531</v>
      </c>
      <c r="AL123" s="20">
        <f t="shared" si="58"/>
        <v>479.41064291445258</v>
      </c>
      <c r="AM123" s="59">
        <f t="shared" si="59"/>
        <v>772.74397624778589</v>
      </c>
      <c r="AN123" s="59">
        <f ca="1">AVERAGE(OFFSET($AM$3,0,0,'Données projet'!$E$10+1,1))-AVERAGE(OFFSET($H$3,0,0,'Données projet'!$E$10+1,1))</f>
        <v>179.55753939371345</v>
      </c>
      <c r="AO123" s="59">
        <f t="shared" si="90"/>
        <v>147.29214159934531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50.456877398348972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50.456877398348972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5.8570512820512759</v>
      </c>
      <c r="AI124" s="13">
        <f>IF('Données projet'!$A$62&gt;35,AI123+AH124-AQ123,IF(A124&lt;'Données projet'!$A$62,$AF$205^A124,IF(A124='Données projet'!$A$62,'Données projet'!$B$62,AI123+AH124-AQ123)))</f>
        <v>268.13205128205107</v>
      </c>
      <c r="AJ124" s="13">
        <f>AI124*VLOOKUP('Données projet'!$B$10,Paramètres!$A$1:$I$89,3,0)*VLOOKUP('Données projet'!$B$10,Paramètres!$A$1:$I$89,5,0)</f>
        <v>225.87443999999985</v>
      </c>
      <c r="AK124" s="13">
        <f t="shared" si="89"/>
        <v>55.389701483505064</v>
      </c>
      <c r="AL124" s="20">
        <f t="shared" si="58"/>
        <v>489.86837975043773</v>
      </c>
      <c r="AM124" s="59">
        <f t="shared" si="59"/>
        <v>783.20171308377098</v>
      </c>
      <c r="AN124" s="59">
        <f ca="1">AVERAGE(OFFSET($AM$3,0,0,'Données projet'!$E$10+1,1))-AVERAGE(OFFSET($H$3,0,0,'Données projet'!$E$10+1,1))</f>
        <v>179.55753939371345</v>
      </c>
      <c r="AO124" s="59">
        <f t="shared" si="90"/>
        <v>147.29214159934531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49.467448808223715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49.467448808223715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5.8570512820512759</v>
      </c>
      <c r="AI125" s="13">
        <f>IF('Données projet'!$A$62&gt;35,AI124+AH125-AQ124,IF(A125&lt;'Données projet'!$A$62,$AF$205^A125,IF(A125='Données projet'!$A$62,'Données projet'!$B$62,AI124+AH125-AQ124)))</f>
        <v>273.98910256410232</v>
      </c>
      <c r="AJ125" s="13">
        <f>AI125*VLOOKUP('Données projet'!$B$10,Paramètres!$A$1:$I$89,3,0)*VLOOKUP('Données projet'!$B$10,Paramètres!$A$1:$I$89,5,0)</f>
        <v>230.80841999999984</v>
      </c>
      <c r="AK125" s="13">
        <f t="shared" si="89"/>
        <v>56.457445124797083</v>
      </c>
      <c r="AL125" s="20">
        <f t="shared" si="58"/>
        <v>500.32138175902128</v>
      </c>
      <c r="AM125" s="59">
        <f t="shared" si="59"/>
        <v>793.65471509235454</v>
      </c>
      <c r="AN125" s="59">
        <f ca="1">AVERAGE(OFFSET($AM$3,0,0,'Données projet'!$E$10+1,1))-AVERAGE(OFFSET($H$3,0,0,'Données projet'!$E$10+1,1))</f>
        <v>179.55753939371345</v>
      </c>
      <c r="AO125" s="59">
        <f t="shared" si="90"/>
        <v>147.29214159934531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48.497422309258965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48.497422309258965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279.84615384615381</v>
      </c>
      <c r="AG126" s="12">
        <f>VLOOKUP(A126,'Données projet'!$A$61:$I$81,9,0)</f>
        <v>5.8570512820512759</v>
      </c>
      <c r="AH126" s="12">
        <f t="array" ref="AH126">INDEX(AG:AG,MIN(IF(ISNUMBER(AG126:AG322),ROW(AG126:AG322),"")))</f>
        <v>5.8570512820512759</v>
      </c>
      <c r="AI126" s="13">
        <f>IF('Données projet'!$A$62&gt;35,AI125+AH126-AQ125,IF(A126&lt;'Données projet'!$A$62,$AF$205^A126,IF(A126='Données projet'!$A$62,'Données projet'!$B$62,AI125+AH126-AQ125)))</f>
        <v>279.84615384615358</v>
      </c>
      <c r="AJ126" s="13">
        <f>AI126*VLOOKUP('Données projet'!$B$10,Paramètres!$A$1:$I$89,3,0)*VLOOKUP('Données projet'!$B$10,Paramètres!$A$1:$I$89,5,0)</f>
        <v>235.7423999999998</v>
      </c>
      <c r="AK126" s="13">
        <f t="shared" si="89"/>
        <v>57.522535013297464</v>
      </c>
      <c r="AL126" s="20">
        <f t="shared" si="58"/>
        <v>510.76976181482604</v>
      </c>
      <c r="AM126" s="59">
        <f t="shared" si="59"/>
        <v>804.10309514815935</v>
      </c>
      <c r="AN126" s="59">
        <f ca="1">AVERAGE(OFFSET($AM$3,0,0,'Données projet'!$E$10+1,1))-AVERAGE(OFFSET($H$3,0,0,'Données projet'!$E$10+1,1))</f>
        <v>179.55753939371345</v>
      </c>
      <c r="AO126" s="59">
        <f t="shared" si="90"/>
        <v>147.29214159934531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139.2628205128205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97.735773119770585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97.735773119770585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3.2628205128205252</v>
      </c>
      <c r="AI127" s="13">
        <f>IF('Données projet'!$A$62&gt;35,AI126+AH127-AQ126,IF(A127&lt;'Données projet'!$A$62,$AF$205^A127,IF(A127='Données projet'!$A$62,'Données projet'!$B$62,AI126+AH127-AQ126)))</f>
        <v>143.84615384615364</v>
      </c>
      <c r="AJ127" s="13">
        <f>AI127*VLOOKUP('Données projet'!$B$10,Paramètres!$A$1:$I$89,3,0)*VLOOKUP('Données projet'!$B$10,Paramètres!$A$1:$I$89,5,0)</f>
        <v>121.17599999999985</v>
      </c>
      <c r="AK127" s="13">
        <f t="shared" si="89"/>
        <v>31.949126109718058</v>
      </c>
      <c r="AL127" s="20">
        <f t="shared" si="58"/>
        <v>266.69292797442534</v>
      </c>
      <c r="AM127" s="59">
        <f t="shared" si="59"/>
        <v>560.02626130775866</v>
      </c>
      <c r="AN127" s="59">
        <f ca="1">AVERAGE(OFFSET($AM$3,0,0,'Données projet'!$E$10+1,1))-AVERAGE(OFFSET($H$3,0,0,'Données projet'!$E$10+1,1))</f>
        <v>179.55753939371345</v>
      </c>
      <c r="AO127" s="59">
        <f t="shared" si="90"/>
        <v>147.29214159934531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95.819234221827202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95.819234221827202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147.10897435897436</v>
      </c>
      <c r="AG128" s="12">
        <f>VLOOKUP(A128,'Données projet'!$A$61:$I$81,9,0)</f>
        <v>3.2628205128205252</v>
      </c>
      <c r="AH128" s="12">
        <f t="array" ref="AH128">INDEX(AG:AG,MIN(IF(ISNUMBER(AG128:AG324),ROW(AG128:AG324),"")))</f>
        <v>3.2628205128205252</v>
      </c>
      <c r="AI128" s="13">
        <f>IF('Données projet'!$A$62&gt;35,AI127+AH128-AQ127,IF(A128&lt;'Données projet'!$A$62,$AF$205^A128,IF(A128='Données projet'!$A$62,'Données projet'!$B$62,AI127+AH128-AQ127)))</f>
        <v>147.10897435897417</v>
      </c>
      <c r="AJ128" s="13">
        <f>AI128*VLOOKUP('Données projet'!$B$10,Paramètres!$A$1:$I$89,3,0)*VLOOKUP('Données projet'!$B$10,Paramètres!$A$1:$I$89,5,0)</f>
        <v>123.92459999999986</v>
      </c>
      <c r="AK128" s="13">
        <f t="shared" si="89"/>
        <v>32.588626337449291</v>
      </c>
      <c r="AL128" s="20">
        <f t="shared" si="58"/>
        <v>272.59386920439056</v>
      </c>
      <c r="AM128" s="59">
        <f t="shared" si="59"/>
        <v>565.92720253772382</v>
      </c>
      <c r="AN128" s="59">
        <f ca="1">AVERAGE(OFFSET($AM$3,0,0,'Données projet'!$E$10+1,1))-AVERAGE(OFFSET($H$3,0,0,'Données projet'!$E$10+1,1))</f>
        <v>179.55753939371345</v>
      </c>
      <c r="AO128" s="59">
        <f t="shared" si="90"/>
        <v>147.29214159934531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48.217948717948715</v>
      </c>
      <c r="AR128" s="16">
        <f>IF(ISNA(VLOOKUP(A128,'Données projet'!$A$61:$I$81,5,0)),0%,VLOOKUP(A128,'Données projet'!$A$61:$I$81,5,0)*VLOOKUP('Données projet'!$B$10,Paramètres!$A$1:$I$89,7,0))</f>
        <v>0.38700000000000001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111.31769214029013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111.31769214029013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2.2339743589743577</v>
      </c>
      <c r="AI129" s="13">
        <f>IF('Données projet'!$A$62&gt;35,AI128+AH129-AQ128,IF(A129&lt;'Données projet'!$A$62,$AF$205^A129,IF(A129='Données projet'!$A$62,'Données projet'!$B$62,AI128+AH129-AQ128)))</f>
        <v>101.12499999999982</v>
      </c>
      <c r="AJ129" s="13">
        <f>AI129*VLOOKUP('Données projet'!$B$10,Paramètres!$A$1:$I$89,3,0)*VLOOKUP('Données projet'!$B$10,Paramètres!$A$1:$I$89,5,0)</f>
        <v>85.18769999999985</v>
      </c>
      <c r="AK129" s="13">
        <f t="shared" si="89"/>
        <v>23.400928375803844</v>
      </c>
      <c r="AL129" s="20">
        <f t="shared" si="58"/>
        <v>189.12519442119142</v>
      </c>
      <c r="AM129" s="59">
        <f t="shared" si="59"/>
        <v>482.45852775452477</v>
      </c>
      <c r="AN129" s="59">
        <f ca="1">AVERAGE(OFFSET($AM$3,0,0,'Données projet'!$E$10+1,1))-AVERAGE(OFFSET($H$3,0,0,'Données projet'!$E$10+1,1))</f>
        <v>179.55753939371345</v>
      </c>
      <c r="AO129" s="59">
        <f t="shared" si="90"/>
        <v>147.29214159934531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109.13482009450696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109.13482009450696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103.35897435897436</v>
      </c>
      <c r="AG130" s="12">
        <f>VLOOKUP(A130,'Données projet'!$A$61:$I$81,9,0)</f>
        <v>2.2339743589743577</v>
      </c>
      <c r="AH130" s="12">
        <f t="array" ref="AH130">INDEX(AG:AG,MIN(IF(ISNUMBER(AG130:AG326),ROW(AG130:AG326),"")))</f>
        <v>2.2339743589743577</v>
      </c>
      <c r="AI130" s="13">
        <f>IF('Données projet'!$A$62&gt;35,AI129+AH130-AQ129,IF(A130&lt;'Données projet'!$A$62,$AF$205^A130,IF(A130='Données projet'!$A$62,'Données projet'!$B$62,AI129+AH130-AQ129)))</f>
        <v>103.35897435897417</v>
      </c>
      <c r="AJ130" s="13">
        <f>AI130*VLOOKUP('Données projet'!$B$10,Paramètres!$A$1:$I$89,3,0)*VLOOKUP('Données projet'!$B$10,Paramètres!$A$1:$I$89,5,0)</f>
        <v>87.069599999999838</v>
      </c>
      <c r="AK130" s="13">
        <f t="shared" si="89"/>
        <v>23.857127294667414</v>
      </c>
      <c r="AL130" s="20">
        <f t="shared" si="58"/>
        <v>193.19738337154544</v>
      </c>
      <c r="AM130" s="59">
        <f t="shared" si="59"/>
        <v>486.53071670487873</v>
      </c>
      <c r="AN130" s="59">
        <f ca="1">AVERAGE(OFFSET($AM$3,0,0,'Données projet'!$E$10+1,1))-AVERAGE(OFFSET($H$3,0,0,'Données projet'!$E$10+1,1))</f>
        <v>179.55753939371345</v>
      </c>
      <c r="AO130" s="59">
        <f t="shared" si="90"/>
        <v>147.29214159934531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31.423076923076923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118.31941205794442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118.31941205794442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1.6367521367521316</v>
      </c>
      <c r="AI131" s="13">
        <f>IF('Données projet'!$A$62&gt;35,AI130+AH131-AQ130,IF(A131&lt;'Données projet'!$A$62,$AF$205^A131,IF(A131='Données projet'!$A$62,'Données projet'!$B$62,AI130+AH131-AQ130)))</f>
        <v>73.572649572649382</v>
      </c>
      <c r="AJ131" s="13">
        <f>AI131*VLOOKUP('Données projet'!$B$10,Paramètres!$A$1:$I$89,3,0)*VLOOKUP('Données projet'!$B$10,Paramètres!$A$1:$I$89,5,0)</f>
        <v>61.977599999999846</v>
      </c>
      <c r="AK131" s="13">
        <f t="shared" si="89"/>
        <v>17.667320768213084</v>
      </c>
      <c r="AL131" s="20">
        <f t="shared" si="58"/>
        <v>138.71490367130417</v>
      </c>
      <c r="AM131" s="59">
        <f t="shared" si="59"/>
        <v>432.04823700463749</v>
      </c>
      <c r="AN131" s="59">
        <f ca="1">AVERAGE(OFFSET($AM$3,0,0,'Données projet'!$E$10+1,1))-AVERAGE(OFFSET($H$3,0,0,'Données projet'!$E$10+1,1))</f>
        <v>179.55753939371345</v>
      </c>
      <c r="AO131" s="59">
        <f t="shared" si="90"/>
        <v>147.29214159934531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115.99924055520351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115.99924055520351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1.6367521367521316</v>
      </c>
      <c r="AI132" s="13">
        <f>IF('Données projet'!$A$62&gt;35,AI131+AH132-AQ131,IF(A132&lt;'Données projet'!$A$62,$AF$205^A132,IF(A132='Données projet'!$A$62,'Données projet'!$B$62,AI131+AH132-AQ131)))</f>
        <v>75.209401709401519</v>
      </c>
      <c r="AJ132" s="13">
        <f>AI132*VLOOKUP('Données projet'!$B$10,Paramètres!$A$1:$I$89,3,0)*VLOOKUP('Données projet'!$B$10,Paramètres!$A$1:$I$89,5,0)</f>
        <v>63.356399999999852</v>
      </c>
      <c r="AK132" s="13">
        <f t="shared" si="89"/>
        <v>18.014165303763779</v>
      </c>
      <c r="AL132" s="20">
        <f t="shared" ref="AL132:AL153" si="112">(AJ132+AK132)*0.475*44/12</f>
        <v>141.7204012373883</v>
      </c>
      <c r="AM132" s="59">
        <f t="shared" ref="AM132:AM195" si="113">AL132+(AD132+AE132)*44/12</f>
        <v>435.05373457072164</v>
      </c>
      <c r="AN132" s="59">
        <f ca="1">AVERAGE(OFFSET($AM$3,0,0,'Données projet'!$E$10+1,1))-AVERAGE(OFFSET($H$3,0,0,'Données projet'!$E$10+1,1))</f>
        <v>179.55753939371345</v>
      </c>
      <c r="AO132" s="59">
        <f t="shared" si="90"/>
        <v>147.29214159934531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113.72456620046648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113.72456620046648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76.84615384615384</v>
      </c>
      <c r="AG133" s="12">
        <f>VLOOKUP(A133,'Données projet'!$A$61:$I$81,9,0)</f>
        <v>1.6367521367521316</v>
      </c>
      <c r="AH133" s="12">
        <f t="array" ref="AH133">INDEX(AG:AG,MIN(IF(ISNUMBER(AG133:AG329),ROW(AG133:AG329),"")))</f>
        <v>1.6367521367521316</v>
      </c>
      <c r="AI133" s="13">
        <f>IF('Données projet'!$A$62&gt;35,AI132+AH133-AQ132,IF(A133&lt;'Données projet'!$A$62,$AF$205^A133,IF(A133='Données projet'!$A$62,'Données projet'!$B$62,AI132+AH133-AQ132)))</f>
        <v>76.846153846153655</v>
      </c>
      <c r="AJ133" s="13">
        <f>AI133*VLOOKUP('Données projet'!$B$10,Paramètres!$A$1:$I$89,3,0)*VLOOKUP('Données projet'!$B$10,Paramètres!$A$1:$I$89,5,0)</f>
        <v>64.73519999999985</v>
      </c>
      <c r="AK133" s="13">
        <f t="shared" ref="AK133:AK153" si="143">EXP(-1.0587+0.8836*LN(AJ133)+0.284)</f>
        <v>18.360132262983022</v>
      </c>
      <c r="AL133" s="20">
        <f t="shared" si="112"/>
        <v>144.72437035802849</v>
      </c>
      <c r="AM133" s="59">
        <f t="shared" si="113"/>
        <v>438.05770369136178</v>
      </c>
      <c r="AN133" s="59">
        <f ca="1">AVERAGE(OFFSET($AM$3,0,0,'Données projet'!$E$10+1,1))-AVERAGE(OFFSET($H$3,0,0,'Données projet'!$E$10+1,1))</f>
        <v>179.55753939371345</v>
      </c>
      <c r="AO133" s="59">
        <f t="shared" ref="AO133:AO196" si="144">$AO$3</f>
        <v>147.29214159934531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76.84615384615384</v>
      </c>
      <c r="AR133" s="16">
        <f>IF(ISNA(VLOOKUP(A133,'Données projet'!$A$61:$I$81,5,0)),0%,VLOOKUP(A133,'Données projet'!$A$61:$I$81,5,0)*VLOOKUP('Données projet'!$B$10,Paramètres!$A$1:$I$89,7,0))</f>
        <v>0.38700000000000001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139.18931826819721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139.18931826819721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-1.8474111129762605E-13</v>
      </c>
      <c r="AJ134" s="13">
        <f>AI134*VLOOKUP('Données projet'!$B$10,Paramètres!$A$1:$I$89,3,0)*VLOOKUP('Données projet'!$B$10,Paramètres!$A$1:$I$89,5,0)</f>
        <v>-1.5562591215712021E-13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179.55753939371345</v>
      </c>
      <c r="AO134" s="59">
        <f t="shared" si="144"/>
        <v>147.29214159934531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136.45990063405912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136.45990063405912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-1.8474111129762605E-13</v>
      </c>
      <c r="AJ135" s="13">
        <f>AI135*VLOOKUP('Données projet'!$B$10,Paramètres!$A$1:$I$89,3,0)*VLOOKUP('Données projet'!$B$10,Paramètres!$A$1:$I$89,5,0)</f>
        <v>-1.5562591215712021E-13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179.55753939371345</v>
      </c>
      <c r="AO135" s="59">
        <f t="shared" si="144"/>
        <v>147.29214159934531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133.78400521494609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133.78400521494609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-1.8474111129762605E-13</v>
      </c>
      <c r="AJ136" s="13">
        <f>AI136*VLOOKUP('Données projet'!$B$10,Paramètres!$A$1:$I$89,3,0)*VLOOKUP('Données projet'!$B$10,Paramètres!$A$1:$I$89,5,0)</f>
        <v>-1.5562591215712021E-13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179.55753939371345</v>
      </c>
      <c r="AO136" s="59">
        <f t="shared" si="144"/>
        <v>147.29214159934531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131.16058247286682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131.16058247286682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-1.8474111129762605E-13</v>
      </c>
      <c r="AJ137" s="13">
        <f>AI137*VLOOKUP('Données projet'!$B$10,Paramètres!$A$1:$I$89,3,0)*VLOOKUP('Données projet'!$B$10,Paramètres!$A$1:$I$89,5,0)</f>
        <v>-1.5562591215712021E-13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179.55753939371345</v>
      </c>
      <c r="AO137" s="59">
        <f t="shared" si="144"/>
        <v>147.29214159934531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128.58860345062988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128.58860345062988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-1.8474111129762605E-13</v>
      </c>
      <c r="AJ138" s="13">
        <f>AI138*VLOOKUP('Données projet'!$B$10,Paramètres!$A$1:$I$89,3,0)*VLOOKUP('Données projet'!$B$10,Paramètres!$A$1:$I$89,5,0)</f>
        <v>-1.5562591215712021E-13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179.55753939371345</v>
      </c>
      <c r="AO138" s="59">
        <f t="shared" si="144"/>
        <v>147.29214159934531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126.06705936826668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126.06705936826668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-1.8474111129762605E-13</v>
      </c>
      <c r="AJ139" s="13">
        <f>AI139*VLOOKUP('Données projet'!$B$10,Paramètres!$A$1:$I$89,3,0)*VLOOKUP('Données projet'!$B$10,Paramètres!$A$1:$I$89,5,0)</f>
        <v>-1.5562591215712021E-13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179.55753939371345</v>
      </c>
      <c r="AO139" s="59">
        <f t="shared" si="144"/>
        <v>147.29214159934531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123.5949612273686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123.5949612273686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-1.8474111129762605E-13</v>
      </c>
      <c r="AJ140" s="13">
        <f>AI140*VLOOKUP('Données projet'!$B$10,Paramètres!$A$1:$I$89,3,0)*VLOOKUP('Données projet'!$B$10,Paramètres!$A$1:$I$89,5,0)</f>
        <v>-1.5562591215712021E-13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179.55753939371345</v>
      </c>
      <c r="AO140" s="59">
        <f t="shared" si="144"/>
        <v>147.29214159934531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121.17133942318256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121.17133942318256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-1.8474111129762605E-13</v>
      </c>
      <c r="AJ141" s="13">
        <f>AI141*VLOOKUP('Données projet'!$B$10,Paramètres!$A$1:$I$89,3,0)*VLOOKUP('Données projet'!$B$10,Paramètres!$A$1:$I$89,5,0)</f>
        <v>-1.5562591215712021E-13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179.55753939371345</v>
      </c>
      <c r="AO141" s="59">
        <f t="shared" si="144"/>
        <v>147.29214159934531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118.79524336431327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118.79524336431327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-1.8474111129762605E-13</v>
      </c>
      <c r="AJ142" s="13">
        <f>AI142*VLOOKUP('Données projet'!$B$10,Paramètres!$A$1:$I$89,3,0)*VLOOKUP('Données projet'!$B$10,Paramètres!$A$1:$I$89,5,0)</f>
        <v>-1.5562591215712021E-13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179.55753939371345</v>
      </c>
      <c r="AO142" s="59">
        <f t="shared" si="144"/>
        <v>147.29214159934531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116.46574109988291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116.46574109988291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-1.8474111129762605E-13</v>
      </c>
      <c r="AJ143" s="13">
        <f>AI143*VLOOKUP('Données projet'!$B$10,Paramètres!$A$1:$I$89,3,0)*VLOOKUP('Données projet'!$B$10,Paramètres!$A$1:$I$89,5,0)</f>
        <v>-1.5562591215712021E-13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179.55753939371345</v>
      </c>
      <c r="AO143" s="59">
        <f t="shared" si="144"/>
        <v>147.29214159934531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114.18191895400194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114.18191895400194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-1.8474111129762605E-13</v>
      </c>
      <c r="AJ144" s="13">
        <f>AI144*VLOOKUP('Données projet'!$B$10,Paramètres!$A$1:$I$89,3,0)*VLOOKUP('Données projet'!$B$10,Paramètres!$A$1:$I$89,5,0)</f>
        <v>-1.5562591215712021E-13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179.55753939371345</v>
      </c>
      <c r="AO144" s="59">
        <f t="shared" si="144"/>
        <v>147.29214159934531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111.94288116740775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111.94288116740775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-1.8474111129762605E-13</v>
      </c>
      <c r="AJ145" s="13">
        <f>AI145*VLOOKUP('Données projet'!$B$10,Paramètres!$A$1:$I$89,3,0)*VLOOKUP('Données projet'!$B$10,Paramètres!$A$1:$I$89,5,0)</f>
        <v>-1.5562591215712021E-13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179.55753939371345</v>
      </c>
      <c r="AO145" s="59">
        <f t="shared" si="144"/>
        <v>147.29214159934531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109.74774954613046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109.74774954613046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-1.8474111129762605E-13</v>
      </c>
      <c r="AJ146" s="13">
        <f>AI146*VLOOKUP('Données projet'!$B$10,Paramètres!$A$1:$I$89,3,0)*VLOOKUP('Données projet'!$B$10,Paramètres!$A$1:$I$89,5,0)</f>
        <v>-1.5562591215712021E-13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179.55753939371345</v>
      </c>
      <c r="AO146" s="59">
        <f t="shared" si="144"/>
        <v>147.29214159934531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107.59566311704835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107.59566311704835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-1.8474111129762605E-13</v>
      </c>
      <c r="AJ147" s="13">
        <f>AI147*VLOOKUP('Données projet'!$B$10,Paramètres!$A$1:$I$89,3,0)*VLOOKUP('Données projet'!$B$10,Paramètres!$A$1:$I$89,5,0)</f>
        <v>-1.5562591215712021E-13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179.55753939371345</v>
      </c>
      <c r="AO147" s="59">
        <f t="shared" si="144"/>
        <v>147.29214159934531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105.48577779019742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105.48577779019742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-1.8474111129762605E-13</v>
      </c>
      <c r="AJ148" s="13">
        <f>AI148*VLOOKUP('Données projet'!$B$10,Paramètres!$A$1:$I$89,3,0)*VLOOKUP('Données projet'!$B$10,Paramètres!$A$1:$I$89,5,0)</f>
        <v>-1.5562591215712021E-13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179.55753939371345</v>
      </c>
      <c r="AO148" s="59">
        <f t="shared" si="144"/>
        <v>147.29214159934531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103.41726602770305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103.41726602770305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-1.8474111129762605E-13</v>
      </c>
      <c r="AJ149" s="13">
        <f>AI149*VLOOKUP('Données projet'!$B$10,Paramètres!$A$1:$I$89,3,0)*VLOOKUP('Données projet'!$B$10,Paramètres!$A$1:$I$89,5,0)</f>
        <v>-1.5562591215712021E-13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179.55753939371345</v>
      </c>
      <c r="AO149" s="59">
        <f t="shared" si="144"/>
        <v>147.29214159934531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101.3893165192036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101.3893165192036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-1.8474111129762605E-13</v>
      </c>
      <c r="AJ150" s="13">
        <f>AI150*VLOOKUP('Données projet'!$B$10,Paramètres!$A$1:$I$89,3,0)*VLOOKUP('Données projet'!$B$10,Paramètres!$A$1:$I$89,5,0)</f>
        <v>-1.5562591215712021E-13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179.55753939371345</v>
      </c>
      <c r="AO150" s="59">
        <f t="shared" si="144"/>
        <v>147.29214159934531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99.401133863638762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99.401133863638762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-1.8474111129762605E-13</v>
      </c>
      <c r="AJ151" s="13">
        <f>AI151*VLOOKUP('Données projet'!$B$10,Paramètres!$A$1:$I$89,3,0)*VLOOKUP('Données projet'!$B$10,Paramètres!$A$1:$I$89,5,0)</f>
        <v>-1.5562591215712021E-13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179.55753939371345</v>
      </c>
      <c r="AO151" s="59">
        <f t="shared" si="144"/>
        <v>147.29214159934531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97.451938257277874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97.451938257277874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-1.8474111129762605E-13</v>
      </c>
      <c r="AJ152" s="13">
        <f>AI152*VLOOKUP('Données projet'!$B$10,Paramètres!$A$1:$I$89,3,0)*VLOOKUP('Données projet'!$B$10,Paramètres!$A$1:$I$89,5,0)</f>
        <v>-1.5562591215712021E-13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179.55753939371345</v>
      </c>
      <c r="AO152" s="59">
        <f t="shared" si="144"/>
        <v>147.29214159934531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95.540965187865794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95.540965187865794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-1.8474111129762605E-13</v>
      </c>
      <c r="AJ153" s="13">
        <f>AI153*VLOOKUP('Données projet'!$B$10,Paramètres!$A$1:$I$89,3,0)*VLOOKUP('Données projet'!$B$10,Paramètres!$A$1:$I$89,5,0)</f>
        <v>-1.5562591215712021E-13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179.55753939371345</v>
      </c>
      <c r="AO153" s="59">
        <f t="shared" si="144"/>
        <v>147.29214159934531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93.667465134766402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93.667465134766402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-1.8474111129762605E-13</v>
      </c>
      <c r="AJ154" s="13">
        <f>AI154*VLOOKUP('Données projet'!$B$10,Paramètres!$A$1:$I$89,3,0)*VLOOKUP('Données projet'!$B$10,Paramètres!$A$1:$I$89,5,0)</f>
        <v>-1.5562591215712021E-13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179.55753939371345</v>
      </c>
      <c r="AO154" s="59">
        <f t="shared" si="144"/>
        <v>147.29214159934531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91.830703274986092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91.830703274986092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-1.8474111129762605E-13</v>
      </c>
      <c r="AJ155" s="13">
        <f>AI155*VLOOKUP('Données projet'!$B$10,Paramètres!$A$1:$I$89,3,0)*VLOOKUP('Données projet'!$B$10,Paramètres!$A$1:$I$89,5,0)</f>
        <v>-1.5562591215712021E-13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179.55753939371345</v>
      </c>
      <c r="AO155" s="59">
        <f t="shared" si="144"/>
        <v>147.29214159934531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90.029959194961961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90.029959194961961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-1.8474111129762605E-13</v>
      </c>
      <c r="AJ156" s="13">
        <f>AI156*VLOOKUP('Données projet'!$B$10,Paramètres!$A$1:$I$89,3,0)*VLOOKUP('Données projet'!$B$10,Paramètres!$A$1:$I$89,5,0)</f>
        <v>-1.5562591215712021E-13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179.55753939371345</v>
      </c>
      <c r="AO156" s="59">
        <f t="shared" si="144"/>
        <v>147.29214159934531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88.264526608001674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88.264526608001674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-1.8474111129762605E-13</v>
      </c>
      <c r="AJ157" s="13">
        <f>AI157*VLOOKUP('Données projet'!$B$10,Paramètres!$A$1:$I$89,3,0)*VLOOKUP('Données projet'!$B$10,Paramètres!$A$1:$I$89,5,0)</f>
        <v>-1.5562591215712021E-13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179.55753939371345</v>
      </c>
      <c r="AO157" s="59">
        <f t="shared" si="144"/>
        <v>147.29214159934531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86.533713077264125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86.533713077264125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-1.8474111129762605E-13</v>
      </c>
      <c r="AJ158" s="13">
        <f>AI158*VLOOKUP('Données projet'!$B$10,Paramètres!$A$1:$I$89,3,0)*VLOOKUP('Données projet'!$B$10,Paramètres!$A$1:$I$89,5,0)</f>
        <v>-1.5562591215712021E-13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179.55753939371345</v>
      </c>
      <c r="AO158" s="59">
        <f t="shared" si="144"/>
        <v>147.29214159934531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84.836839744172323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84.836839744172323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-1.8474111129762605E-13</v>
      </c>
      <c r="AJ159" s="13">
        <f>AI159*VLOOKUP('Données projet'!$B$10,Paramètres!$A$1:$I$89,3,0)*VLOOKUP('Données projet'!$B$10,Paramètres!$A$1:$I$89,5,0)</f>
        <v>-1.5562591215712021E-13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179.55753939371345</v>
      </c>
      <c r="AO159" s="59">
        <f t="shared" si="144"/>
        <v>147.29214159934531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83.173241062151916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83.173241062151916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-1.8474111129762605E-13</v>
      </c>
      <c r="AJ160" s="13">
        <f>AI160*VLOOKUP('Données projet'!$B$10,Paramètres!$A$1:$I$89,3,0)*VLOOKUP('Données projet'!$B$10,Paramètres!$A$1:$I$89,5,0)</f>
        <v>-1.5562591215712021E-13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179.55753939371345</v>
      </c>
      <c r="AO160" s="59">
        <f t="shared" si="144"/>
        <v>147.29214159934531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81.542264535590931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81.542264535590931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-1.8474111129762605E-13</v>
      </c>
      <c r="AJ161" s="13">
        <f>AI161*VLOOKUP('Données projet'!$B$10,Paramètres!$A$1:$I$89,3,0)*VLOOKUP('Données projet'!$B$10,Paramètres!$A$1:$I$89,5,0)</f>
        <v>-1.5562591215712021E-13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179.55753939371345</v>
      </c>
      <c r="AO161" s="59">
        <f t="shared" si="144"/>
        <v>147.29214159934531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79.943270463918353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79.943270463918353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-1.8474111129762605E-13</v>
      </c>
      <c r="AJ162" s="13">
        <f>AI162*VLOOKUP('Données projet'!$B$10,Paramètres!$A$1:$I$89,3,0)*VLOOKUP('Données projet'!$B$10,Paramètres!$A$1:$I$89,5,0)</f>
        <v>-1.5562591215712021E-13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179.55753939371345</v>
      </c>
      <c r="AO162" s="59">
        <f t="shared" si="144"/>
        <v>147.29214159934531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78.375631690701184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78.375631690701184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-1.8474111129762605E-13</v>
      </c>
      <c r="AJ163" s="13">
        <f>AI163*VLOOKUP('Données projet'!$B$10,Paramètres!$A$1:$I$89,3,0)*VLOOKUP('Données projet'!$B$10,Paramètres!$A$1:$I$89,5,0)</f>
        <v>-1.5562591215712021E-13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179.55753939371345</v>
      </c>
      <c r="AO163" s="59">
        <f t="shared" si="144"/>
        <v>147.29214159934531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76.838733357661567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76.838733357661567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-1.8474111129762605E-13</v>
      </c>
      <c r="AJ164" s="13">
        <f>AI164*VLOOKUP('Données projet'!$B$10,Paramètres!$A$1:$I$89,3,0)*VLOOKUP('Données projet'!$B$10,Paramètres!$A$1:$I$89,5,0)</f>
        <v>-1.5562591215712021E-13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179.55753939371345</v>
      </c>
      <c r="AO164" s="59">
        <f t="shared" si="144"/>
        <v>147.29214159934531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75.331972663517433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75.331972663517433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-1.8474111129762605E-13</v>
      </c>
      <c r="AJ165" s="13">
        <f>AI165*VLOOKUP('Données projet'!$B$10,Paramètres!$A$1:$I$89,3,0)*VLOOKUP('Données projet'!$B$10,Paramètres!$A$1:$I$89,5,0)</f>
        <v>-1.5562591215712021E-13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179.55753939371345</v>
      </c>
      <c r="AO165" s="59">
        <f t="shared" si="144"/>
        <v>147.29214159934531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73.854758627552201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73.854758627552201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-1.8474111129762605E-13</v>
      </c>
      <c r="AJ166" s="13">
        <f>AI166*VLOOKUP('Données projet'!$B$10,Paramètres!$A$1:$I$89,3,0)*VLOOKUP('Données projet'!$B$10,Paramètres!$A$1:$I$89,5,0)</f>
        <v>-1.5562591215712021E-13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179.55753939371345</v>
      </c>
      <c r="AO166" s="59">
        <f t="shared" si="144"/>
        <v>147.29214159934531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72.406511857820647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72.406511857820647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-1.8474111129762605E-13</v>
      </c>
      <c r="AJ167" s="13">
        <f>AI167*VLOOKUP('Données projet'!$B$10,Paramètres!$A$1:$I$89,3,0)*VLOOKUP('Données projet'!$B$10,Paramètres!$A$1:$I$89,5,0)</f>
        <v>-1.5562591215712021E-13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179.55753939371345</v>
      </c>
      <c r="AO167" s="59">
        <f t="shared" si="144"/>
        <v>147.29214159934531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70.986664323900229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70.986664323900229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-1.8474111129762605E-13</v>
      </c>
      <c r="AJ168" s="13">
        <f>AI168*VLOOKUP('Données projet'!$B$10,Paramètres!$A$1:$I$89,3,0)*VLOOKUP('Données projet'!$B$10,Paramètres!$A$1:$I$89,5,0)</f>
        <v>-1.5562591215712021E-13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179.55753939371345</v>
      </c>
      <c r="AO168" s="59">
        <f t="shared" si="144"/>
        <v>147.29214159934531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69.594659134098507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69.594659134098507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-1.8474111129762605E-13</v>
      </c>
      <c r="AJ169" s="13">
        <f>AI169*VLOOKUP('Données projet'!$B$10,Paramètres!$A$1:$I$89,3,0)*VLOOKUP('Données projet'!$B$10,Paramètres!$A$1:$I$89,5,0)</f>
        <v>-1.5562591215712021E-13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179.55753939371345</v>
      </c>
      <c r="AO169" s="59">
        <f t="shared" si="144"/>
        <v>147.29214159934531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68.229950317029463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68.229950317029463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-1.8474111129762605E-13</v>
      </c>
      <c r="AJ170" s="13">
        <f>AI170*VLOOKUP('Données projet'!$B$10,Paramètres!$A$1:$I$89,3,0)*VLOOKUP('Données projet'!$B$10,Paramètres!$A$1:$I$89,5,0)</f>
        <v>-1.5562591215712021E-13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179.55753939371345</v>
      </c>
      <c r="AO170" s="59">
        <f t="shared" si="144"/>
        <v>147.29214159934531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66.892002607472961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66.892002607472961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-1.8474111129762605E-13</v>
      </c>
      <c r="AJ171" s="13">
        <f>AI171*VLOOKUP('Données projet'!$B$10,Paramètres!$A$1:$I$89,3,0)*VLOOKUP('Données projet'!$B$10,Paramètres!$A$1:$I$89,5,0)</f>
        <v>-1.5562591215712021E-13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179.55753939371345</v>
      </c>
      <c r="AO171" s="59">
        <f t="shared" si="144"/>
        <v>147.29214159934531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65.580291236433325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65.580291236433325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-1.8474111129762605E-13</v>
      </c>
      <c r="AJ172" s="13">
        <f>AI172*VLOOKUP('Données projet'!$B$10,Paramètres!$A$1:$I$89,3,0)*VLOOKUP('Données projet'!$B$10,Paramètres!$A$1:$I$89,5,0)</f>
        <v>-1.5562591215712021E-13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179.55753939371345</v>
      </c>
      <c r="AO172" s="59">
        <f t="shared" si="144"/>
        <v>147.29214159934531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64.294301725314853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64.294301725314853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-1.8474111129762605E-13</v>
      </c>
      <c r="AJ173" s="13">
        <f>AI173*VLOOKUP('Données projet'!$B$10,Paramètres!$A$1:$I$89,3,0)*VLOOKUP('Données projet'!$B$10,Paramètres!$A$1:$I$89,5,0)</f>
        <v>-1.5562591215712021E-13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179.55753939371345</v>
      </c>
      <c r="AO173" s="59">
        <f t="shared" si="144"/>
        <v>147.29214159934531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63.033529684133256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63.033529684133256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-1.8474111129762605E-13</v>
      </c>
      <c r="AJ174" s="13">
        <f>AI174*VLOOKUP('Données projet'!$B$10,Paramètres!$A$1:$I$89,3,0)*VLOOKUP('Données projet'!$B$10,Paramètres!$A$1:$I$89,5,0)</f>
        <v>-1.5562591215712021E-13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179.55753939371345</v>
      </c>
      <c r="AO174" s="59">
        <f t="shared" si="144"/>
        <v>147.29214159934531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61.797480613684222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61.797480613684222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-1.8474111129762605E-13</v>
      </c>
      <c r="AJ175" s="13">
        <f>AI175*VLOOKUP('Données projet'!$B$10,Paramètres!$A$1:$I$89,3,0)*VLOOKUP('Données projet'!$B$10,Paramètres!$A$1:$I$89,5,0)</f>
        <v>-1.5562591215712021E-13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179.55753939371345</v>
      </c>
      <c r="AO175" s="59">
        <f t="shared" si="144"/>
        <v>147.29214159934531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60.585669711591201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60.585669711591201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-1.8474111129762605E-13</v>
      </c>
      <c r="AJ176" s="13">
        <f>AI176*VLOOKUP('Données projet'!$B$10,Paramètres!$A$1:$I$89,3,0)*VLOOKUP('Données projet'!$B$10,Paramètres!$A$1:$I$89,5,0)</f>
        <v>-1.5562591215712021E-13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179.55753939371345</v>
      </c>
      <c r="AO176" s="59">
        <f t="shared" si="144"/>
        <v>147.29214159934531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59.397621682156554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59.397621682156554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-1.8474111129762605E-13</v>
      </c>
      <c r="AJ177" s="13">
        <f>AI177*VLOOKUP('Données projet'!$B$10,Paramètres!$A$1:$I$89,3,0)*VLOOKUP('Données projet'!$B$10,Paramètres!$A$1:$I$89,5,0)</f>
        <v>-1.5562591215712021E-13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179.55753939371345</v>
      </c>
      <c r="AO177" s="59">
        <f t="shared" si="144"/>
        <v>147.29214159934531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58.232870549941374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58.232870549941374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-1.8474111129762605E-13</v>
      </c>
      <c r="AJ178" s="13">
        <f>AI178*VLOOKUP('Données projet'!$B$10,Paramètres!$A$1:$I$89,3,0)*VLOOKUP('Données projet'!$B$10,Paramètres!$A$1:$I$89,5,0)</f>
        <v>-1.5562591215712021E-13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179.55753939371345</v>
      </c>
      <c r="AO178" s="59">
        <f t="shared" si="144"/>
        <v>147.29214159934531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57.090959477000894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57.090959477000894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-1.8474111129762605E-13</v>
      </c>
      <c r="AJ179" s="13">
        <f>AI179*VLOOKUP('Données projet'!$B$10,Paramètres!$A$1:$I$89,3,0)*VLOOKUP('Données projet'!$B$10,Paramètres!$A$1:$I$89,5,0)</f>
        <v>-1.5562591215712021E-13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179.55753939371345</v>
      </c>
      <c r="AO179" s="59">
        <f t="shared" si="144"/>
        <v>147.29214159934531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55.971440583703796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55.971440583703796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-1.8474111129762605E-13</v>
      </c>
      <c r="AJ180" s="13">
        <f>AI180*VLOOKUP('Données projet'!$B$10,Paramètres!$A$1:$I$89,3,0)*VLOOKUP('Données projet'!$B$10,Paramètres!$A$1:$I$89,5,0)</f>
        <v>-1.5562591215712021E-13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179.55753939371345</v>
      </c>
      <c r="AO180" s="59">
        <f t="shared" si="144"/>
        <v>147.29214159934531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54.873874773065154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54.873874773065154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-1.8474111129762605E-13</v>
      </c>
      <c r="AJ181" s="13">
        <f>AI181*VLOOKUP('Données projet'!$B$10,Paramètres!$A$1:$I$89,3,0)*VLOOKUP('Données projet'!$B$10,Paramètres!$A$1:$I$89,5,0)</f>
        <v>-1.5562591215712021E-13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179.55753939371345</v>
      </c>
      <c r="AO181" s="59">
        <f t="shared" si="144"/>
        <v>147.29214159934531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53.797831558524095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53.797831558524095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-1.8474111129762605E-13</v>
      </c>
      <c r="AJ182" s="13">
        <f>AI182*VLOOKUP('Données projet'!$B$10,Paramètres!$A$1:$I$89,3,0)*VLOOKUP('Données projet'!$B$10,Paramètres!$A$1:$I$89,5,0)</f>
        <v>-1.5562591215712021E-13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179.55753939371345</v>
      </c>
      <c r="AO182" s="59">
        <f t="shared" si="144"/>
        <v>147.29214159934531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52.742888895098631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52.742888895098631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-1.8474111129762605E-13</v>
      </c>
      <c r="AJ183" s="13">
        <f>AI183*VLOOKUP('Données projet'!$B$10,Paramètres!$A$1:$I$89,3,0)*VLOOKUP('Données projet'!$B$10,Paramètres!$A$1:$I$89,5,0)</f>
        <v>-1.5562591215712021E-13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179.55753939371345</v>
      </c>
      <c r="AO183" s="59">
        <f t="shared" si="144"/>
        <v>147.29214159934531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51.708633013851447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51.708633013851447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-1.8474111129762605E-13</v>
      </c>
      <c r="AJ184" s="13">
        <f>AI184*VLOOKUP('Données projet'!$B$10,Paramètres!$A$1:$I$89,3,0)*VLOOKUP('Données projet'!$B$10,Paramètres!$A$1:$I$89,5,0)</f>
        <v>-1.5562591215712021E-13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179.55753939371345</v>
      </c>
      <c r="AO184" s="59">
        <f t="shared" si="144"/>
        <v>147.29214159934531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50.694658259601724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50.694658259601724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-1.8474111129762605E-13</v>
      </c>
      <c r="AJ185" s="13">
        <f>AI185*VLOOKUP('Données projet'!$B$10,Paramètres!$A$1:$I$89,3,0)*VLOOKUP('Données projet'!$B$10,Paramètres!$A$1:$I$89,5,0)</f>
        <v>-1.5562591215712021E-13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179.55753939371345</v>
      </c>
      <c r="AO185" s="59">
        <f t="shared" si="144"/>
        <v>147.29214159934531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49.70056693181931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49.70056693181931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-1.8474111129762605E-13</v>
      </c>
      <c r="AJ186" s="13">
        <f>AI186*VLOOKUP('Données projet'!$B$10,Paramètres!$A$1:$I$89,3,0)*VLOOKUP('Données projet'!$B$10,Paramètres!$A$1:$I$89,5,0)</f>
        <v>-1.5562591215712021E-13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179.55753939371345</v>
      </c>
      <c r="AO186" s="59">
        <f t="shared" si="144"/>
        <v>147.29214159934531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48.725969128638866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48.725969128638866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-1.8474111129762605E-13</v>
      </c>
      <c r="AJ187" s="13">
        <f>AI187*VLOOKUP('Données projet'!$B$10,Paramètres!$A$1:$I$89,3,0)*VLOOKUP('Données projet'!$B$10,Paramètres!$A$1:$I$89,5,0)</f>
        <v>-1.5562591215712021E-13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179.55753939371345</v>
      </c>
      <c r="AO187" s="59">
        <f t="shared" si="144"/>
        <v>147.29214159934531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47.770482593932826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47.770482593932826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-1.8474111129762605E-13</v>
      </c>
      <c r="AJ188" s="13">
        <f>AI188*VLOOKUP('Données projet'!$B$10,Paramètres!$A$1:$I$89,3,0)*VLOOKUP('Données projet'!$B$10,Paramètres!$A$1:$I$89,5,0)</f>
        <v>-1.5562591215712021E-13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179.55753939371345</v>
      </c>
      <c r="AO188" s="59">
        <f t="shared" si="144"/>
        <v>147.29214159934531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46.833732567383137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46.833732567383137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-1.8474111129762605E-13</v>
      </c>
      <c r="AJ189" s="13">
        <f>AI189*VLOOKUP('Données projet'!$B$10,Paramètres!$A$1:$I$89,3,0)*VLOOKUP('Données projet'!$B$10,Paramètres!$A$1:$I$89,5,0)</f>
        <v>-1.5562591215712021E-13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179.55753939371345</v>
      </c>
      <c r="AO189" s="59">
        <f t="shared" si="144"/>
        <v>147.29214159934531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45.915351637492989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45.915351637492989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-1.8474111129762605E-13</v>
      </c>
      <c r="AJ190" s="13">
        <f>AI190*VLOOKUP('Données projet'!$B$10,Paramètres!$A$1:$I$89,3,0)*VLOOKUP('Données projet'!$B$10,Paramètres!$A$1:$I$89,5,0)</f>
        <v>-1.5562591215712021E-13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179.55753939371345</v>
      </c>
      <c r="AO190" s="59">
        <f t="shared" si="144"/>
        <v>147.29214159934531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45.014979597480931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45.014979597480931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-1.8474111129762605E-13</v>
      </c>
      <c r="AJ191" s="13">
        <f>AI191*VLOOKUP('Données projet'!$B$10,Paramètres!$A$1:$I$89,3,0)*VLOOKUP('Données projet'!$B$10,Paramètres!$A$1:$I$89,5,0)</f>
        <v>-1.5562591215712021E-13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179.55753939371345</v>
      </c>
      <c r="AO191" s="59">
        <f t="shared" si="144"/>
        <v>147.29214159934531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44.132263304000787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44.132263304000787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-1.8474111129762605E-13</v>
      </c>
      <c r="AJ192" s="13">
        <f>AI192*VLOOKUP('Données projet'!$B$10,Paramètres!$A$1:$I$89,3,0)*VLOOKUP('Données projet'!$B$10,Paramètres!$A$1:$I$89,5,0)</f>
        <v>-1.5562591215712021E-13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179.55753939371345</v>
      </c>
      <c r="AO192" s="59">
        <f t="shared" si="144"/>
        <v>147.29214159934531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43.266856538632013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43.266856538632013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-1.8474111129762605E-13</v>
      </c>
      <c r="AJ193" s="13">
        <f>AI193*VLOOKUP('Données projet'!$B$10,Paramètres!$A$1:$I$89,3,0)*VLOOKUP('Données projet'!$B$10,Paramètres!$A$1:$I$89,5,0)</f>
        <v>-1.5562591215712021E-13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179.55753939371345</v>
      </c>
      <c r="AO193" s="59">
        <f t="shared" si="144"/>
        <v>147.29214159934531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42.418419872086112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42.418419872086112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-1.8474111129762605E-13</v>
      </c>
      <c r="AJ194" s="13">
        <f>AI194*VLOOKUP('Données projet'!$B$10,Paramètres!$A$1:$I$89,3,0)*VLOOKUP('Données projet'!$B$10,Paramètres!$A$1:$I$89,5,0)</f>
        <v>-1.5562591215712021E-13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179.55753939371345</v>
      </c>
      <c r="AO194" s="59">
        <f t="shared" si="144"/>
        <v>147.29214159934531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41.586620531075909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41.586620531075909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-1.8474111129762605E-13</v>
      </c>
      <c r="AJ195" s="13">
        <f>AI195*VLOOKUP('Données projet'!$B$10,Paramètres!$A$1:$I$89,3,0)*VLOOKUP('Données projet'!$B$10,Paramètres!$A$1:$I$89,5,0)</f>
        <v>-1.5562591215712021E-13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179.55753939371345</v>
      </c>
      <c r="AO195" s="59">
        <f t="shared" si="144"/>
        <v>147.29214159934531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40.771132267795416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40.771132267795416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-1.8474111129762605E-13</v>
      </c>
      <c r="AJ196" s="13">
        <f>AI196*VLOOKUP('Données projet'!$B$10,Paramètres!$A$1:$I$89,3,0)*VLOOKUP('Données projet'!$B$10,Paramètres!$A$1:$I$89,5,0)</f>
        <v>-1.5562591215712021E-13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179.55753939371345</v>
      </c>
      <c r="AO196" s="59">
        <f t="shared" si="144"/>
        <v>147.29214159934531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39.971635231959127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39.971635231959127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-1.8474111129762605E-13</v>
      </c>
      <c r="AJ197" s="13">
        <f>AI197*VLOOKUP('Données projet'!$B$10,Paramètres!$A$1:$I$89,3,0)*VLOOKUP('Données projet'!$B$10,Paramètres!$A$1:$I$89,5,0)</f>
        <v>-1.5562591215712021E-13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179.55753939371345</v>
      </c>
      <c r="AO197" s="59">
        <f t="shared" ref="AO197:AO203" si="205">$AO$3</f>
        <v>147.29214159934531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39.187815845350549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39.187815845350549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-1.8474111129762605E-13</v>
      </c>
      <c r="AJ198" s="13">
        <f>AI198*VLOOKUP('Données projet'!$B$10,Paramètres!$A$1:$I$89,3,0)*VLOOKUP('Données projet'!$B$10,Paramètres!$A$1:$I$89,5,0)</f>
        <v>-1.5562591215712021E-13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179.55753939371345</v>
      </c>
      <c r="AO198" s="59">
        <f t="shared" si="205"/>
        <v>147.29214159934531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38.419366678830741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38.419366678830741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-1.8474111129762605E-13</v>
      </c>
      <c r="AJ199" s="13">
        <f>AI199*VLOOKUP('Données projet'!$B$10,Paramètres!$A$1:$I$89,3,0)*VLOOKUP('Données projet'!$B$10,Paramètres!$A$1:$I$89,5,0)</f>
        <v>-1.5562591215712021E-13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179.55753939371345</v>
      </c>
      <c r="AO199" s="59">
        <f t="shared" si="205"/>
        <v>147.29214159934531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37.665986331758681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37.665986331758681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-1.8474111129762605E-13</v>
      </c>
      <c r="AJ200" s="13">
        <f>AI200*VLOOKUP('Données projet'!$B$10,Paramètres!$A$1:$I$89,3,0)*VLOOKUP('Données projet'!$B$10,Paramètres!$A$1:$I$89,5,0)</f>
        <v>-1.5562591215712021E-13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179.55753939371345</v>
      </c>
      <c r="AO200" s="59">
        <f t="shared" si="205"/>
        <v>147.29214159934531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36.927379313776065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36.927379313776065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-1.8474111129762605E-13</v>
      </c>
      <c r="AJ201" s="13">
        <f>AI201*VLOOKUP('Données projet'!$B$10,Paramètres!$A$1:$I$89,3,0)*VLOOKUP('Données projet'!$B$10,Paramètres!$A$1:$I$89,5,0)</f>
        <v>-1.5562591215712021E-13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179.55753939371345</v>
      </c>
      <c r="AO201" s="59">
        <f t="shared" si="205"/>
        <v>147.29214159934531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36.203255928910288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36.203255928910288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-1.8474111129762605E-13</v>
      </c>
      <c r="AJ202" s="13">
        <f>AI202*VLOOKUP('Données projet'!$B$10,Paramètres!$A$1:$I$89,3,0)*VLOOKUP('Données projet'!$B$10,Paramètres!$A$1:$I$89,5,0)</f>
        <v>-1.5562591215712021E-13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179.55753939371345</v>
      </c>
      <c r="AO202" s="59">
        <f t="shared" si="205"/>
        <v>147.29214159934531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35.493332161950079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35.493332161950079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-1.8474111129762605E-13</v>
      </c>
      <c r="AJ203" s="13">
        <f>AI203*VLOOKUP('Données projet'!$B$10,Paramètres!$A$1:$I$89,3,0)*VLOOKUP('Données projet'!$B$10,Paramètres!$A$1:$I$89,5,0)</f>
        <v>-1.5562591215712021E-13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179.55753939371345</v>
      </c>
      <c r="AO203" s="59">
        <f t="shared" si="205"/>
        <v>147.29214159934531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34.797329567049218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34.797329567049218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98</v>
      </c>
      <c r="BA204" s="81" t="s">
        <v>98</v>
      </c>
      <c r="BV204" s="81" t="s">
        <v>98</v>
      </c>
      <c r="CQ204" s="81" t="s">
        <v>98</v>
      </c>
      <c r="DL204" s="81" t="s">
        <v>98</v>
      </c>
      <c r="EG204" s="81" t="s">
        <v>98</v>
      </c>
      <c r="FB204" s="81" t="s">
        <v>98</v>
      </c>
      <c r="FW204" s="81" t="s">
        <v>98</v>
      </c>
      <c r="GR204" s="81" t="s">
        <v>98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1.136168087930429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defaultColWidth="11.42578125" defaultRowHeight="14.4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4.1" thickBot="1">
      <c r="A1" s="111" t="s">
        <v>99</v>
      </c>
      <c r="B1" s="112" t="s">
        <v>100</v>
      </c>
      <c r="C1" s="113" t="s">
        <v>101</v>
      </c>
      <c r="D1" s="112" t="s">
        <v>102</v>
      </c>
      <c r="E1" s="113" t="s">
        <v>103</v>
      </c>
      <c r="F1" s="113" t="s">
        <v>102</v>
      </c>
      <c r="G1" s="113" t="s">
        <v>104</v>
      </c>
      <c r="H1" s="113" t="s">
        <v>102</v>
      </c>
      <c r="I1" s="114" t="s">
        <v>105</v>
      </c>
      <c r="J1" s="78"/>
      <c r="K1" s="78"/>
      <c r="L1" s="78"/>
      <c r="M1" s="78"/>
      <c r="N1" s="78"/>
    </row>
    <row r="2" spans="1:16">
      <c r="A2" s="115" t="s">
        <v>106</v>
      </c>
      <c r="B2" s="116" t="s">
        <v>107</v>
      </c>
      <c r="C2" s="117">
        <v>0.62</v>
      </c>
      <c r="D2" s="117" t="s">
        <v>108</v>
      </c>
      <c r="E2" s="117">
        <v>1.56</v>
      </c>
      <c r="F2" s="117" t="s">
        <v>109</v>
      </c>
      <c r="G2" s="118">
        <v>0.43</v>
      </c>
      <c r="H2" s="119" t="s">
        <v>110</v>
      </c>
      <c r="I2" s="120">
        <v>0.25</v>
      </c>
      <c r="J2" s="78"/>
      <c r="K2" s="78"/>
      <c r="L2" s="78"/>
      <c r="M2" s="78"/>
      <c r="N2" s="78"/>
      <c r="O2" s="282" t="s">
        <v>111</v>
      </c>
      <c r="P2" s="121">
        <v>0</v>
      </c>
    </row>
    <row r="3" spans="1:16" ht="15" thickBot="1">
      <c r="A3" s="122" t="s">
        <v>112</v>
      </c>
      <c r="B3" s="123" t="s">
        <v>113</v>
      </c>
      <c r="C3" s="124">
        <v>0.64</v>
      </c>
      <c r="D3" s="124" t="s">
        <v>108</v>
      </c>
      <c r="E3" s="124">
        <v>1.56</v>
      </c>
      <c r="F3" s="125" t="s">
        <v>109</v>
      </c>
      <c r="G3" s="126">
        <v>0.43</v>
      </c>
      <c r="H3" s="124" t="s">
        <v>110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>
      <c r="A4" s="122" t="s">
        <v>114</v>
      </c>
      <c r="B4" s="123" t="s">
        <v>115</v>
      </c>
      <c r="C4" s="124">
        <v>0.42</v>
      </c>
      <c r="D4" s="124" t="s">
        <v>108</v>
      </c>
      <c r="E4" s="124">
        <v>1.56</v>
      </c>
      <c r="F4" s="125" t="s">
        <v>109</v>
      </c>
      <c r="G4" s="126">
        <v>0.43</v>
      </c>
      <c r="H4" s="124" t="s">
        <v>110</v>
      </c>
      <c r="I4" s="127">
        <v>0.25</v>
      </c>
      <c r="J4" s="78"/>
      <c r="K4" s="78"/>
      <c r="L4" s="78"/>
      <c r="M4" s="78"/>
      <c r="N4" s="78"/>
    </row>
    <row r="5" spans="1:16">
      <c r="A5" s="122" t="s">
        <v>116</v>
      </c>
      <c r="B5" s="123" t="s">
        <v>117</v>
      </c>
      <c r="C5" s="124">
        <v>0.42</v>
      </c>
      <c r="D5" s="124" t="s">
        <v>108</v>
      </c>
      <c r="E5" s="124">
        <v>1.56</v>
      </c>
      <c r="F5" s="125" t="s">
        <v>109</v>
      </c>
      <c r="G5" s="126">
        <v>0.43</v>
      </c>
      <c r="H5" s="124" t="s">
        <v>110</v>
      </c>
      <c r="I5" s="127">
        <v>0.25</v>
      </c>
      <c r="J5" s="78"/>
      <c r="K5" s="78"/>
      <c r="L5" s="78"/>
      <c r="M5" s="78"/>
      <c r="N5" s="78"/>
      <c r="O5" s="282" t="s">
        <v>118</v>
      </c>
      <c r="P5" s="121">
        <v>0</v>
      </c>
    </row>
    <row r="6" spans="1:16">
      <c r="A6" s="122" t="s">
        <v>119</v>
      </c>
      <c r="B6" s="123" t="s">
        <v>120</v>
      </c>
      <c r="C6" s="124">
        <v>0.42</v>
      </c>
      <c r="D6" s="124" t="s">
        <v>108</v>
      </c>
      <c r="E6" s="124">
        <v>1.56</v>
      </c>
      <c r="F6" s="125" t="s">
        <v>109</v>
      </c>
      <c r="G6" s="126">
        <v>0.43</v>
      </c>
      <c r="H6" s="124" t="s">
        <v>110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>
      <c r="A7" s="122" t="s">
        <v>121</v>
      </c>
      <c r="B7" s="123" t="s">
        <v>122</v>
      </c>
      <c r="C7" s="124">
        <v>0.52</v>
      </c>
      <c r="D7" s="124" t="s">
        <v>108</v>
      </c>
      <c r="E7" s="124">
        <v>1.56</v>
      </c>
      <c r="F7" s="125" t="s">
        <v>109</v>
      </c>
      <c r="G7" s="126">
        <v>0.43</v>
      </c>
      <c r="H7" s="124" t="s">
        <v>110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>
      <c r="A8" s="122" t="s">
        <v>123</v>
      </c>
      <c r="B8" s="123" t="s">
        <v>124</v>
      </c>
      <c r="C8" s="124">
        <v>0.36</v>
      </c>
      <c r="D8" s="124" t="s">
        <v>108</v>
      </c>
      <c r="E8" s="124">
        <v>1.3</v>
      </c>
      <c r="F8" s="125" t="s">
        <v>109</v>
      </c>
      <c r="G8" s="126">
        <v>0.55000000000000004</v>
      </c>
      <c r="H8" s="124" t="s">
        <v>125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>
      <c r="A9" s="122" t="s">
        <v>126</v>
      </c>
      <c r="B9" s="123" t="s">
        <v>127</v>
      </c>
      <c r="C9" s="124">
        <v>0.61</v>
      </c>
      <c r="D9" s="124" t="s">
        <v>108</v>
      </c>
      <c r="E9" s="124">
        <v>1.56</v>
      </c>
      <c r="F9" s="125" t="s">
        <v>109</v>
      </c>
      <c r="G9" s="126">
        <v>0.43</v>
      </c>
      <c r="H9" s="124" t="s">
        <v>110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128</v>
      </c>
      <c r="B10" s="123" t="s">
        <v>129</v>
      </c>
      <c r="C10" s="124">
        <v>0.66</v>
      </c>
      <c r="D10" s="124" t="s">
        <v>108</v>
      </c>
      <c r="E10" s="124">
        <v>1.56</v>
      </c>
      <c r="F10" s="125" t="s">
        <v>109</v>
      </c>
      <c r="G10" s="126">
        <v>0.43</v>
      </c>
      <c r="H10" s="124" t="s">
        <v>110</v>
      </c>
      <c r="I10" s="127">
        <v>0.25</v>
      </c>
      <c r="J10" s="78"/>
      <c r="K10" s="78"/>
      <c r="L10" s="78"/>
      <c r="M10" s="78"/>
      <c r="N10" s="78"/>
      <c r="O10" s="282" t="s">
        <v>130</v>
      </c>
      <c r="P10" s="121">
        <v>0</v>
      </c>
    </row>
    <row r="11" spans="1:16" ht="15" thickBot="1">
      <c r="A11" s="122" t="s">
        <v>131</v>
      </c>
      <c r="B11" s="123" t="s">
        <v>132</v>
      </c>
      <c r="C11" s="124">
        <v>0.47</v>
      </c>
      <c r="D11" s="124" t="s">
        <v>108</v>
      </c>
      <c r="E11" s="124">
        <v>1.56</v>
      </c>
      <c r="F11" s="125" t="s">
        <v>109</v>
      </c>
      <c r="G11" s="126">
        <v>0.43</v>
      </c>
      <c r="H11" s="124" t="s">
        <v>110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>
      <c r="A12" s="122" t="s">
        <v>133</v>
      </c>
      <c r="B12" s="123" t="s">
        <v>134</v>
      </c>
      <c r="C12" s="124">
        <v>0.67</v>
      </c>
      <c r="D12" s="124" t="s">
        <v>108</v>
      </c>
      <c r="E12" s="124">
        <v>1.56</v>
      </c>
      <c r="F12" s="125" t="s">
        <v>109</v>
      </c>
      <c r="G12" s="126">
        <v>0.43</v>
      </c>
      <c r="H12" s="124" t="s">
        <v>135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136</v>
      </c>
      <c r="B13" s="123" t="s">
        <v>137</v>
      </c>
      <c r="C13" s="124">
        <v>0.7</v>
      </c>
      <c r="D13" s="124" t="s">
        <v>108</v>
      </c>
      <c r="E13" s="124">
        <v>1.56</v>
      </c>
      <c r="F13" s="125" t="s">
        <v>109</v>
      </c>
      <c r="G13" s="126">
        <v>0.43</v>
      </c>
      <c r="H13" s="124" t="s">
        <v>135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19</v>
      </c>
      <c r="B14" s="123" t="s">
        <v>138</v>
      </c>
      <c r="C14" s="124">
        <v>0.54</v>
      </c>
      <c r="D14" s="124" t="s">
        <v>108</v>
      </c>
      <c r="E14" s="124">
        <v>1.56</v>
      </c>
      <c r="F14" s="125" t="s">
        <v>109</v>
      </c>
      <c r="G14" s="126">
        <v>0.43</v>
      </c>
      <c r="H14" s="124" t="s">
        <v>135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139</v>
      </c>
      <c r="B15" s="123" t="s">
        <v>140</v>
      </c>
      <c r="C15" s="124">
        <v>0.65</v>
      </c>
      <c r="D15" s="124" t="s">
        <v>108</v>
      </c>
      <c r="E15" s="124">
        <v>1.56</v>
      </c>
      <c r="F15" s="125" t="s">
        <v>109</v>
      </c>
      <c r="G15" s="126">
        <v>0.43</v>
      </c>
      <c r="H15" s="124" t="s">
        <v>135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141</v>
      </c>
      <c r="B16" s="123" t="s">
        <v>142</v>
      </c>
      <c r="C16" s="124">
        <v>0.56000000000000005</v>
      </c>
      <c r="D16" s="124" t="s">
        <v>108</v>
      </c>
      <c r="E16" s="124">
        <v>1.56</v>
      </c>
      <c r="F16" s="125" t="s">
        <v>109</v>
      </c>
      <c r="G16" s="126">
        <v>0.43</v>
      </c>
      <c r="H16" s="124" t="s">
        <v>135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143</v>
      </c>
      <c r="B17" s="123" t="s">
        <v>144</v>
      </c>
      <c r="C17" s="124">
        <v>0.57999999999999996</v>
      </c>
      <c r="D17" s="124" t="s">
        <v>108</v>
      </c>
      <c r="E17" s="124">
        <v>1.56</v>
      </c>
      <c r="F17" s="125" t="s">
        <v>109</v>
      </c>
      <c r="G17" s="126">
        <v>0.43</v>
      </c>
      <c r="H17" s="124" t="s">
        <v>135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145</v>
      </c>
      <c r="B18" s="123" t="s">
        <v>146</v>
      </c>
      <c r="C18" s="124">
        <v>0.64</v>
      </c>
      <c r="D18" s="124" t="s">
        <v>108</v>
      </c>
      <c r="E18" s="124">
        <v>1.56</v>
      </c>
      <c r="F18" s="125" t="s">
        <v>109</v>
      </c>
      <c r="G18" s="126">
        <v>0.43</v>
      </c>
      <c r="H18" s="124" t="s">
        <v>135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147</v>
      </c>
      <c r="B19" s="123" t="s">
        <v>148</v>
      </c>
      <c r="C19" s="124">
        <v>0.73</v>
      </c>
      <c r="D19" s="124" t="s">
        <v>108</v>
      </c>
      <c r="E19" s="124">
        <v>1.56</v>
      </c>
      <c r="F19" s="125" t="s">
        <v>109</v>
      </c>
      <c r="G19" s="126">
        <v>0.43</v>
      </c>
      <c r="H19" s="124" t="s">
        <v>135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109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153</v>
      </c>
      <c r="B21" s="123" t="s">
        <v>154</v>
      </c>
      <c r="C21" s="124">
        <v>0.36</v>
      </c>
      <c r="D21" s="124" t="s">
        <v>108</v>
      </c>
      <c r="E21" s="124">
        <v>1.3</v>
      </c>
      <c r="F21" s="125" t="s">
        <v>109</v>
      </c>
      <c r="G21" s="126">
        <v>0.55000000000000004</v>
      </c>
      <c r="H21" s="124" t="s">
        <v>125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155</v>
      </c>
      <c r="B22" s="123" t="s">
        <v>156</v>
      </c>
      <c r="C22" s="124">
        <v>0.4</v>
      </c>
      <c r="D22" s="124" t="s">
        <v>108</v>
      </c>
      <c r="E22" s="124">
        <v>1.3</v>
      </c>
      <c r="F22" s="125" t="s">
        <v>109</v>
      </c>
      <c r="G22" s="126">
        <v>0.55000000000000004</v>
      </c>
      <c r="H22" s="124" t="s">
        <v>125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157</v>
      </c>
      <c r="B23" s="123" t="s">
        <v>158</v>
      </c>
      <c r="C23" s="124">
        <v>0.43</v>
      </c>
      <c r="D23" s="124" t="s">
        <v>108</v>
      </c>
      <c r="E23" s="124">
        <v>1.3</v>
      </c>
      <c r="F23" s="125" t="s">
        <v>109</v>
      </c>
      <c r="G23" s="126">
        <v>0.55000000000000004</v>
      </c>
      <c r="H23" s="124" t="s">
        <v>125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159</v>
      </c>
      <c r="B24" s="123" t="s">
        <v>160</v>
      </c>
      <c r="C24" s="124">
        <v>0.37</v>
      </c>
      <c r="D24" s="124" t="s">
        <v>108</v>
      </c>
      <c r="E24" s="124">
        <v>1.3</v>
      </c>
      <c r="F24" s="125" t="s">
        <v>109</v>
      </c>
      <c r="G24" s="126">
        <v>0.55000000000000004</v>
      </c>
      <c r="H24" s="124" t="s">
        <v>135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161</v>
      </c>
      <c r="B25" s="123" t="s">
        <v>162</v>
      </c>
      <c r="C25" s="124">
        <v>0.36</v>
      </c>
      <c r="D25" s="124" t="s">
        <v>108</v>
      </c>
      <c r="E25" s="124">
        <v>1.3</v>
      </c>
      <c r="F25" s="125" t="s">
        <v>109</v>
      </c>
      <c r="G25" s="126">
        <v>0.55000000000000004</v>
      </c>
      <c r="H25" s="124" t="s">
        <v>135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163</v>
      </c>
      <c r="B26" s="123" t="s">
        <v>164</v>
      </c>
      <c r="C26" s="124">
        <v>0.56000000000000005</v>
      </c>
      <c r="D26" s="124" t="s">
        <v>108</v>
      </c>
      <c r="E26" s="124">
        <v>1.56</v>
      </c>
      <c r="F26" s="125" t="s">
        <v>109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166</v>
      </c>
      <c r="B27" s="123" t="s">
        <v>167</v>
      </c>
      <c r="C27" s="124">
        <v>0.51</v>
      </c>
      <c r="D27" s="124" t="s">
        <v>108</v>
      </c>
      <c r="E27" s="124">
        <v>1.56</v>
      </c>
      <c r="F27" s="125" t="s">
        <v>109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168</v>
      </c>
      <c r="B28" s="123" t="s">
        <v>169</v>
      </c>
      <c r="C28" s="124">
        <v>0.51</v>
      </c>
      <c r="D28" s="124" t="s">
        <v>108</v>
      </c>
      <c r="E28" s="124">
        <v>1.56</v>
      </c>
      <c r="F28" s="125" t="s">
        <v>109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170</v>
      </c>
      <c r="B29" s="123" t="s">
        <v>170</v>
      </c>
      <c r="C29" s="124">
        <v>0.56000000000000005</v>
      </c>
      <c r="D29" s="124" t="s">
        <v>108</v>
      </c>
      <c r="E29" s="124">
        <v>1.56</v>
      </c>
      <c r="F29" s="125" t="s">
        <v>109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171</v>
      </c>
      <c r="B30" s="123" t="s">
        <v>172</v>
      </c>
      <c r="C30" s="124">
        <v>0.55000000000000004</v>
      </c>
      <c r="D30" s="124" t="s">
        <v>108</v>
      </c>
      <c r="E30" s="124">
        <v>1.56</v>
      </c>
      <c r="F30" s="125" t="s">
        <v>109</v>
      </c>
      <c r="G30" s="126">
        <v>0.53</v>
      </c>
      <c r="H30" s="124" t="s">
        <v>135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173</v>
      </c>
      <c r="B31" s="123" t="s">
        <v>174</v>
      </c>
      <c r="C31" s="124">
        <v>0.56000000000000005</v>
      </c>
      <c r="D31" s="124" t="s">
        <v>108</v>
      </c>
      <c r="E31" s="124">
        <v>1.56</v>
      </c>
      <c r="F31" s="125" t="s">
        <v>109</v>
      </c>
      <c r="G31" s="126">
        <v>0.43</v>
      </c>
      <c r="H31" s="124" t="s">
        <v>110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175</v>
      </c>
      <c r="B32" s="123" t="s">
        <v>176</v>
      </c>
      <c r="C32" s="124">
        <v>0.48</v>
      </c>
      <c r="D32" s="124" t="s">
        <v>108</v>
      </c>
      <c r="E32" s="124">
        <v>1.3</v>
      </c>
      <c r="F32" s="125" t="s">
        <v>109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178</v>
      </c>
      <c r="B33" s="123" t="s">
        <v>179</v>
      </c>
      <c r="C33" s="124">
        <v>0.42</v>
      </c>
      <c r="D33" s="124" t="s">
        <v>108</v>
      </c>
      <c r="E33" s="124">
        <v>1.3</v>
      </c>
      <c r="F33" s="125" t="s">
        <v>109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109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184</v>
      </c>
      <c r="B35" s="123" t="s">
        <v>185</v>
      </c>
      <c r="C35" s="124">
        <v>0.5</v>
      </c>
      <c r="D35" s="124" t="s">
        <v>108</v>
      </c>
      <c r="E35" s="124">
        <v>1.56</v>
      </c>
      <c r="F35" s="125" t="s">
        <v>109</v>
      </c>
      <c r="G35" s="126">
        <v>0.43</v>
      </c>
      <c r="H35" s="124" t="s">
        <v>110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186</v>
      </c>
      <c r="B36" s="123" t="s">
        <v>187</v>
      </c>
      <c r="C36" s="124">
        <v>0.55000000000000004</v>
      </c>
      <c r="D36" s="124" t="s">
        <v>108</v>
      </c>
      <c r="E36" s="124">
        <v>1.56</v>
      </c>
      <c r="F36" s="125" t="s">
        <v>109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188</v>
      </c>
      <c r="B37" s="123" t="s">
        <v>189</v>
      </c>
      <c r="C37" s="124">
        <v>0.52</v>
      </c>
      <c r="D37" s="124" t="s">
        <v>108</v>
      </c>
      <c r="E37" s="124">
        <v>1.56</v>
      </c>
      <c r="F37" s="125" t="s">
        <v>109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190</v>
      </c>
      <c r="B38" s="123" t="s">
        <v>191</v>
      </c>
      <c r="C38" s="124">
        <v>0.52</v>
      </c>
      <c r="D38" s="124" t="s">
        <v>108</v>
      </c>
      <c r="E38" s="124">
        <v>1.56</v>
      </c>
      <c r="F38" s="125" t="s">
        <v>109</v>
      </c>
      <c r="G38" s="126">
        <v>0.43</v>
      </c>
      <c r="H38" s="124" t="s">
        <v>110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109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109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109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109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109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109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109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109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109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109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109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109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109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109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109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109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109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109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109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109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109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109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109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218</v>
      </c>
      <c r="B62" s="123" t="s">
        <v>219</v>
      </c>
      <c r="C62" s="124">
        <v>0.37</v>
      </c>
      <c r="D62" s="124" t="s">
        <v>108</v>
      </c>
      <c r="E62" s="124">
        <v>1.56</v>
      </c>
      <c r="F62" s="125" t="s">
        <v>109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220</v>
      </c>
      <c r="B63" s="123" t="s">
        <v>221</v>
      </c>
      <c r="C63" s="124">
        <v>0.45</v>
      </c>
      <c r="D63" s="124" t="s">
        <v>108</v>
      </c>
      <c r="E63" s="124">
        <v>1.3</v>
      </c>
      <c r="F63" s="125" t="s">
        <v>109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223</v>
      </c>
      <c r="B64" s="123" t="s">
        <v>224</v>
      </c>
      <c r="C64" s="124">
        <v>0.39</v>
      </c>
      <c r="D64" s="124" t="s">
        <v>108</v>
      </c>
      <c r="E64" s="124">
        <v>1.3</v>
      </c>
      <c r="F64" s="125" t="s">
        <v>109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225</v>
      </c>
      <c r="B65" s="123" t="s">
        <v>226</v>
      </c>
      <c r="C65" s="124">
        <v>0.44</v>
      </c>
      <c r="D65" s="124" t="s">
        <v>108</v>
      </c>
      <c r="E65" s="124">
        <v>1.3</v>
      </c>
      <c r="F65" s="125" t="s">
        <v>109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227</v>
      </c>
      <c r="B66" s="123" t="s">
        <v>228</v>
      </c>
      <c r="C66" s="124">
        <v>0.46</v>
      </c>
      <c r="D66" s="124" t="s">
        <v>108</v>
      </c>
      <c r="E66" s="124">
        <v>1.3</v>
      </c>
      <c r="F66" s="125" t="s">
        <v>109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16</v>
      </c>
      <c r="B67" s="123" t="s">
        <v>229</v>
      </c>
      <c r="C67" s="124">
        <v>0.46</v>
      </c>
      <c r="D67" s="124" t="s">
        <v>108</v>
      </c>
      <c r="E67" s="124">
        <v>1.3</v>
      </c>
      <c r="F67" s="125" t="s">
        <v>109</v>
      </c>
      <c r="G67" s="126">
        <v>0.45</v>
      </c>
      <c r="H67" s="124" t="s">
        <v>135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230</v>
      </c>
      <c r="B68" s="123" t="s">
        <v>231</v>
      </c>
      <c r="C68" s="124">
        <v>0.44</v>
      </c>
      <c r="D68" s="124" t="s">
        <v>108</v>
      </c>
      <c r="E68" s="124">
        <v>1.3</v>
      </c>
      <c r="F68" s="125" t="s">
        <v>109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232</v>
      </c>
      <c r="B69" s="123" t="s">
        <v>233</v>
      </c>
      <c r="C69" s="124">
        <v>0.46</v>
      </c>
      <c r="D69" s="124" t="s">
        <v>108</v>
      </c>
      <c r="E69" s="124">
        <v>1.3</v>
      </c>
      <c r="F69" s="125" t="s">
        <v>109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234</v>
      </c>
      <c r="B70" s="123" t="s">
        <v>235</v>
      </c>
      <c r="C70" s="124">
        <v>0.48</v>
      </c>
      <c r="D70" s="124" t="s">
        <v>108</v>
      </c>
      <c r="E70" s="124">
        <v>2.4</v>
      </c>
      <c r="F70" s="124" t="s">
        <v>236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237</v>
      </c>
      <c r="B71" s="123" t="s">
        <v>238</v>
      </c>
      <c r="C71" s="124">
        <v>0.46</v>
      </c>
      <c r="D71" s="124" t="s">
        <v>239</v>
      </c>
      <c r="E71" s="124">
        <v>1.3</v>
      </c>
      <c r="F71" s="125" t="s">
        <v>109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240</v>
      </c>
      <c r="B72" s="123" t="s">
        <v>241</v>
      </c>
      <c r="C72" s="124">
        <v>0.44</v>
      </c>
      <c r="D72" s="124" t="s">
        <v>108</v>
      </c>
      <c r="E72" s="124">
        <v>1.3</v>
      </c>
      <c r="F72" s="125" t="s">
        <v>109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242</v>
      </c>
      <c r="B73" s="123" t="s">
        <v>243</v>
      </c>
      <c r="C73" s="124">
        <v>0.46</v>
      </c>
      <c r="D73" s="124" t="s">
        <v>244</v>
      </c>
      <c r="E73" s="124">
        <v>1.3</v>
      </c>
      <c r="F73" s="125" t="s">
        <v>109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245</v>
      </c>
      <c r="B74" s="123" t="s">
        <v>246</v>
      </c>
      <c r="C74" s="124">
        <v>0.34</v>
      </c>
      <c r="D74" s="124" t="s">
        <v>108</v>
      </c>
      <c r="E74" s="124">
        <v>1.3</v>
      </c>
      <c r="F74" s="125" t="s">
        <v>109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247</v>
      </c>
      <c r="B75" s="123" t="s">
        <v>248</v>
      </c>
      <c r="C75" s="124">
        <v>0.5</v>
      </c>
      <c r="D75" s="124" t="s">
        <v>108</v>
      </c>
      <c r="E75" s="124">
        <v>1.56</v>
      </c>
      <c r="F75" s="125" t="s">
        <v>109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249</v>
      </c>
      <c r="B76" s="123" t="s">
        <v>250</v>
      </c>
      <c r="C76" s="124">
        <v>0.57999999999999996</v>
      </c>
      <c r="D76" s="124" t="s">
        <v>108</v>
      </c>
      <c r="E76" s="124">
        <v>1.56</v>
      </c>
      <c r="F76" s="125" t="s">
        <v>109</v>
      </c>
      <c r="G76" s="126">
        <v>0.3</v>
      </c>
      <c r="H76" s="124" t="s">
        <v>251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252</v>
      </c>
      <c r="B77" s="123" t="s">
        <v>253</v>
      </c>
      <c r="C77" s="124">
        <v>0.37</v>
      </c>
      <c r="D77" s="124" t="s">
        <v>108</v>
      </c>
      <c r="E77" s="124">
        <v>1.3</v>
      </c>
      <c r="F77" s="125" t="s">
        <v>109</v>
      </c>
      <c r="G77" s="126">
        <v>0.55000000000000004</v>
      </c>
      <c r="H77" s="124" t="s">
        <v>135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254</v>
      </c>
      <c r="B78" s="123" t="s">
        <v>255</v>
      </c>
      <c r="C78" s="124">
        <v>0.37</v>
      </c>
      <c r="D78" s="124" t="s">
        <v>108</v>
      </c>
      <c r="E78" s="124">
        <v>1.3</v>
      </c>
      <c r="F78" s="125" t="s">
        <v>109</v>
      </c>
      <c r="G78" s="126">
        <v>0.55000000000000004</v>
      </c>
      <c r="H78" s="124" t="s">
        <v>135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256</v>
      </c>
      <c r="B79" s="123" t="s">
        <v>257</v>
      </c>
      <c r="C79" s="124">
        <v>0.38</v>
      </c>
      <c r="D79" s="124" t="s">
        <v>108</v>
      </c>
      <c r="E79" s="124">
        <v>1.3</v>
      </c>
      <c r="F79" s="125" t="s">
        <v>109</v>
      </c>
      <c r="G79" s="126">
        <v>0.55000000000000004</v>
      </c>
      <c r="H79" s="124" t="s">
        <v>125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258</v>
      </c>
      <c r="B80" s="123" t="s">
        <v>259</v>
      </c>
      <c r="C80" s="124">
        <v>0.36</v>
      </c>
      <c r="D80" s="124" t="s">
        <v>108</v>
      </c>
      <c r="E80" s="124">
        <v>1.3</v>
      </c>
      <c r="F80" s="125" t="s">
        <v>109</v>
      </c>
      <c r="G80" s="126">
        <v>0.55000000000000004</v>
      </c>
      <c r="H80" s="124" t="s">
        <v>125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260</v>
      </c>
      <c r="B81" s="123" t="s">
        <v>261</v>
      </c>
      <c r="C81" s="124">
        <v>0.37</v>
      </c>
      <c r="D81" s="124" t="s">
        <v>108</v>
      </c>
      <c r="E81" s="124">
        <v>1.56</v>
      </c>
      <c r="F81" s="125" t="s">
        <v>109</v>
      </c>
      <c r="G81" s="126">
        <v>0.43</v>
      </c>
      <c r="H81" s="124" t="s">
        <v>110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262</v>
      </c>
      <c r="B82" s="123" t="s">
        <v>263</v>
      </c>
      <c r="C82" s="124">
        <v>0.35</v>
      </c>
      <c r="D82" s="124" t="s">
        <v>264</v>
      </c>
      <c r="E82" s="124">
        <v>1.3</v>
      </c>
      <c r="F82" s="125" t="s">
        <v>109</v>
      </c>
      <c r="G82" s="126">
        <v>0.55000000000000004</v>
      </c>
      <c r="H82" s="124" t="s">
        <v>125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265</v>
      </c>
      <c r="B83" s="123" t="s">
        <v>266</v>
      </c>
      <c r="C83" s="124">
        <v>0.34</v>
      </c>
      <c r="D83" s="124" t="s">
        <v>108</v>
      </c>
      <c r="E83" s="124">
        <v>1.3</v>
      </c>
      <c r="F83" s="125" t="s">
        <v>109</v>
      </c>
      <c r="G83" s="126">
        <v>0.55000000000000004</v>
      </c>
      <c r="H83" s="124" t="s">
        <v>125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267</v>
      </c>
      <c r="B84" s="123" t="s">
        <v>268</v>
      </c>
      <c r="C84" s="124">
        <v>0.31</v>
      </c>
      <c r="D84" s="124" t="s">
        <v>108</v>
      </c>
      <c r="E84" s="124">
        <v>1.3</v>
      </c>
      <c r="F84" s="125" t="s">
        <v>109</v>
      </c>
      <c r="G84" s="126">
        <v>0.55000000000000004</v>
      </c>
      <c r="H84" s="124" t="s">
        <v>125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269</v>
      </c>
      <c r="B85" s="123" t="s">
        <v>270</v>
      </c>
      <c r="C85" s="124">
        <v>0.43</v>
      </c>
      <c r="D85" s="124" t="s">
        <v>108</v>
      </c>
      <c r="E85" s="124">
        <v>1.56</v>
      </c>
      <c r="F85" s="125" t="s">
        <v>109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271</v>
      </c>
      <c r="B86" s="123" t="s">
        <v>272</v>
      </c>
      <c r="C86" s="124">
        <v>0.38</v>
      </c>
      <c r="D86" s="124" t="s">
        <v>108</v>
      </c>
      <c r="E86" s="124">
        <v>1.56</v>
      </c>
      <c r="F86" s="125" t="s">
        <v>109</v>
      </c>
      <c r="G86" s="126">
        <v>0.6</v>
      </c>
      <c r="H86" s="124" t="s">
        <v>273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274</v>
      </c>
      <c r="B87" s="252" t="s">
        <v>275</v>
      </c>
      <c r="C87" s="253">
        <v>0.41</v>
      </c>
      <c r="D87" s="253" t="s">
        <v>276</v>
      </c>
      <c r="E87" s="253">
        <v>1.56</v>
      </c>
      <c r="F87" s="254" t="s">
        <v>109</v>
      </c>
      <c r="G87" s="255">
        <v>0.43</v>
      </c>
      <c r="H87" s="253" t="s">
        <v>110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277</v>
      </c>
      <c r="B88" s="130"/>
      <c r="C88" s="124">
        <v>0.42</v>
      </c>
      <c r="D88" s="124" t="s">
        <v>108</v>
      </c>
      <c r="E88" s="124">
        <v>1.3</v>
      </c>
      <c r="F88" s="125" t="s">
        <v>109</v>
      </c>
      <c r="G88" s="131"/>
      <c r="H88" s="130"/>
      <c r="I88" s="132"/>
    </row>
    <row r="89" spans="1:14" ht="15" thickBot="1">
      <c r="A89" s="133" t="s">
        <v>278</v>
      </c>
      <c r="B89" s="134"/>
      <c r="C89" s="135">
        <v>0.56999999999999995</v>
      </c>
      <c r="D89" s="136" t="s">
        <v>108</v>
      </c>
      <c r="E89" s="135">
        <v>1.56</v>
      </c>
      <c r="F89" s="135" t="s">
        <v>109</v>
      </c>
      <c r="G89" s="134"/>
      <c r="H89" s="134"/>
      <c r="I89" s="137"/>
    </row>
    <row r="93" spans="1:14">
      <c r="A93" s="122" t="s">
        <v>69</v>
      </c>
    </row>
    <row r="94" spans="1:14">
      <c r="A94" s="122" t="s">
        <v>70</v>
      </c>
    </row>
    <row r="95" spans="1:14">
      <c r="A95" s="122" t="s">
        <v>71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32" sqref="K32"/>
    </sheetView>
  </sheetViews>
  <sheetFormatPr defaultColWidth="11.42578125" defaultRowHeight="14.4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5" thickBot="1">
      <c r="A2" s="273" t="s">
        <v>279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95" thickBot="1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maritime</v>
      </c>
      <c r="B6" s="146">
        <f>'Données projet'!D9</f>
        <v>7.0940299999999992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1384.3650915998044</v>
      </c>
      <c r="G6" s="147">
        <f ca="1">F6*(100%-'Données projet'!$C$24)*(100%-'Données projet'!$C$25)*(100%-'Données projet'!$C$26)*(100%-'Données projet'!$C$27)</f>
        <v>1059.0392950738503</v>
      </c>
      <c r="H6" s="148">
        <f>IF(OR('Données projet'!B9="",'Données projet'!C9="",'Données projet'!C9=0%),0,AVERAGE(Calculateur!$AC$3:$AC$33)*B6)</f>
        <v>93.635405215572149</v>
      </c>
      <c r="I6" s="149">
        <f>H6*(100%-'Données projet'!$C$24)*(100%-'Données projet'!$C$25)*(100%-'Données projet'!$C$26)*(100%-'Données projet'!$C$27)</f>
        <v>71.631084989912694</v>
      </c>
      <c r="J6" s="150">
        <f>IF(OR('Données projet'!B9="",'Données projet'!C9="",'Données projet'!C9=0%),0,SUM(Calculateur!$V$3:$V$33)*VLOOKUP('Données projet'!$B$9,Paramètres!$A$1:$I$89,9,0)*B6)</f>
        <v>601.77510531307689</v>
      </c>
      <c r="K6" s="151">
        <f>J6*(100%-'Données projet'!$C$24)*(100%-'Données projet'!$C$25)*(100%-'Données projet'!$C$26)*(100%-'Données projet'!$C$27)</f>
        <v>460.35795556450381</v>
      </c>
      <c r="L6" s="152">
        <f ca="1">G6+I6+K6</f>
        <v>1591.0283356282669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Chêne pédonculé</v>
      </c>
      <c r="B7" s="154">
        <f>'Données projet'!D10</f>
        <v>0.37336999999999998</v>
      </c>
      <c r="C7" s="147">
        <f ca="1">IF(OR('Données projet'!B10="",'Données projet'!C10="",'Données projet'!C10=0%),0,Calculateur!AN3)</f>
        <v>179.55753939371345</v>
      </c>
      <c r="D7" s="147">
        <f>IF(OR('Données projet'!B10="",'Données projet'!C10="",'Données projet'!C10=0%),0,Calculateur!AO3)</f>
        <v>147.29214159934531</v>
      </c>
      <c r="E7" s="147">
        <f t="shared" ref="E7:E15" ca="1" si="0">MIN(C7,D7)</f>
        <v>147.29214159934531</v>
      </c>
      <c r="F7" s="147">
        <f t="shared" ref="F7:F15" ca="1" si="1">E7*B7</f>
        <v>54.994466908947558</v>
      </c>
      <c r="G7" s="147">
        <f ca="1">F7*(100%-'Données projet'!$C$24)*(100%-'Données projet'!$C$25)*(100%-'Données projet'!$C$26)*(100%-'Données projet'!$C$27)</f>
        <v>42.070767185344877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42.070767185344877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1439.3595585087519</v>
      </c>
      <c r="G16" s="166">
        <f t="shared" ca="1" si="3"/>
        <v>1101.1100622591953</v>
      </c>
      <c r="H16" s="167">
        <f t="shared" si="3"/>
        <v>93.635405215572149</v>
      </c>
      <c r="I16" s="167">
        <f t="shared" si="3"/>
        <v>71.631084989912694</v>
      </c>
      <c r="J16" s="168">
        <f t="shared" si="3"/>
        <v>601.77510531307689</v>
      </c>
      <c r="K16" s="168">
        <f t="shared" si="3"/>
        <v>460.35795556450381</v>
      </c>
      <c r="L16" s="169">
        <f t="shared" ca="1" si="3"/>
        <v>1633.0991028136118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5" t="s">
        <v>290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B15" zoomScale="80" zoomScaleNormal="80" workbookViewId="0">
      <selection activeCell="G15" sqref="G15:G20"/>
    </sheetView>
  </sheetViews>
  <sheetFormatPr defaultColWidth="11.42578125" defaultRowHeight="14.4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5" thickBot="1">
      <c r="A2" s="4"/>
      <c r="B2" s="273" t="s">
        <v>291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59" t="s">
        <v>292</v>
      </c>
      <c r="I4" s="259"/>
      <c r="K4" s="301" t="s">
        <v>293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3" t="s">
        <v>294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-11448.405511915487</v>
      </c>
      <c r="U10" s="178">
        <f>'Données projet'!D9</f>
        <v>7.0940299999999992</v>
      </c>
      <c r="V10" s="177">
        <f>U10*T10</f>
        <v>-81215.332153693817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-12892.769339147202</v>
      </c>
      <c r="U11" s="178">
        <f>'Données projet'!D10</f>
        <v>0.37336999999999998</v>
      </c>
      <c r="V11" s="177">
        <f t="shared" ref="V11" si="0">U11*T11</f>
        <v>-4813.7732881573902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73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4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4"/>
      <c r="H16" s="190"/>
      <c r="I16" s="191"/>
      <c r="J16" s="202"/>
      <c r="K16" s="208"/>
      <c r="L16" s="301" t="s">
        <v>311</v>
      </c>
      <c r="M16" s="302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193</v>
      </c>
      <c r="C17" s="198" t="s">
        <v>193</v>
      </c>
      <c r="D17" s="197" t="s">
        <v>193</v>
      </c>
      <c r="E17" s="193">
        <f>4114+3541+2276+1198+1492</f>
        <v>12621</v>
      </c>
      <c r="F17" s="230"/>
      <c r="G17" s="304"/>
      <c r="J17" s="202"/>
      <c r="K17" s="208"/>
      <c r="L17" s="261" t="s">
        <v>312</v>
      </c>
      <c r="M17" s="263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4"/>
      <c r="J18" s="202"/>
      <c r="K18" s="208"/>
      <c r="L18" s="261" t="s">
        <v>308</v>
      </c>
      <c r="M18" s="263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4"/>
      <c r="H19" s="212" t="s">
        <v>73</v>
      </c>
      <c r="I19" s="212" t="s">
        <v>313</v>
      </c>
      <c r="J19" s="93"/>
      <c r="K19" s="173"/>
      <c r="L19" s="301" t="s">
        <v>314</v>
      </c>
      <c r="M19" s="302"/>
      <c r="N19" s="179">
        <f>N17*N18</f>
        <v>1499.9999999999989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193</v>
      </c>
      <c r="C20" s="198" t="s">
        <v>193</v>
      </c>
      <c r="D20" s="197" t="s">
        <v>193</v>
      </c>
      <c r="E20" s="193">
        <v>500</v>
      </c>
      <c r="F20" s="230"/>
      <c r="G20" s="304"/>
      <c r="H20" s="190">
        <v>1</v>
      </c>
      <c r="I20" s="191">
        <v>3715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193</v>
      </c>
      <c r="C22" s="198" t="s">
        <v>193</v>
      </c>
      <c r="D22" s="197" t="s">
        <v>193</v>
      </c>
      <c r="E22" s="193">
        <v>500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303" t="s">
        <v>315</v>
      </c>
      <c r="M23" s="303"/>
      <c r="N23" s="303"/>
      <c r="O23" s="23"/>
      <c r="P23" s="23"/>
      <c r="Q23" s="234"/>
      <c r="R23" s="23"/>
      <c r="S23" s="36" t="s">
        <v>316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-112575.89108778423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19</v>
      </c>
      <c r="B24" s="181">
        <f>'Données projet'!D37</f>
        <v>54.907692307692301</v>
      </c>
      <c r="C24" s="193">
        <v>10</v>
      </c>
      <c r="D24" s="182">
        <f t="shared" ref="D24:D42" si="2">B24*C24</f>
        <v>549.07692307692298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1240.0698602302652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25</v>
      </c>
      <c r="B25" s="181">
        <f>'Données projet'!D38</f>
        <v>52.9</v>
      </c>
      <c r="C25" s="193">
        <v>10</v>
      </c>
      <c r="D25" s="182">
        <f t="shared" si="2"/>
        <v>529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0">
        <f ca="1">T23-T24</f>
        <v>-113815.96094801449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32</v>
      </c>
      <c r="B26" s="181">
        <f>'Données projet'!D39</f>
        <v>63.899999999999991</v>
      </c>
      <c r="C26" s="193">
        <v>15</v>
      </c>
      <c r="D26" s="182">
        <f t="shared" si="2"/>
        <v>958.49999999999989</v>
      </c>
      <c r="E26" s="193">
        <v>150</v>
      </c>
      <c r="F26" s="233"/>
      <c r="G26" s="229"/>
      <c r="H26" s="190"/>
      <c r="I26" s="191"/>
      <c r="K26" s="208"/>
      <c r="L26" s="287" t="s">
        <v>320</v>
      </c>
      <c r="M26" s="288"/>
      <c r="N26" s="288"/>
      <c r="O26" s="288"/>
      <c r="P26" s="289"/>
      <c r="Q26" s="234"/>
      <c r="R26" s="23"/>
      <c r="S26" s="186" t="s">
        <v>321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45</v>
      </c>
      <c r="B27" s="181">
        <f>'Données projet'!D40</f>
        <v>412.49230769230769</v>
      </c>
      <c r="C27" s="193">
        <v>25</v>
      </c>
      <c r="D27" s="182">
        <f t="shared" si="2"/>
        <v>10312.307692307691</v>
      </c>
      <c r="E27" s="193">
        <v>150</v>
      </c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322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73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18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193</v>
      </c>
      <c r="C48" s="198" t="s">
        <v>193</v>
      </c>
      <c r="D48" s="197" t="s">
        <v>193</v>
      </c>
      <c r="E48" s="193">
        <f>4114+2999+2743+1345+1932</f>
        <v>13133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193</v>
      </c>
      <c r="C51" s="198" t="s">
        <v>193</v>
      </c>
      <c r="D51" s="197" t="s">
        <v>193</v>
      </c>
      <c r="E51" s="193">
        <v>500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193</v>
      </c>
      <c r="C53" s="198" t="s">
        <v>193</v>
      </c>
      <c r="D53" s="197" t="s">
        <v>193</v>
      </c>
      <c r="E53" s="193">
        <v>500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38</v>
      </c>
      <c r="B54" s="181">
        <f>'Données projet'!D62</f>
        <v>62.551282051282051</v>
      </c>
      <c r="C54" s="191">
        <v>10</v>
      </c>
      <c r="D54" s="179">
        <f>B54*C54</f>
        <v>625.51282051282055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45</v>
      </c>
      <c r="B55" s="181">
        <f>'Données projet'!D63</f>
        <v>32.397435897435898</v>
      </c>
      <c r="C55" s="191">
        <v>10</v>
      </c>
      <c r="D55" s="179">
        <f t="shared" ref="D55:D73" si="4">B55*C55</f>
        <v>323.97435897435901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52</v>
      </c>
      <c r="B56" s="181">
        <f>'Données projet'!D64</f>
        <v>32.942307692307693</v>
      </c>
      <c r="C56" s="191">
        <v>50</v>
      </c>
      <c r="D56" s="179">
        <f t="shared" si="4"/>
        <v>1647.1153846153848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59</v>
      </c>
      <c r="B57" s="181">
        <f>'Données projet'!D65</f>
        <v>30.320512820512818</v>
      </c>
      <c r="C57" s="191">
        <v>50</v>
      </c>
      <c r="D57" s="179">
        <f t="shared" si="4"/>
        <v>1516.0256410256409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67</v>
      </c>
      <c r="B58" s="181">
        <f>'Données projet'!D66</f>
        <v>30.314102564102562</v>
      </c>
      <c r="C58" s="191">
        <v>50</v>
      </c>
      <c r="D58" s="179">
        <f t="shared" si="4"/>
        <v>1515.7051282051282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75</v>
      </c>
      <c r="B59" s="181">
        <f>'Données projet'!D67</f>
        <v>30.705128205128204</v>
      </c>
      <c r="C59" s="191">
        <v>100</v>
      </c>
      <c r="D59" s="179">
        <f t="shared" si="4"/>
        <v>3070.5128205128203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83</v>
      </c>
      <c r="B60" s="181">
        <f>'Données projet'!D68</f>
        <v>34.955128205128204</v>
      </c>
      <c r="C60" s="191">
        <v>100</v>
      </c>
      <c r="D60" s="179">
        <f t="shared" si="4"/>
        <v>3495.5128205128203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93</v>
      </c>
      <c r="B61" s="181">
        <f>'Données projet'!D69</f>
        <v>46.826923076923073</v>
      </c>
      <c r="C61" s="191">
        <v>150</v>
      </c>
      <c r="D61" s="179">
        <f t="shared" si="4"/>
        <v>7024.038461538461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103</v>
      </c>
      <c r="B62" s="181">
        <f>'Données projet'!D70</f>
        <v>46.730769230769234</v>
      </c>
      <c r="C62" s="191">
        <v>150</v>
      </c>
      <c r="D62" s="179">
        <f t="shared" si="4"/>
        <v>7009.6153846153848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113</v>
      </c>
      <c r="B63" s="181">
        <f>'Données projet'!D71</f>
        <v>47.141025641025642</v>
      </c>
      <c r="C63" s="191">
        <v>150</v>
      </c>
      <c r="D63" s="179">
        <f t="shared" si="4"/>
        <v>7071.1538461538466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123</v>
      </c>
      <c r="B64" s="181">
        <f>'Données projet'!D72</f>
        <v>139.2628205128205</v>
      </c>
      <c r="C64" s="191">
        <v>200</v>
      </c>
      <c r="D64" s="179">
        <f t="shared" si="4"/>
        <v>27852.564102564098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125</v>
      </c>
      <c r="B65" s="181">
        <f>'Données projet'!D73</f>
        <v>48.217948717948715</v>
      </c>
      <c r="C65" s="191">
        <v>200</v>
      </c>
      <c r="D65" s="179">
        <f t="shared" si="4"/>
        <v>9643.5897435897423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127</v>
      </c>
      <c r="B66" s="181">
        <f>'Données projet'!D74</f>
        <v>31.423076923076923</v>
      </c>
      <c r="C66" s="191">
        <v>200</v>
      </c>
      <c r="D66" s="179">
        <f t="shared" si="4"/>
        <v>6284.6153846153848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130</v>
      </c>
      <c r="B67" s="181">
        <f>'Données projet'!D75</f>
        <v>76.84615384615384</v>
      </c>
      <c r="C67" s="191">
        <v>200</v>
      </c>
      <c r="D67" s="179">
        <f t="shared" si="4"/>
        <v>15369.230769230768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FCC021F5-DB2A-4E95-8BDC-A79FF1C0397F}"/>
</file>

<file path=customXml/itemProps2.xml><?xml version="1.0" encoding="utf-8"?>
<ds:datastoreItem xmlns:ds="http://schemas.openxmlformats.org/officeDocument/2006/customXml" ds:itemID="{13CE0C91-2C24-4499-B62E-D43EB15A7F12}"/>
</file>

<file path=customXml/itemProps3.xml><?xml version="1.0" encoding="utf-8"?>
<ds:datastoreItem xmlns:ds="http://schemas.openxmlformats.org/officeDocument/2006/customXml" ds:itemID="{98C03F4E-1823-456D-82F1-C4FD14512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CNPF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2024-07-22T10:47:09Z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