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LEFRANC Benjamin/SAUMOS  (GFO)/Dossier LBC/"/>
    </mc:Choice>
  </mc:AlternateContent>
  <xr:revisionPtr revIDLastSave="75" documentId="8_{B47D4AD3-068F-481E-A5DB-FFF964DEABF8}" xr6:coauthVersionLast="47" xr6:coauthVersionMax="47" xr10:uidLastSave="{8ED2DEE7-7B7C-486B-B962-80D89CB062B4}"/>
  <bookViews>
    <workbookView xWindow="-110" yWindow="-110" windowWidth="19420" windowHeight="11500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BQ4" i="2"/>
  <c r="EC4" i="2"/>
  <c r="BR4" i="2"/>
  <c r="GL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W7" i="2" l="1"/>
  <c r="EV7" i="2"/>
  <c r="EX7" i="2"/>
  <c r="EA7" i="2"/>
  <c r="HI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HH10" i="2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G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HG18" i="2"/>
  <c r="FS18" i="2"/>
  <c r="EW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EW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W22" i="2"/>
  <c r="EA22" i="2"/>
  <c r="EB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H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EC28" i="2"/>
  <c r="HG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H33" i="2"/>
  <c r="EB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HI38" i="2"/>
  <c r="EA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DG43" i="2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FS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V57" i="2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A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B87" i="2" l="1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FS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C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EW113" i="2"/>
  <c r="HG113" i="2"/>
  <c r="FS113" i="2"/>
  <c r="EX113" i="2"/>
  <c r="HI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FS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EX124" i="2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FS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HI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X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HH130" i="2"/>
  <c r="EB130" i="2"/>
  <c r="EX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H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A139" i="2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C140" i="2"/>
  <c r="HG140" i="2"/>
  <c r="FR140" i="2"/>
  <c r="HH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A144" i="2"/>
  <c r="EB144" i="2"/>
  <c r="HG144" i="2"/>
  <c r="FR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B145" i="2"/>
  <c r="EA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I146" i="2"/>
  <c r="FS146" i="2"/>
  <c r="HG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G154" i="2"/>
  <c r="AB154" i="2"/>
  <c r="HH154" i="2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HG155" i="2"/>
  <c r="AC154" i="2"/>
  <c r="EW155" i="2"/>
  <c r="EA155" i="2"/>
  <c r="DI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HI156" i="2" l="1"/>
  <c r="AB156" i="2"/>
  <c r="FS156" i="2"/>
  <c r="EB156" i="2"/>
  <c r="EX156" i="2"/>
  <c r="DH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CN156" i="2"/>
  <c r="EA157" i="2"/>
  <c r="EB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W158" i="2"/>
  <c r="ED157" i="2"/>
  <c r="EC158" i="2"/>
  <c r="EV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EA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FS160" i="2"/>
  <c r="DG160" i="2"/>
  <c r="H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HH161" i="2" l="1"/>
  <c r="ED160" i="2"/>
  <c r="EB161" i="2"/>
  <c r="EX161" i="2"/>
  <c r="AB161" i="2"/>
  <c r="EA161" i="2"/>
  <c r="FS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H162" i="2" l="1"/>
  <c r="EW162" i="2"/>
  <c r="EY161" i="2"/>
  <c r="DI161" i="2"/>
  <c r="EC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ED162" i="2"/>
  <c r="HI163" i="2"/>
  <c r="EV163" i="2"/>
  <c r="FS163" i="2"/>
  <c r="EC163" i="2"/>
  <c r="EX163" i="2"/>
  <c r="DH163" i="2"/>
  <c r="EW163" i="2"/>
  <c r="EY163" i="2" s="1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DI163" i="2" l="1"/>
  <c r="EX164" i="2"/>
  <c r="DH164" i="2"/>
  <c r="FR164" i="2"/>
  <c r="HH164" i="2"/>
  <c r="HG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HG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EA167" i="2"/>
  <c r="EB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G168" i="2"/>
  <c r="DI167" i="2"/>
  <c r="HI168" i="2"/>
  <c r="EW168" i="2"/>
  <c r="HH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Y168" i="2"/>
  <c r="EA169" i="2"/>
  <c r="FS169" i="2"/>
  <c r="HH169" i="2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HG172" i="2"/>
  <c r="EV172" i="2"/>
  <c r="EA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FS175" i="2"/>
  <c r="EA175" i="2"/>
  <c r="EW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HG178" i="2"/>
  <c r="EB178" i="2"/>
  <c r="ED177" i="2"/>
  <c r="EA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HH179" i="2"/>
  <c r="EV179" i="2"/>
  <c r="HI179" i="2"/>
  <c r="DF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FS183" i="2" l="1"/>
  <c r="EB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D185" i="2"/>
  <c r="FR186" i="2"/>
  <c r="EB186" i="2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H187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EV189" i="2"/>
  <c r="HH189" i="2"/>
  <c r="AA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EY189" i="2" s="1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W190" i="2" l="1"/>
  <c r="EB190" i="2"/>
  <c r="HH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EW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EY192" i="2" s="1"/>
  <c r="EA192" i="2"/>
  <c r="EB192" i="2"/>
  <c r="EW192" i="2"/>
  <c r="HI192" i="2"/>
  <c r="EC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A193" i="2"/>
  <c r="EB193" i="2"/>
  <c r="DI192" i="2"/>
  <c r="EX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A194" i="2"/>
  <c r="CN193" i="2"/>
  <c r="HG194" i="2"/>
  <c r="FQ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A195" i="2" l="1"/>
  <c r="HG195" i="2"/>
  <c r="ED194" i="2"/>
  <c r="EY194" i="2"/>
  <c r="HI195" i="2"/>
  <c r="AA195" i="2"/>
  <c r="DH195" i="2"/>
  <c r="EX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FS197" i="2" l="1"/>
  <c r="EY196" i="2"/>
  <c r="AA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Y198" i="2" s="1"/>
  <c r="EW198" i="2"/>
  <c r="HI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HG199" i="2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D200" i="2"/>
  <c r="DI200" i="2"/>
  <c r="FS201" i="2"/>
  <c r="HH201" i="2"/>
  <c r="EB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Y201" i="2"/>
  <c r="HH202" i="2"/>
  <c r="FZ6" i="2"/>
  <c r="FR202" i="2"/>
  <c r="HI202" i="2"/>
  <c r="EV202" i="2"/>
  <c r="EY202" i="2" s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54" i="2" a="1"/>
  <c r="FY54" i="2" s="1"/>
  <c r="FY18" i="2" a="1"/>
  <c r="FY18" i="2" s="1"/>
  <c r="FY71" i="2" a="1"/>
  <c r="FY71" i="2" s="1"/>
  <c r="FY186" i="2" a="1"/>
  <c r="FY186" i="2" s="1"/>
  <c r="FY152" i="2" a="1"/>
  <c r="FY152" i="2" s="1"/>
  <c r="FY55" i="2" a="1"/>
  <c r="FY55" i="2" s="1"/>
  <c r="FY178" i="2" a="1"/>
  <c r="FY178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EI195" i="2" a="1"/>
  <c r="EI195" i="2" s="1"/>
  <c r="FY182" i="2" a="1"/>
  <c r="FY182" i="2" s="1"/>
  <c r="FY82" i="2" a="1"/>
  <c r="FY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31" i="2" a="1"/>
  <c r="DN31" i="2" s="1"/>
  <c r="DN6" i="2" a="1"/>
  <c r="DN6" i="2" s="1"/>
  <c r="DO6" i="2" s="1"/>
  <c r="FD82" i="2" a="1"/>
  <c r="FD82" i="2" s="1"/>
  <c r="HJ202" i="2"/>
  <c r="AX200" i="2"/>
  <c r="BC151" i="2" l="1" a="1"/>
  <c r="BC151" i="2" s="1"/>
  <c r="DN66" i="2" a="1"/>
  <c r="DN66" i="2" s="1"/>
  <c r="CS24" i="2" a="1"/>
  <c r="CS24" i="2" s="1"/>
  <c r="BC32" i="2" a="1"/>
  <c r="BC32" i="2" s="1"/>
  <c r="BC192" i="2" a="1"/>
  <c r="BC192" i="2" s="1"/>
  <c r="BC117" i="2" a="1"/>
  <c r="BC117" i="2" s="1"/>
  <c r="BC18" i="2" a="1"/>
  <c r="BC18" i="2" s="1"/>
  <c r="BC55" i="2" a="1"/>
  <c r="BC55" i="2" s="1"/>
  <c r="BC181" i="2" a="1"/>
  <c r="BC181" i="2" s="1"/>
  <c r="BC164" i="2" a="1"/>
  <c r="BC164" i="2" s="1"/>
  <c r="BC38" i="2" a="1"/>
  <c r="BC38" i="2" s="1"/>
  <c r="BC130" i="2" a="1"/>
  <c r="BC130" i="2" s="1"/>
  <c r="BC65" i="2" a="1"/>
  <c r="BC65" i="2" s="1"/>
  <c r="BC83" i="2" a="1"/>
  <c r="BC83" i="2" s="1"/>
  <c r="BC47" i="2" a="1"/>
  <c r="BC47" i="2" s="1"/>
  <c r="AH151" i="2" a="1"/>
  <c r="AH151" i="2" s="1"/>
  <c r="BC34" i="2" a="1"/>
  <c r="BC34" i="2" s="1"/>
  <c r="BC114" i="2" a="1"/>
  <c r="BC114" i="2" s="1"/>
  <c r="BC126" i="2" a="1"/>
  <c r="BC126" i="2" s="1"/>
  <c r="BC82" i="2" a="1"/>
  <c r="BC82" i="2" s="1"/>
  <c r="BC58" i="2" a="1"/>
  <c r="BC58" i="2" s="1"/>
  <c r="CS38" i="2" a="1"/>
  <c r="CS38" i="2" s="1"/>
  <c r="CS77" i="2" a="1"/>
  <c r="CS77" i="2" s="1"/>
  <c r="AH19" i="2" a="1"/>
  <c r="AH19" i="2" s="1"/>
  <c r="AH90" i="2" a="1"/>
  <c r="AH90" i="2" s="1"/>
  <c r="BP203" i="2"/>
  <c r="DN16" i="2" a="1"/>
  <c r="DN16" i="2" s="1"/>
  <c r="FY173" i="2" a="1"/>
  <c r="FY173" i="2" s="1"/>
  <c r="DN43" i="2" a="1"/>
  <c r="DN43" i="2" s="1"/>
  <c r="FY188" i="2" a="1"/>
  <c r="FY188" i="2" s="1"/>
  <c r="DN49" i="2" a="1"/>
  <c r="DN49" i="2" s="1"/>
  <c r="DN186" i="2" a="1"/>
  <c r="DN186" i="2" s="1"/>
  <c r="FY28" i="2" a="1"/>
  <c r="FY28" i="2" s="1"/>
  <c r="FY121" i="2" a="1"/>
  <c r="FY121" i="2" s="1"/>
  <c r="FY35" i="2" a="1"/>
  <c r="FY35" i="2" s="1"/>
  <c r="DN190" i="2" a="1"/>
  <c r="DN190" i="2" s="1"/>
  <c r="DN170" i="2" a="1"/>
  <c r="DN170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FY169" i="2" a="1"/>
  <c r="FY169" i="2" s="1"/>
  <c r="FY99" i="2" a="1"/>
  <c r="FY99" i="2" s="1"/>
  <c r="FY153" i="2" a="1"/>
  <c r="FY153" i="2" s="1"/>
  <c r="FY146" i="2" a="1"/>
  <c r="FY146" i="2" s="1"/>
  <c r="DN132" i="2" a="1"/>
  <c r="DN132" i="2" s="1"/>
  <c r="DN188" i="2" a="1"/>
  <c r="DN188" i="2" s="1"/>
  <c r="FY115" i="2" a="1"/>
  <c r="FY115" i="2" s="1"/>
  <c r="FY133" i="2" a="1"/>
  <c r="FY133" i="2" s="1"/>
  <c r="DN162" i="2" a="1"/>
  <c r="DN162" i="2" s="1"/>
  <c r="DN177" i="2" a="1"/>
  <c r="DN177" i="2" s="1"/>
  <c r="FY164" i="2" a="1"/>
  <c r="FY164" i="2" s="1"/>
  <c r="FY29" i="2" a="1"/>
  <c r="FY29" i="2" s="1"/>
  <c r="DN135" i="2" a="1"/>
  <c r="DN135" i="2" s="1"/>
  <c r="CS129" i="2" a="1"/>
  <c r="CS129" i="2" s="1"/>
  <c r="FY124" i="2" a="1"/>
  <c r="FY124" i="2" s="1"/>
  <c r="BX107" i="2" a="1"/>
  <c r="BX107" i="2" s="1"/>
  <c r="DN65" i="2" a="1"/>
  <c r="DN65" i="2" s="1"/>
  <c r="CS114" i="2" a="1"/>
  <c r="CS114" i="2" s="1"/>
  <c r="CS120" i="2" a="1"/>
  <c r="CS120" i="2" s="1"/>
  <c r="FY80" i="2" a="1"/>
  <c r="FY80" i="2" s="1"/>
  <c r="AH163" i="2" a="1"/>
  <c r="AH163" i="2" s="1"/>
  <c r="DN50" i="2" a="1"/>
  <c r="DN50" i="2" s="1"/>
  <c r="DN124" i="2" a="1"/>
  <c r="DN124" i="2" s="1"/>
  <c r="FY62" i="2" a="1"/>
  <c r="FY62" i="2" s="1"/>
  <c r="FY116" i="2" a="1"/>
  <c r="FY116" i="2" s="1"/>
  <c r="FY102" i="2" a="1"/>
  <c r="FY102" i="2" s="1"/>
  <c r="FY32" i="2" a="1"/>
  <c r="FY32" i="2" s="1"/>
  <c r="FS203" i="2"/>
  <c r="DN41" i="2" a="1"/>
  <c r="DN41" i="2" s="1"/>
  <c r="FY126" i="2" a="1"/>
  <c r="FY126" i="2" s="1"/>
  <c r="DN46" i="2" a="1"/>
  <c r="DN46" i="2" s="1"/>
  <c r="FY140" i="2" a="1"/>
  <c r="FY140" i="2" s="1"/>
  <c r="FY58" i="2" a="1"/>
  <c r="FY58" i="2" s="1"/>
  <c r="FY47" i="2" a="1"/>
  <c r="FY47" i="2" s="1"/>
  <c r="DN176" i="2" a="1"/>
  <c r="DN176" i="2" s="1"/>
  <c r="DN153" i="2" a="1"/>
  <c r="DN153" i="2" s="1"/>
  <c r="FY24" i="2" a="1"/>
  <c r="FY24" i="2" s="1"/>
  <c r="FY167" i="2" a="1"/>
  <c r="FY167" i="2" s="1"/>
  <c r="FY174" i="2" a="1"/>
  <c r="FY174" i="2" s="1"/>
  <c r="DN38" i="2" a="1"/>
  <c r="DN38" i="2" s="1"/>
  <c r="DN70" i="2" a="1"/>
  <c r="DN70" i="2" s="1"/>
  <c r="CS56" i="2" a="1"/>
  <c r="CS56" i="2" s="1"/>
  <c r="DN63" i="2" a="1"/>
  <c r="DN63" i="2" s="1"/>
  <c r="FY30" i="2" a="1"/>
  <c r="FY30" i="2" s="1"/>
  <c r="AH62" i="2" a="1"/>
  <c r="AH62" i="2" s="1"/>
  <c r="CS116" i="2" a="1"/>
  <c r="CS116" i="2" s="1"/>
  <c r="DN113" i="2" a="1"/>
  <c r="DN113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DN30" i="2" a="1"/>
  <c r="DN30" i="2" s="1"/>
  <c r="DN86" i="2" a="1"/>
  <c r="DN86" i="2" s="1"/>
  <c r="FY34" i="2" a="1"/>
  <c r="FY34" i="2" s="1"/>
  <c r="DN114" i="2" a="1"/>
  <c r="DN114" i="2" s="1"/>
  <c r="FY79" i="2" a="1"/>
  <c r="FY79" i="2" s="1"/>
  <c r="DN103" i="2" a="1"/>
  <c r="DN103" i="2" s="1"/>
  <c r="FY143" i="2" a="1"/>
  <c r="FY143" i="2" s="1"/>
  <c r="DN164" i="2" a="1"/>
  <c r="DN164" i="2" s="1"/>
  <c r="DN137" i="2" a="1"/>
  <c r="DN137" i="2" s="1"/>
  <c r="FY78" i="2" a="1"/>
  <c r="FY78" i="2" s="1"/>
  <c r="CS105" i="2" a="1"/>
  <c r="CS105" i="2" s="1"/>
  <c r="FY110" i="2" a="1"/>
  <c r="FY110" i="2" s="1"/>
  <c r="DN133" i="2" a="1"/>
  <c r="DN133" i="2" s="1"/>
  <c r="DN45" i="2" a="1"/>
  <c r="DN45" i="2" s="1"/>
  <c r="DN55" i="2" a="1"/>
  <c r="DN55" i="2" s="1"/>
  <c r="DN80" i="2" a="1"/>
  <c r="DN80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Y72" i="2" a="1"/>
  <c r="FY72" i="2" s="1"/>
  <c r="FY111" i="2" a="1"/>
  <c r="FY111" i="2" s="1"/>
  <c r="FY66" i="2" a="1"/>
  <c r="FY66" i="2" s="1"/>
  <c r="FY90" i="2" a="1"/>
  <c r="FY90" i="2" s="1"/>
  <c r="DN167" i="2" a="1"/>
  <c r="DN167" i="2" s="1"/>
  <c r="DN29" i="2" a="1"/>
  <c r="DN29" i="2" s="1"/>
  <c r="FY109" i="2" a="1"/>
  <c r="FY109" i="2" s="1"/>
  <c r="FY86" i="2" a="1"/>
  <c r="FY86" i="2" s="1"/>
  <c r="FY159" i="2" a="1"/>
  <c r="FY159" i="2" s="1"/>
  <c r="DN115" i="2" a="1"/>
  <c r="DN115" i="2" s="1"/>
  <c r="FY149" i="2" a="1"/>
  <c r="FY149" i="2" s="1"/>
  <c r="FY191" i="2" a="1"/>
  <c r="FY191" i="2" s="1"/>
  <c r="DN187" i="2" a="1"/>
  <c r="DN187" i="2" s="1"/>
  <c r="CS137" i="2" a="1"/>
  <c r="CS137" i="2" s="1"/>
  <c r="FY165" i="2" a="1"/>
  <c r="FY165" i="2" s="1"/>
  <c r="CS72" i="2" a="1"/>
  <c r="CS72" i="2" s="1"/>
  <c r="CS134" i="2" a="1"/>
  <c r="CS134" i="2" s="1"/>
  <c r="DN110" i="2" a="1"/>
  <c r="DN110" i="2" s="1"/>
  <c r="CS185" i="2" a="1"/>
  <c r="CS185" i="2" s="1"/>
  <c r="FY196" i="2" a="1"/>
  <c r="FY196" i="2" s="1"/>
  <c r="AH166" i="2" a="1"/>
  <c r="AH166" i="2" s="1"/>
  <c r="DN192" i="2" a="1"/>
  <c r="DN192" i="2" s="1"/>
  <c r="DN184" i="2" a="1"/>
  <c r="DN184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Z9" i="2" s="1"/>
  <c r="FZ10" i="2" s="1"/>
  <c r="FZ11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CN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26" i="2" l="1"/>
  <c r="CY200" i="2"/>
  <c r="CY103" i="2"/>
  <c r="CY134" i="2"/>
  <c r="CY138" i="2"/>
  <c r="CY196" i="2"/>
  <c r="CY175" i="2"/>
  <c r="CY80" i="2"/>
  <c r="CY33" i="2"/>
  <c r="CY24" i="2"/>
  <c r="CY43" i="2"/>
  <c r="CY168" i="2"/>
  <c r="CY157" i="2"/>
  <c r="CY56" i="2"/>
  <c r="CY77" i="2"/>
  <c r="CY37" i="2"/>
  <c r="CY201" i="2"/>
  <c r="CY83" i="2"/>
  <c r="CY9" i="2"/>
  <c r="CY113" i="2"/>
  <c r="CY172" i="2"/>
  <c r="CY93" i="2"/>
  <c r="CY42" i="2"/>
  <c r="CY132" i="2"/>
  <c r="CY174" i="2"/>
  <c r="CY102" i="2"/>
  <c r="CY116" i="2"/>
  <c r="CY59" i="2"/>
  <c r="CY96" i="2"/>
  <c r="CY82" i="2"/>
  <c r="CY111" i="2"/>
  <c r="CY66" i="2"/>
  <c r="CY112" i="2"/>
  <c r="CY192" i="2"/>
  <c r="CY39" i="2"/>
  <c r="CY25" i="2"/>
  <c r="CY73" i="2"/>
  <c r="CY117" i="2"/>
  <c r="CY29" i="2"/>
  <c r="CY28" i="2"/>
  <c r="CY166" i="2"/>
  <c r="CY182" i="2"/>
  <c r="CY203" i="2"/>
  <c r="CY190" i="2"/>
  <c r="CY162" i="2"/>
  <c r="CY16" i="2"/>
  <c r="CY67" i="2"/>
  <c r="CY35" i="2"/>
  <c r="CY199" i="2"/>
  <c r="CY131" i="2"/>
  <c r="CY104" i="2"/>
  <c r="CY20" i="2"/>
  <c r="CY150" i="2"/>
  <c r="CY15" i="2"/>
  <c r="CY194" i="2"/>
  <c r="CY119" i="2"/>
  <c r="CY158" i="2"/>
  <c r="CY109" i="2"/>
  <c r="CY145" i="2"/>
  <c r="CY198" i="2"/>
  <c r="CY3" i="2"/>
  <c r="C10" i="4" s="1"/>
  <c r="E10" i="4" s="1"/>
  <c r="F10" i="4" s="1"/>
  <c r="G10" i="4" s="1"/>
  <c r="L10" i="4" s="1"/>
  <c r="CY141" i="2"/>
  <c r="CY19" i="2"/>
  <c r="CY95" i="2"/>
  <c r="CY151" i="2"/>
  <c r="CY161" i="2"/>
  <c r="CY62" i="2"/>
  <c r="CY92" i="2"/>
  <c r="CY41" i="2"/>
  <c r="CY110" i="2"/>
  <c r="CY143" i="2"/>
  <c r="CY127" i="2"/>
  <c r="CY101" i="2"/>
  <c r="CY123" i="2"/>
  <c r="CY6" i="2"/>
  <c r="CY125" i="2"/>
  <c r="CY90" i="2"/>
  <c r="CY34" i="2"/>
  <c r="CY27" i="2"/>
  <c r="CY142" i="2"/>
  <c r="CY23" i="2"/>
  <c r="CY167" i="2"/>
  <c r="CY49" i="2"/>
  <c r="CY137" i="2"/>
  <c r="CY165" i="2"/>
  <c r="CY52" i="2"/>
  <c r="CY7" i="2"/>
  <c r="CY191" i="2"/>
  <c r="CY193" i="2"/>
  <c r="CY14" i="2"/>
  <c r="CY164" i="2"/>
  <c r="CY176" i="2"/>
  <c r="CY78" i="2"/>
  <c r="CY169" i="2"/>
  <c r="CY108" i="2"/>
  <c r="CY121" i="2"/>
  <c r="CY10" i="2"/>
  <c r="CY181" i="2"/>
  <c r="CY155" i="2"/>
  <c r="CY76" i="2"/>
  <c r="CY118" i="2"/>
  <c r="CY195" i="2"/>
  <c r="CY30" i="2"/>
  <c r="CY183" i="2"/>
  <c r="CY64" i="2"/>
  <c r="CY152" i="2"/>
  <c r="CY130" i="2"/>
  <c r="CY72" i="2"/>
  <c r="CY105" i="2"/>
  <c r="CY32" i="2"/>
  <c r="CY84" i="2"/>
  <c r="CY13" i="2"/>
  <c r="CY11" i="2"/>
  <c r="CY51" i="2"/>
  <c r="CY188" i="2"/>
  <c r="CY139" i="2"/>
  <c r="CY122" i="2"/>
  <c r="CY71" i="2"/>
  <c r="CY88" i="2"/>
  <c r="CY48" i="2"/>
  <c r="CY47" i="2"/>
  <c r="CY8" i="2"/>
  <c r="CY60" i="2"/>
  <c r="CY180" i="2"/>
  <c r="CY187" i="2"/>
  <c r="CY128" i="2"/>
  <c r="CY5" i="2"/>
  <c r="CY106" i="2"/>
  <c r="CY100" i="2"/>
  <c r="CY75" i="2"/>
  <c r="CY153" i="2"/>
  <c r="CY115" i="2"/>
  <c r="CY63" i="2"/>
  <c r="CY154" i="2"/>
  <c r="CY185" i="2"/>
  <c r="CY18" i="2"/>
  <c r="CY85" i="2"/>
  <c r="CY44" i="2"/>
  <c r="CY148" i="2"/>
  <c r="CY140" i="2"/>
  <c r="CY135" i="2"/>
  <c r="CY136" i="2"/>
  <c r="CY87" i="2"/>
  <c r="CY156" i="2"/>
  <c r="CY186" i="2"/>
  <c r="CY98" i="2"/>
  <c r="CY65" i="2"/>
  <c r="CY120" i="2"/>
  <c r="CY86" i="2"/>
  <c r="CY146" i="2"/>
  <c r="CY189" i="2"/>
  <c r="CY70" i="2"/>
  <c r="CY163" i="2"/>
  <c r="CY126" i="2"/>
  <c r="CY159" i="2"/>
  <c r="CY97" i="2"/>
  <c r="CY177" i="2"/>
  <c r="CY147" i="2"/>
  <c r="CY57" i="2"/>
  <c r="CY89" i="2"/>
  <c r="CY133" i="2"/>
  <c r="CY45" i="2"/>
  <c r="CY36" i="2"/>
  <c r="CY129" i="2"/>
  <c r="CY17" i="2"/>
  <c r="CY171" i="2"/>
  <c r="CY40" i="2"/>
  <c r="CY178" i="2"/>
  <c r="CY58" i="2"/>
  <c r="CY114" i="2"/>
  <c r="CY170" i="2"/>
  <c r="CY22" i="2"/>
  <c r="CY61" i="2"/>
  <c r="CY38" i="2"/>
  <c r="CY31" i="2"/>
  <c r="CY173" i="2"/>
  <c r="CY21" i="2"/>
  <c r="CY94" i="2"/>
  <c r="CY184" i="2"/>
  <c r="CY12" i="2"/>
  <c r="CY124" i="2"/>
  <c r="CY179" i="2"/>
  <c r="CY160" i="2"/>
  <c r="CY69" i="2"/>
  <c r="CY4" i="2"/>
  <c r="CY74" i="2"/>
  <c r="CY53" i="2"/>
  <c r="CY50" i="2"/>
  <c r="CY79" i="2"/>
  <c r="CY149" i="2"/>
  <c r="CY54" i="2"/>
  <c r="CY91" i="2"/>
  <c r="CY197" i="2"/>
  <c r="CY99" i="2"/>
  <c r="CY46" i="2"/>
  <c r="CY202" i="2"/>
  <c r="CY107" i="2"/>
  <c r="CY81" i="2"/>
  <c r="CY68" i="2"/>
  <c r="CY55" i="2"/>
  <c r="CY14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CD167" i="2" l="1"/>
  <c r="CD73" i="2"/>
  <c r="CD136" i="2"/>
  <c r="CD84" i="2"/>
  <c r="CD182" i="2"/>
  <c r="CD147" i="2"/>
  <c r="CD102" i="2"/>
  <c r="CD116" i="2"/>
  <c r="CD164" i="2"/>
  <c r="CD67" i="2"/>
  <c r="CD6" i="2"/>
  <c r="CD120" i="2"/>
  <c r="CD192" i="2"/>
  <c r="CD96" i="2"/>
  <c r="CD137" i="2"/>
  <c r="CD66" i="2"/>
  <c r="CD83" i="2"/>
  <c r="CD189" i="2"/>
  <c r="CD128" i="2"/>
  <c r="CD31" i="2"/>
  <c r="CD176" i="2"/>
  <c r="CD195" i="2"/>
  <c r="CD125" i="2"/>
  <c r="CD23" i="2"/>
  <c r="CD174" i="2"/>
  <c r="CD141" i="2"/>
  <c r="CD191" i="2"/>
  <c r="CD34" i="2"/>
  <c r="CD95" i="2"/>
  <c r="CD151" i="2"/>
  <c r="CD158" i="2"/>
  <c r="CD111" i="2"/>
  <c r="CD37" i="2"/>
  <c r="CD22" i="2"/>
  <c r="CD196" i="2"/>
  <c r="CD178" i="2"/>
  <c r="CD180" i="2"/>
  <c r="CD162" i="2"/>
  <c r="CD155" i="2"/>
  <c r="CD163" i="2"/>
  <c r="CD190" i="2"/>
  <c r="CD29" i="2"/>
  <c r="CD170" i="2"/>
  <c r="CD154" i="2"/>
  <c r="CD44" i="2"/>
  <c r="CD71" i="2"/>
  <c r="CD70" i="2"/>
  <c r="CD181" i="2"/>
  <c r="CD193" i="2"/>
  <c r="CD68" i="2"/>
  <c r="CD156" i="2"/>
  <c r="CD160" i="2"/>
  <c r="CD63" i="2"/>
  <c r="CD90" i="2"/>
  <c r="CD50" i="2"/>
  <c r="CD47" i="2"/>
  <c r="CD60" i="2"/>
  <c r="CD112" i="2"/>
  <c r="CD146" i="2"/>
  <c r="CD173" i="2"/>
  <c r="CD108" i="2"/>
  <c r="CD13" i="2"/>
  <c r="CD169" i="2"/>
  <c r="CD35" i="2"/>
  <c r="CD76" i="2"/>
  <c r="CD177" i="2"/>
  <c r="CD82" i="2"/>
  <c r="CD92" i="2"/>
  <c r="CD74" i="2"/>
  <c r="CD148" i="2"/>
  <c r="CD143" i="2"/>
  <c r="CD139" i="2"/>
  <c r="CD20" i="2"/>
  <c r="CD149" i="2"/>
  <c r="CD200" i="2"/>
  <c r="CD121" i="2"/>
  <c r="CD52" i="2"/>
  <c r="CD86" i="2"/>
  <c r="CD80" i="2"/>
  <c r="CD186" i="2"/>
  <c r="CD115" i="2"/>
  <c r="CD85" i="2"/>
  <c r="CD117" i="2"/>
  <c r="CD14" i="2"/>
  <c r="CD144" i="2"/>
  <c r="CD21" i="2"/>
  <c r="CD107" i="2"/>
  <c r="CD39" i="2"/>
  <c r="CD49" i="2"/>
  <c r="CD30" i="2"/>
  <c r="CD40" i="2"/>
  <c r="CD203" i="2"/>
  <c r="CD113" i="2"/>
  <c r="CD11" i="2"/>
  <c r="CD36" i="2"/>
  <c r="CD104" i="2"/>
  <c r="CD38" i="2"/>
  <c r="CD130" i="2"/>
  <c r="CD16" i="2"/>
  <c r="CD123" i="2"/>
  <c r="CD201" i="2"/>
  <c r="CD109" i="2"/>
  <c r="CD87" i="2"/>
  <c r="CD69" i="2"/>
  <c r="CD33" i="2"/>
  <c r="CD175" i="2"/>
  <c r="CD5" i="2"/>
  <c r="CD122" i="2"/>
  <c r="CD129" i="2"/>
  <c r="CD98" i="2"/>
  <c r="CD8" i="2"/>
  <c r="CD27" i="2"/>
  <c r="CD48" i="2"/>
  <c r="CD78" i="2"/>
  <c r="CD42" i="2"/>
  <c r="CD56" i="2"/>
  <c r="CD187" i="2"/>
  <c r="CD165" i="2"/>
  <c r="CD75" i="2"/>
  <c r="CD7" i="2"/>
  <c r="CD197" i="2"/>
  <c r="CD105" i="2"/>
  <c r="CD10" i="2"/>
  <c r="CD64" i="2"/>
  <c r="CD15" i="2"/>
  <c r="CD18" i="2"/>
  <c r="CD198" i="2"/>
  <c r="CD72" i="2"/>
  <c r="CD12" i="2"/>
  <c r="CD131" i="2"/>
  <c r="CD54" i="2"/>
  <c r="CD168" i="2"/>
  <c r="CD89" i="2"/>
  <c r="CD100" i="2"/>
  <c r="CD81" i="2"/>
  <c r="CD99" i="2"/>
  <c r="CD45" i="2"/>
  <c r="CD61" i="2"/>
  <c r="CD26" i="2"/>
  <c r="CD97" i="2"/>
  <c r="CD124" i="2"/>
  <c r="CD183" i="2"/>
  <c r="CD161" i="2"/>
  <c r="CD65" i="2"/>
  <c r="CD62" i="2"/>
  <c r="CD101" i="2"/>
  <c r="CD24" i="2"/>
  <c r="CD135" i="2"/>
  <c r="CD127" i="2"/>
  <c r="CD77" i="2"/>
  <c r="CD46" i="2"/>
  <c r="CD88" i="2"/>
  <c r="CD28" i="2"/>
  <c r="CD110" i="2"/>
  <c r="CD172" i="2"/>
  <c r="CD55" i="2"/>
  <c r="CD157" i="2"/>
  <c r="CD199" i="2"/>
  <c r="CD93" i="2"/>
  <c r="CD171" i="2"/>
  <c r="CD9" i="2"/>
  <c r="CD25" i="2"/>
  <c r="CD150" i="2"/>
  <c r="CD185" i="2"/>
  <c r="CD3" i="2"/>
  <c r="C9" i="4" s="1"/>
  <c r="E9" i="4" s="1"/>
  <c r="F9" i="4" s="1"/>
  <c r="G9" i="4" s="1"/>
  <c r="L9" i="4" s="1"/>
  <c r="CD53" i="2"/>
  <c r="CD4" i="2"/>
  <c r="CD133" i="2"/>
  <c r="CD202" i="2"/>
  <c r="CD94" i="2"/>
  <c r="CD118" i="2"/>
  <c r="CD166" i="2"/>
  <c r="CD153" i="2"/>
  <c r="CD106" i="2"/>
  <c r="CD188" i="2"/>
  <c r="CD19" i="2"/>
  <c r="CD184" i="2"/>
  <c r="CD119" i="2"/>
  <c r="CD59" i="2"/>
  <c r="CD126" i="2"/>
  <c r="CD142" i="2"/>
  <c r="CD152" i="2"/>
  <c r="CD159" i="2"/>
  <c r="CD57" i="2"/>
  <c r="CD138" i="2"/>
  <c r="CD51" i="2"/>
  <c r="CD134" i="2"/>
  <c r="CD140" i="2"/>
  <c r="CD79" i="2"/>
  <c r="CD179" i="2"/>
  <c r="CD114" i="2"/>
  <c r="CD58" i="2"/>
  <c r="CD43" i="2"/>
  <c r="CD103" i="2"/>
  <c r="CD145" i="2"/>
  <c r="CD91" i="2"/>
  <c r="CD41" i="2"/>
  <c r="CD132" i="2"/>
  <c r="CD32" i="2"/>
  <c r="CD17" i="2"/>
  <c r="CD194" i="2"/>
  <c r="FE164" i="2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152" i="2" l="1"/>
  <c r="BI47" i="2"/>
  <c r="BI117" i="2"/>
  <c r="BI26" i="2"/>
  <c r="BI79" i="2"/>
  <c r="BI129" i="2"/>
  <c r="BI149" i="2"/>
  <c r="BI94" i="2"/>
  <c r="BI130" i="2"/>
  <c r="BI48" i="2"/>
  <c r="BI39" i="2"/>
  <c r="BI4" i="2"/>
  <c r="BI52" i="2"/>
  <c r="BI10" i="2"/>
  <c r="BI68" i="2"/>
  <c r="BI179" i="2"/>
  <c r="BI16" i="2"/>
  <c r="BI96" i="2"/>
  <c r="BI21" i="2"/>
  <c r="BI61" i="2"/>
  <c r="BI132" i="2"/>
  <c r="BI137" i="2"/>
  <c r="BI193" i="2"/>
  <c r="BI164" i="2"/>
  <c r="BI33" i="2"/>
  <c r="BI106" i="2"/>
  <c r="BI97" i="2"/>
  <c r="BI17" i="2"/>
  <c r="BI41" i="2"/>
  <c r="BI20" i="2"/>
  <c r="BI135" i="2"/>
  <c r="BI189" i="2"/>
  <c r="BI98" i="2"/>
  <c r="BI29" i="2"/>
  <c r="BI172" i="2"/>
  <c r="BI157" i="2"/>
  <c r="BI196" i="2"/>
  <c r="BI30" i="2"/>
  <c r="BI168" i="2"/>
  <c r="BI84" i="2"/>
  <c r="BI44" i="2"/>
  <c r="BI11" i="2"/>
  <c r="BI201" i="2"/>
  <c r="BI86" i="2"/>
  <c r="BI191" i="2"/>
  <c r="BI113" i="2"/>
  <c r="BI105" i="2"/>
  <c r="BI7" i="2"/>
  <c r="BI58" i="2"/>
  <c r="BI159" i="2"/>
  <c r="BI199" i="2"/>
  <c r="BI74" i="2"/>
  <c r="BI12" i="2"/>
  <c r="BI144" i="2"/>
  <c r="BI112" i="2"/>
  <c r="BI76" i="2"/>
  <c r="BI146" i="2"/>
  <c r="BI77" i="2"/>
  <c r="BI64" i="2"/>
  <c r="BI120" i="2"/>
  <c r="BI162" i="2"/>
  <c r="BI114" i="2"/>
  <c r="BI100" i="2"/>
  <c r="BI192" i="2"/>
  <c r="BI131" i="2"/>
  <c r="BI69" i="2"/>
  <c r="BI177" i="2"/>
  <c r="BI56" i="2"/>
  <c r="BI103" i="2"/>
  <c r="BI90" i="2"/>
  <c r="BI82" i="2"/>
  <c r="BI141" i="2"/>
  <c r="BI136" i="2"/>
  <c r="BI62" i="2"/>
  <c r="BI99" i="2"/>
  <c r="BI154" i="2"/>
  <c r="BI87" i="2"/>
  <c r="BI125" i="2"/>
  <c r="BI50" i="2"/>
  <c r="BI88" i="2"/>
  <c r="BI151" i="2"/>
  <c r="BI63" i="2"/>
  <c r="BI186" i="2"/>
  <c r="BI53" i="2"/>
  <c r="BI147" i="2"/>
  <c r="BI36" i="2"/>
  <c r="BI134" i="2"/>
  <c r="BI161" i="2"/>
  <c r="BI95" i="2"/>
  <c r="BI167" i="2"/>
  <c r="BI37" i="2"/>
  <c r="BI163" i="2"/>
  <c r="BI23" i="2"/>
  <c r="BI59" i="2"/>
  <c r="BI57" i="2"/>
  <c r="BI116" i="2"/>
  <c r="BI34" i="2"/>
  <c r="BI109" i="2"/>
  <c r="BI73" i="2"/>
  <c r="BI170" i="2"/>
  <c r="BI123" i="2"/>
  <c r="BI35" i="2"/>
  <c r="BI9" i="2"/>
  <c r="BI72" i="2"/>
  <c r="BI181" i="2"/>
  <c r="BI15" i="2"/>
  <c r="BI38" i="2"/>
  <c r="BI128" i="2"/>
  <c r="BI85" i="2"/>
  <c r="BI5" i="2"/>
  <c r="BI71" i="2"/>
  <c r="BI176" i="2"/>
  <c r="BI175" i="2"/>
  <c r="BI127" i="2"/>
  <c r="BI27" i="2"/>
  <c r="BI45" i="2"/>
  <c r="BI115" i="2"/>
  <c r="BI32" i="2"/>
  <c r="BI158" i="2"/>
  <c r="BI160" i="2"/>
  <c r="BI18" i="2"/>
  <c r="BI178" i="2"/>
  <c r="BI200" i="2"/>
  <c r="BI124" i="2"/>
  <c r="BI133" i="2"/>
  <c r="BI55" i="2"/>
  <c r="BI150" i="2"/>
  <c r="BI143" i="2"/>
  <c r="BI183" i="2"/>
  <c r="BI111" i="2"/>
  <c r="BI51" i="2"/>
  <c r="BI54" i="2"/>
  <c r="BI70" i="2"/>
  <c r="BI42" i="2"/>
  <c r="BI198" i="2"/>
  <c r="BI166" i="2"/>
  <c r="BI108" i="2"/>
  <c r="BI140" i="2"/>
  <c r="BI43" i="2"/>
  <c r="BI155" i="2"/>
  <c r="BI65" i="2"/>
  <c r="BI139" i="2"/>
  <c r="BI22" i="2"/>
  <c r="BI122" i="2"/>
  <c r="BI121" i="2"/>
  <c r="BI46" i="2"/>
  <c r="BI107" i="2"/>
  <c r="BI92" i="2"/>
  <c r="BI142" i="2"/>
  <c r="BI3" i="2"/>
  <c r="C8" i="4" s="1"/>
  <c r="E8" i="4" s="1"/>
  <c r="F8" i="4" s="1"/>
  <c r="G8" i="4" s="1"/>
  <c r="L8" i="4" s="1"/>
  <c r="BI180" i="2"/>
  <c r="BI40" i="2"/>
  <c r="BI93" i="2"/>
  <c r="BI156" i="2"/>
  <c r="BI197" i="2"/>
  <c r="BI66" i="2"/>
  <c r="BI14" i="2"/>
  <c r="BI110" i="2"/>
  <c r="BI148" i="2"/>
  <c r="BI126" i="2"/>
  <c r="BI101" i="2"/>
  <c r="BI67" i="2"/>
  <c r="BI104" i="2"/>
  <c r="BI145" i="2"/>
  <c r="BI190" i="2"/>
  <c r="BI202" i="2"/>
  <c r="BI25" i="2"/>
  <c r="BI182" i="2"/>
  <c r="BI195" i="2"/>
  <c r="BI171" i="2"/>
  <c r="BI91" i="2"/>
  <c r="BI169" i="2"/>
  <c r="BI118" i="2"/>
  <c r="BI203" i="2"/>
  <c r="BI31" i="2"/>
  <c r="BI6" i="2"/>
  <c r="BI24" i="2"/>
  <c r="BI75" i="2"/>
  <c r="BI28" i="2"/>
  <c r="BI187" i="2"/>
  <c r="BI19" i="2"/>
  <c r="BI188" i="2"/>
  <c r="BI13" i="2"/>
  <c r="BI8" i="2"/>
  <c r="BI185" i="2"/>
  <c r="BI165" i="2"/>
  <c r="BI174" i="2"/>
  <c r="BI173" i="2"/>
  <c r="BI49" i="2"/>
  <c r="BI83" i="2"/>
  <c r="BI78" i="2"/>
  <c r="BI194" i="2"/>
  <c r="BI153" i="2"/>
  <c r="BI81" i="2"/>
  <c r="BI119" i="2"/>
  <c r="BI102" i="2"/>
  <c r="BI138" i="2"/>
  <c r="BI184" i="2"/>
  <c r="BI60" i="2"/>
  <c r="BI89" i="2"/>
  <c r="BI8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<sst xmlns="http://schemas.openxmlformats.org/spreadsheetml/2006/main" count="1171" uniqueCount="324">
  <si>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</si>
  <si>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</si>
  <si>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</si>
  <si>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</si>
  <si>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</si>
  <si>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</si>
  <si>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</si>
  <si>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</si>
  <si>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</si>
  <si>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</si>
  <si>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</si>
  <si>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</si>
  <si>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</si>
  <si>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</si>
  <si>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</si>
  <si>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</si>
  <si>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Douglas</t>
  </si>
  <si>
    <t>NB : La durée de révolution doit être identique à la dernière année indiquée dans la table de production renseignée en dessous</t>
  </si>
  <si>
    <t>Essence 2</t>
  </si>
  <si>
    <t>Mélèze d'Europe</t>
  </si>
  <si>
    <t>Essence 3</t>
  </si>
  <si>
    <t>Chêne pubescent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</si>
  <si>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</si>
  <si>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</si>
  <si>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</si>
  <si>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</si>
  <si>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</si>
  <si>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</si>
  <si>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</si>
  <si>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</si>
  <si>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</si>
  <si>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</si>
  <si>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</si>
  <si>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</si>
  <si>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</si>
  <si>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</si>
  <si>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</si>
  <si>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</si>
  <si>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</si>
  <si>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</si>
  <si>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</si>
  <si>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</si>
  <si>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</si>
  <si>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</si>
  <si>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</si>
  <si>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</si>
  <si>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</si>
  <si>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</si>
  <si>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</si>
  <si>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</si>
  <si>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</si>
  <si>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</si>
  <si>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</si>
  <si>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</si>
  <si>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</si>
  <si>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</si>
  <si>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</si>
  <si>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</si>
  <si>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</si>
  <si>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</si>
  <si>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</si>
  <si>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</si>
  <si>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</si>
  <si>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</si>
  <si>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</si>
  <si>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</si>
  <si>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</si>
  <si>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</si>
  <si>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</si>
  <si>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</si>
  <si>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Epicéa de Sitka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</si>
  <si>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</si>
  <si>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</si>
  <si>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</si>
  <si>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</si>
  <si>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</si>
  <si>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</si>
  <si>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</si>
  <si>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</si>
  <si>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</si>
  <si>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</si>
  <si>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</si>
  <si>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</si>
  <si>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</si>
  <si>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</si>
  <si>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</si>
  <si>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</si>
  <si>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</si>
  <si>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</si>
  <si>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</si>
  <si>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</si>
  <si>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</si>
  <si>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</si>
  <si>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</si>
  <si>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</si>
  <si>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</si>
  <si>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</si>
  <si>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</si>
  <si>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</si>
  <si>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</si>
  <si>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</si>
  <si>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</si>
  <si>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</si>
  <si>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</si>
  <si>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</si>
  <si>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</si>
  <si>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</si>
  <si>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</si>
  <si>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</si>
  <si>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</si>
  <si>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</si>
  <si>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</si>
  <si>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</si>
  <si>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</si>
  <si>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</si>
  <si>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</si>
  <si>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</si>
  <si>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</si>
  <si>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</si>
  <si>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</si>
  <si>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</si>
  <si>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</si>
  <si>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</si>
  <si>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</si>
  <si>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</si>
  <si>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</si>
  <si>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</si>
  <si>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</si>
  <si>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</si>
  <si>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</si>
  <si>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</si>
  <si>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</si>
  <si>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</si>
  <si>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</si>
  <si>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</si>
  <si>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</si>
  <si>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</si>
  <si>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</si>
  <si>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</si>
  <si>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</si>
  <si>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</si>
  <si>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</si>
  <si>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</si>
  <si>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</si>
  <si>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</si>
  <si>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</si>
  <si>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</si>
  <si>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</si>
  <si>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</si>
  <si>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</si>
  <si>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</si>
  <si>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</si>
  <si>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</si>
  <si>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</si>
  <si>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</si>
  <si>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</si>
  <si>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</si>
  <si>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</si>
  <si>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</si>
  <si>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Pseudotsuga menziesii</t>
  </si>
  <si>
    <t>Epicéa commun</t>
  </si>
  <si>
    <t>Picea abies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</si>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</sst>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21" borderId="54" xfId="0" applyFont="1" applyFill="1" applyBorder="1" applyAlignment="1" applyProtection="1">
      <alignment horizontal="center"/>
      <protection locked="0" hidden="1"/>
    </xf>
    <xf numFmtId="0" fontId="9" fillId="21" borderId="54" xfId="0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/>
      <protection locked="0" hidden="1"/>
    </xf>
    <xf numFmtId="9" fontId="9" fillId="21" borderId="54" xfId="1" applyFont="1" applyFill="1" applyBorder="1" applyAlignment="1" applyProtection="1">
      <alignment horizontal="center" vertical="center"/>
      <protection locked="0" hidden="1"/>
    </xf>
    <xf numFmtId="0" fontId="9" fillId="21" borderId="54" xfId="0" applyFont="1" applyFill="1" applyBorder="1" applyAlignment="1" applyProtection="1">
      <alignment horizontal="center" vertical="center"/>
      <protection locked="0" hidden="1"/>
    </xf>
    <xf numFmtId="9" fontId="9" fillId="21" borderId="54" xfId="1" applyFont="1" applyFill="1" applyBorder="1" applyAlignment="1" applyProtection="1">
      <alignment horizontal="center"/>
      <protection locked="0"/>
    </xf>
    <xf numFmtId="9" fontId="9" fillId="21" borderId="54" xfId="1" applyFont="1" applyFill="1" applyBorder="1" applyAlignment="1" applyProtection="1">
      <alignment horizontal="center" vertical="center"/>
      <protection locked="0"/>
    </xf>
    <xf numFmtId="0" fontId="9" fillId="21" borderId="54" xfId="0" applyFont="1" applyFill="1" applyBorder="1" applyAlignment="1" applyProtection="1">
      <alignment horizontal="center" vertic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151.33494848914384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2.1470376753052474</c:v>
                </c:pt>
                <c:pt idx="2">
                  <c:v>2.972947942654844</c:v>
                </c:pt>
                <c:pt idx="3">
                  <c:v>4.117930265867856</c:v>
                </c:pt>
                <c:pt idx="4">
                  <c:v>5.7057474873861986</c:v>
                </c:pt>
                <c:pt idx="5">
                  <c:v>7.9083477474801613</c:v>
                </c:pt>
                <c:pt idx="6">
                  <c:v>10.964689535737344</c:v>
                </c:pt>
                <c:pt idx="7">
                  <c:v>15.206944594451004</c:v>
                </c:pt>
                <c:pt idx="8">
                  <c:v>21.096978508050285</c:v>
                </c:pt>
                <c:pt idx="9">
                  <c:v>29.277151553198568</c:v>
                </c:pt>
                <c:pt idx="10">
                  <c:v>40.641076503223253</c:v>
                </c:pt>
                <c:pt idx="11">
                  <c:v>56.432194246454053</c:v>
                </c:pt>
                <c:pt idx="12">
                  <c:v>78.381131814000284</c:v>
                </c:pt>
                <c:pt idx="13">
                  <c:v>108.8971392424794</c:v>
                </c:pt>
                <c:pt idx="14">
                  <c:v>151.33494848914384</c:v>
                </c:pt>
                <c:pt idx="15">
                  <c:v>128.49351401488121</c:v>
                </c:pt>
                <c:pt idx="16">
                  <c:v>152.53988816763052</c:v>
                </c:pt>
                <c:pt idx="17">
                  <c:v>176.49586999908536</c:v>
                </c:pt>
                <c:pt idx="18">
                  <c:v>200.37547244281245</c:v>
                </c:pt>
                <c:pt idx="19">
                  <c:v>224.1890839328014</c:v>
                </c:pt>
                <c:pt idx="20">
                  <c:v>175.85827410459763</c:v>
                </c:pt>
                <c:pt idx="21">
                  <c:v>198.54114021779466</c:v>
                </c:pt>
                <c:pt idx="22">
                  <c:v>221.16386637311734</c:v>
                </c:pt>
                <c:pt idx="23">
                  <c:v>243.73347018256243</c:v>
                </c:pt>
                <c:pt idx="24">
                  <c:v>266.25556181785288</c:v>
                </c:pt>
                <c:pt idx="25">
                  <c:v>288.73472412555702</c:v>
                </c:pt>
                <c:pt idx="26">
                  <c:v>241.99735741936021</c:v>
                </c:pt>
                <c:pt idx="27">
                  <c:v>263.22482328379903</c:v>
                </c:pt>
                <c:pt idx="28">
                  <c:v>284.4136721035909</c:v>
                </c:pt>
                <c:pt idx="29">
                  <c:v>305.56718441239605</c:v>
                </c:pt>
                <c:pt idx="30">
                  <c:v>326.68814940743124</c:v>
                </c:pt>
                <c:pt idx="31">
                  <c:v>347.77896621716781</c:v>
                </c:pt>
                <c:pt idx="32">
                  <c:v>368.84171929427953</c:v>
                </c:pt>
                <c:pt idx="33">
                  <c:v>306.2657315466613</c:v>
                </c:pt>
                <c:pt idx="34">
                  <c:v>325.34802988622556</c:v>
                </c:pt>
                <c:pt idx="35">
                  <c:v>344.40560805799936</c:v>
                </c:pt>
                <c:pt idx="36">
                  <c:v>363.44002584805617</c:v>
                </c:pt>
                <c:pt idx="37">
                  <c:v>382.45266636774096</c:v>
                </c:pt>
                <c:pt idx="38">
                  <c:v>401.44476403526886</c:v>
                </c:pt>
                <c:pt idx="39">
                  <c:v>420.41742698462758</c:v>
                </c:pt>
                <c:pt idx="40">
                  <c:v>439.37165521801171</c:v>
                </c:pt>
                <c:pt idx="41">
                  <c:v>458.30835546266059</c:v>
                </c:pt>
                <c:pt idx="42">
                  <c:v>477.2283534445549</c:v>
                </c:pt>
                <c:pt idx="43">
                  <c:v>496.13240411472333</c:v>
                </c:pt>
                <c:pt idx="44">
                  <c:v>515.02120023621637</c:v>
                </c:pt>
                <c:pt idx="45">
                  <c:v>533.89537964621024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6.9531722876124533</c:v>
                </c:pt>
                <c:pt idx="2">
                  <c:v>13.593881090152662</c:v>
                </c:pt>
                <c:pt idx="3">
                  <c:v>20.133679871700313</c:v>
                </c:pt>
                <c:pt idx="4">
                  <c:v>26.611275368390967</c:v>
                </c:pt>
                <c:pt idx="5">
                  <c:v>33.04421074193197</c:v>
                </c:pt>
                <c:pt idx="6">
                  <c:v>39.442493344208657</c:v>
                </c:pt>
                <c:pt idx="7">
                  <c:v>45.812574528041601</c:v>
                </c:pt>
                <c:pt idx="8">
                  <c:v>52.158947915369588</c:v>
                </c:pt>
                <c:pt idx="9">
                  <c:v>58.484916375481056</c:v>
                </c:pt>
                <c:pt idx="10">
                  <c:v>64.793005748209879</c:v>
                </c:pt>
                <c:pt idx="11">
                  <c:v>71.085207472703047</c:v>
                </c:pt>
                <c:pt idx="12">
                  <c:v>77.363130140553793</c:v>
                </c:pt>
                <c:pt idx="13">
                  <c:v>83.628098956643271</c:v>
                </c:pt>
                <c:pt idx="14">
                  <c:v>89.881223666614758</c:v>
                </c:pt>
                <c:pt idx="15">
                  <c:v>96.12344649767374</c:v>
                </c:pt>
                <c:pt idx="16">
                  <c:v>102.35557693924579</c:v>
                </c:pt>
                <c:pt idx="17">
                  <c:v>108.57831757551719</c:v>
                </c:pt>
                <c:pt idx="18">
                  <c:v>114.79228366435892</c:v>
                </c:pt>
                <c:pt idx="19">
                  <c:v>120.99801824064345</c:v>
                </c:pt>
                <c:pt idx="20">
                  <c:v>127.19600394920758</c:v>
                </c:pt>
                <c:pt idx="21">
                  <c:v>133.38667244396808</c:v>
                </c:pt>
                <c:pt idx="22">
                  <c:v>139.57041194600416</c:v>
                </c:pt>
                <c:pt idx="23">
                  <c:v>145.74757338859791</c:v>
                </c:pt>
                <c:pt idx="24">
                  <c:v>151.91847546341617</c:v>
                </c:pt>
                <c:pt idx="25">
                  <c:v>158.08340880196369</c:v>
                </c:pt>
                <c:pt idx="26">
                  <c:v>164.24263946917114</c:v>
                </c:pt>
                <c:pt idx="27">
                  <c:v>170.39641190439042</c:v>
                </c:pt>
                <c:pt idx="28">
                  <c:v>176.54495141443863</c:v>
                </c:pt>
                <c:pt idx="29">
                  <c:v>182.68846630048458</c:v>
                </c:pt>
                <c:pt idx="30">
                  <c:v>188.82714968332979</c:v>
                </c:pt>
                <c:pt idx="31">
                  <c:v>194.96118107848235</c:v>
                </c:pt>
                <c:pt idx="32">
                  <c:v>201.09072776228564</c:v>
                </c:pt>
                <c:pt idx="33">
                  <c:v>207.21594596248477</c:v>
                </c:pt>
                <c:pt idx="34">
                  <c:v>213.33698190042639</c:v>
                </c:pt>
                <c:pt idx="35">
                  <c:v>219.45397270720181</c:v>
                </c:pt>
                <c:pt idx="36">
                  <c:v>225.56704723214526</c:v>
                </c:pt>
                <c:pt idx="37">
                  <c:v>231.67632675897323</c:v>
                </c:pt>
                <c:pt idx="38">
                  <c:v>237.78192564232609</c:v>
                </c:pt>
                <c:pt idx="39">
                  <c:v>136.41628600094043</c:v>
                </c:pt>
                <c:pt idx="40">
                  <c:v>149.24264861303934</c:v>
                </c:pt>
                <c:pt idx="41">
                  <c:v>162.04271519360637</c:v>
                </c:pt>
                <c:pt idx="42">
                  <c:v>174.81885719565639</c:v>
                </c:pt>
                <c:pt idx="43">
                  <c:v>187.57307061507251</c:v>
                </c:pt>
                <c:pt idx="44">
                  <c:v>200.30705749115396</c:v>
                </c:pt>
                <c:pt idx="45">
                  <c:v>213.02228554617568</c:v>
                </c:pt>
                <c:pt idx="46">
                  <c:v>166.7701010036146</c:v>
                </c:pt>
                <c:pt idx="47">
                  <c:v>179.61314524327506</c:v>
                </c:pt>
                <c:pt idx="48">
                  <c:v>192.43467951212551</c:v>
                </c:pt>
                <c:pt idx="49">
                  <c:v>205.2363397206577</c:v>
                </c:pt>
                <c:pt idx="50">
                  <c:v>218.01954081975646</c:v>
                </c:pt>
                <c:pt idx="51">
                  <c:v>230.78551813386949</c:v>
                </c:pt>
                <c:pt idx="52">
                  <c:v>243.53535905475849</c:v>
                </c:pt>
                <c:pt idx="53">
                  <c:v>196.18744400735099</c:v>
                </c:pt>
                <c:pt idx="54">
                  <c:v>208.72035404429269</c:v>
                </c:pt>
                <c:pt idx="55">
                  <c:v>221.23589606920302</c:v>
                </c:pt>
                <c:pt idx="56">
                  <c:v>233.73519153708011</c:v>
                </c:pt>
                <c:pt idx="57">
                  <c:v>246.21923207256509</c:v>
                </c:pt>
                <c:pt idx="58">
                  <c:v>258.6889004632032</c:v>
                </c:pt>
                <c:pt idx="59">
                  <c:v>271.14498738843383</c:v>
                </c:pt>
                <c:pt idx="60">
                  <c:v>228.42723716519558</c:v>
                </c:pt>
                <c:pt idx="61">
                  <c:v>240.65903385392286</c:v>
                </c:pt>
                <c:pt idx="62">
                  <c:v>252.87668264918815</c:v>
                </c:pt>
                <c:pt idx="63">
                  <c:v>265.08096372831534</c:v>
                </c:pt>
                <c:pt idx="64">
                  <c:v>277.2725795213999</c:v>
                </c:pt>
                <c:pt idx="65">
                  <c:v>289.45216561032447</c:v>
                </c:pt>
                <c:pt idx="66">
                  <c:v>301.62029969593647</c:v>
                </c:pt>
                <c:pt idx="67">
                  <c:v>313.77750904152498</c:v>
                </c:pt>
                <c:pt idx="68">
                  <c:v>271.02327338000504</c:v>
                </c:pt>
                <c:pt idx="69">
                  <c:v>283.00918778751242</c:v>
                </c:pt>
                <c:pt idx="70">
                  <c:v>294.98373368509925</c:v>
                </c:pt>
                <c:pt idx="71">
                  <c:v>306.94743777439413</c:v>
                </c:pt>
                <c:pt idx="72">
                  <c:v>318.90078232941602</c:v>
                </c:pt>
                <c:pt idx="73">
                  <c:v>330.84421050448668</c:v>
                </c:pt>
                <c:pt idx="74">
                  <c:v>342.77813083525422</c:v>
                </c:pt>
                <c:pt idx="75">
                  <c:v>354.70292107988558</c:v>
                </c:pt>
                <c:pt idx="76">
                  <c:v>311.09383900194825</c:v>
                </c:pt>
                <c:pt idx="77">
                  <c:v>322.7694632754218</c:v>
                </c:pt>
                <c:pt idx="78">
                  <c:v>334.43575110177943</c:v>
                </c:pt>
                <c:pt idx="79">
                  <c:v>346.09307417566623</c:v>
                </c:pt>
                <c:pt idx="80">
                  <c:v>357.74177710026783</c:v>
                </c:pt>
                <c:pt idx="81">
                  <c:v>369.38218019859431</c:v>
                </c:pt>
                <c:pt idx="82">
                  <c:v>381.01458195178333</c:v>
                </c:pt>
                <c:pt idx="83">
                  <c:v>392.63926112401595</c:v>
                </c:pt>
                <c:pt idx="84">
                  <c:v>341.18094171127962</c:v>
                </c:pt>
                <c:pt idx="85">
                  <c:v>352.52496362533583</c:v>
                </c:pt>
                <c:pt idx="86">
                  <c:v>363.86098601251632</c:v>
                </c:pt>
                <c:pt idx="87">
                  <c:v>375.18929329770953</c:v>
                </c:pt>
                <c:pt idx="88">
                  <c:v>386.51015132356696</c:v>
                </c:pt>
                <c:pt idx="89">
                  <c:v>397.82380908487062</c:v>
                </c:pt>
                <c:pt idx="90">
                  <c:v>409.13050025527082</c:v>
                </c:pt>
                <c:pt idx="91">
                  <c:v>420.43044453641897</c:v>
                </c:pt>
                <c:pt idx="92">
                  <c:v>431.72384885447292</c:v>
                </c:pt>
                <c:pt idx="93">
                  <c:v>443.01090842486434</c:v>
                </c:pt>
                <c:pt idx="94">
                  <c:v>370.00730255692798</c:v>
                </c:pt>
                <c:pt idx="95">
                  <c:v>380.94957965629055</c:v>
                </c:pt>
                <c:pt idx="96">
                  <c:v>391.88502191435902</c:v>
                </c:pt>
                <c:pt idx="97">
                  <c:v>402.81384699259871</c:v>
                </c:pt>
                <c:pt idx="98">
                  <c:v>413.73625977485568</c:v>
                </c:pt>
                <c:pt idx="99">
                  <c:v>424.65245344218903</c:v>
                </c:pt>
                <c:pt idx="100">
                  <c:v>435.5626104314062</c:v>
                </c:pt>
                <c:pt idx="101">
                  <c:v>446.46690329253869</c:v>
                </c:pt>
                <c:pt idx="102">
                  <c:v>457.36549545817599</c:v>
                </c:pt>
                <c:pt idx="103">
                  <c:v>468.25854193564169</c:v>
                </c:pt>
                <c:pt idx="104">
                  <c:v>395.19378372335245</c:v>
                </c:pt>
                <c:pt idx="105">
                  <c:v>405.79206112173142</c:v>
                </c:pt>
                <c:pt idx="106">
                  <c:v>416.3843568329375</c:v>
                </c:pt>
                <c:pt idx="107">
                  <c:v>426.97084451340658</c:v>
                </c:pt>
                <c:pt idx="108">
                  <c:v>437.55168850355238</c:v>
                </c:pt>
                <c:pt idx="109">
                  <c:v>448.12704454555234</c:v>
                </c:pt>
                <c:pt idx="110">
                  <c:v>458.69706042984222</c:v>
                </c:pt>
                <c:pt idx="111">
                  <c:v>469.26187657890824</c:v>
                </c:pt>
                <c:pt idx="112">
                  <c:v>479.82162657576509</c:v>
                </c:pt>
                <c:pt idx="113">
                  <c:v>490.37643764348712</c:v>
                </c:pt>
                <c:pt idx="114">
                  <c:v>416.55774511870476</c:v>
                </c:pt>
                <c:pt idx="115">
                  <c:v>427.04658933548671</c:v>
                </c:pt>
                <c:pt idx="116">
                  <c:v>437.52989455554535</c:v>
                </c:pt>
                <c:pt idx="117">
                  <c:v>448.00781223224084</c:v>
                </c:pt>
                <c:pt idx="118">
                  <c:v>458.48048615529615</c:v>
                </c:pt>
                <c:pt idx="119">
                  <c:v>468.94805300852431</c:v>
                </c:pt>
                <c:pt idx="120">
                  <c:v>479.41064287516309</c:v>
                </c:pt>
                <c:pt idx="121">
                  <c:v>489.86837969679397</c:v>
                </c:pt>
                <c:pt idx="122">
                  <c:v>500.32138169103581</c:v>
                </c:pt>
                <c:pt idx="123">
                  <c:v>510.76976173251086</c:v>
                </c:pt>
                <c:pt idx="124">
                  <c:v>266.69292798138343</c:v>
                </c:pt>
                <c:pt idx="125">
                  <c:v>272.59386927856934</c:v>
                </c:pt>
                <c:pt idx="126">
                  <c:v>189.12519449412366</c:v>
                </c:pt>
                <c:pt idx="127">
                  <c:v>193.19738344631071</c:v>
                </c:pt>
                <c:pt idx="128">
                  <c:v>138.7149037276624</c:v>
                </c:pt>
                <c:pt idx="129">
                  <c:v>141.72040126908345</c:v>
                </c:pt>
                <c:pt idx="130">
                  <c:v>144.72437036508606</c:v>
                </c:pt>
                <c:pt idx="131">
                  <c:v>7.8156128067489661E-13</c:v>
                </c:pt>
                <c:pt idx="132">
                  <c:v>7.8156128067489661E-13</c:v>
                </c:pt>
                <c:pt idx="133">
                  <c:v>7.8156128067489661E-13</c:v>
                </c:pt>
                <c:pt idx="134">
                  <c:v>7.8156128067489661E-13</c:v>
                </c:pt>
                <c:pt idx="135">
                  <c:v>7.8156128067489661E-13</c:v>
                </c:pt>
                <c:pt idx="136">
                  <c:v>7.8156128067489661E-13</c:v>
                </c:pt>
                <c:pt idx="137">
                  <c:v>7.8156128067489661E-13</c:v>
                </c:pt>
                <c:pt idx="138">
                  <c:v>7.8156128067489661E-13</c:v>
                </c:pt>
                <c:pt idx="139">
                  <c:v>7.8156128067489661E-13</c:v>
                </c:pt>
                <c:pt idx="140">
                  <c:v>7.8156128067489661E-13</c:v>
                </c:pt>
                <c:pt idx="141">
                  <c:v>7.8156128067489661E-13</c:v>
                </c:pt>
                <c:pt idx="142">
                  <c:v>7.8156128067489661E-13</c:v>
                </c:pt>
                <c:pt idx="143">
                  <c:v>7.8156128067489661E-13</c:v>
                </c:pt>
                <c:pt idx="144">
                  <c:v>7.8156128067489661E-13</c:v>
                </c:pt>
                <c:pt idx="145">
                  <c:v>7.8156128067489661E-13</c:v>
                </c:pt>
                <c:pt idx="146">
                  <c:v>7.8156128067489661E-13</c:v>
                </c:pt>
                <c:pt idx="147">
                  <c:v>7.8156128067489661E-13</c:v>
                </c:pt>
                <c:pt idx="148">
                  <c:v>7.8156128067489661E-13</c:v>
                </c:pt>
                <c:pt idx="149">
                  <c:v>7.8156128067489661E-13</c:v>
                </c:pt>
                <c:pt idx="150">
                  <c:v>7.8156128067489661E-13</c:v>
                </c:pt>
                <c:pt idx="151">
                  <c:v>7.8156128067489661E-13</c:v>
                </c:pt>
                <c:pt idx="152">
                  <c:v>7.8156128067489661E-13</c:v>
                </c:pt>
                <c:pt idx="153">
                  <c:v>7.8156128067489661E-13</c:v>
                </c:pt>
                <c:pt idx="154">
                  <c:v>7.8156128067489661E-13</c:v>
                </c:pt>
                <c:pt idx="155">
                  <c:v>7.8156128067489661E-13</c:v>
                </c:pt>
                <c:pt idx="156">
                  <c:v>7.8156128067489661E-13</c:v>
                </c:pt>
                <c:pt idx="157">
                  <c:v>7.8156128067489661E-13</c:v>
                </c:pt>
                <c:pt idx="158">
                  <c:v>7.8156128067489661E-13</c:v>
                </c:pt>
                <c:pt idx="159">
                  <c:v>7.8156128067489661E-13</c:v>
                </c:pt>
                <c:pt idx="160">
                  <c:v>7.8156128067489661E-13</c:v>
                </c:pt>
                <c:pt idx="161">
                  <c:v>7.8156128067489661E-13</c:v>
                </c:pt>
                <c:pt idx="162">
                  <c:v>7.8156128067489661E-13</c:v>
                </c:pt>
                <c:pt idx="163">
                  <c:v>7.8156128067489661E-13</c:v>
                </c:pt>
                <c:pt idx="164">
                  <c:v>7.8156128067489661E-13</c:v>
                </c:pt>
                <c:pt idx="165">
                  <c:v>7.8156128067489661E-13</c:v>
                </c:pt>
                <c:pt idx="166">
                  <c:v>7.8156128067489661E-13</c:v>
                </c:pt>
                <c:pt idx="167">
                  <c:v>7.8156128067489661E-13</c:v>
                </c:pt>
                <c:pt idx="168">
                  <c:v>7.8156128067489661E-13</c:v>
                </c:pt>
                <c:pt idx="169">
                  <c:v>7.8156128067489661E-13</c:v>
                </c:pt>
                <c:pt idx="170">
                  <c:v>7.8156128067489661E-13</c:v>
                </c:pt>
                <c:pt idx="171">
                  <c:v>7.8156128067489661E-13</c:v>
                </c:pt>
                <c:pt idx="172">
                  <c:v>7.8156128067489661E-13</c:v>
                </c:pt>
                <c:pt idx="173">
                  <c:v>7.8156128067489661E-13</c:v>
                </c:pt>
                <c:pt idx="174">
                  <c:v>7.8156128067489661E-13</c:v>
                </c:pt>
                <c:pt idx="175">
                  <c:v>7.8156128067489661E-13</c:v>
                </c:pt>
                <c:pt idx="176">
                  <c:v>7.8156128067489661E-13</c:v>
                </c:pt>
                <c:pt idx="177">
                  <c:v>7.8156128067489661E-13</c:v>
                </c:pt>
                <c:pt idx="178">
                  <c:v>7.8156128067489661E-13</c:v>
                </c:pt>
                <c:pt idx="179">
                  <c:v>7.8156128067489661E-13</c:v>
                </c:pt>
                <c:pt idx="180">
                  <c:v>7.8156128067489661E-13</c:v>
                </c:pt>
                <c:pt idx="181">
                  <c:v>7.8156128067489661E-13</c:v>
                </c:pt>
                <c:pt idx="182">
                  <c:v>7.8156128067489661E-13</c:v>
                </c:pt>
                <c:pt idx="183">
                  <c:v>7.8156128067489661E-13</c:v>
                </c:pt>
                <c:pt idx="184">
                  <c:v>7.8156128067489661E-13</c:v>
                </c:pt>
                <c:pt idx="185">
                  <c:v>7.8156128067489661E-13</c:v>
                </c:pt>
                <c:pt idx="186">
                  <c:v>7.8156128067489661E-13</c:v>
                </c:pt>
                <c:pt idx="187">
                  <c:v>7.8156128067489661E-13</c:v>
                </c:pt>
                <c:pt idx="188">
                  <c:v>7.8156128067489661E-13</c:v>
                </c:pt>
                <c:pt idx="189">
                  <c:v>7.8156128067489661E-13</c:v>
                </c:pt>
                <c:pt idx="190">
                  <c:v>7.8156128067489661E-13</c:v>
                </c:pt>
                <c:pt idx="191">
                  <c:v>7.8156128067489661E-13</c:v>
                </c:pt>
                <c:pt idx="192">
                  <c:v>7.8156128067489661E-13</c:v>
                </c:pt>
                <c:pt idx="193">
                  <c:v>7.8156128067489661E-13</c:v>
                </c:pt>
                <c:pt idx="194">
                  <c:v>7.8156128067489661E-13</c:v>
                </c:pt>
                <c:pt idx="195">
                  <c:v>7.8156128067489661E-13</c:v>
                </c:pt>
                <c:pt idx="196">
                  <c:v>7.8156128067489661E-13</c:v>
                </c:pt>
                <c:pt idx="197">
                  <c:v>7.8156128067489661E-13</c:v>
                </c:pt>
                <c:pt idx="198">
                  <c:v>7.8156128067489661E-13</c:v>
                </c:pt>
                <c:pt idx="199">
                  <c:v>7.8156128067489661E-13</c:v>
                </c:pt>
                <c:pt idx="200">
                  <c:v>7.8156128067489661E-13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I6" sqref="I6"/>
    </sheetView>
  </sheetViews>
  <sheetFormatPr baseColWidth="10" defaultColWidth="11.453125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65" t="s">
        <v>0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</row>
    <row r="13" spans="2:13" ht="15" customHeight="1" x14ac:dyDescent="0.35">
      <c r="B13" s="265"/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</row>
    <row r="14" spans="2:13" ht="15" customHeight="1" x14ac:dyDescent="0.35">
      <c r="B14" s="265"/>
      <c r="C14" s="265"/>
      <c r="D14" s="265"/>
      <c r="E14" s="265"/>
      <c r="F14" s="265"/>
      <c r="G14" s="265"/>
      <c r="H14" s="265"/>
      <c r="I14" s="265"/>
      <c r="J14" s="265"/>
      <c r="K14" s="265"/>
      <c r="L14" s="265"/>
      <c r="M14" s="265"/>
    </row>
    <row r="15" spans="2:13" ht="18.75" customHeight="1" x14ac:dyDescent="0.35">
      <c r="B15" s="265"/>
      <c r="C15" s="265"/>
      <c r="D15" s="265"/>
      <c r="E15" s="265"/>
      <c r="F15" s="265"/>
      <c r="G15" s="265"/>
      <c r="H15" s="265"/>
      <c r="I15" s="265"/>
      <c r="J15" s="265"/>
      <c r="K15" s="265"/>
      <c r="L15" s="265"/>
      <c r="M15" s="265"/>
    </row>
    <row r="16" spans="2:13" ht="18.75" customHeight="1" x14ac:dyDescent="0.35">
      <c r="B16" s="265"/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</row>
    <row r="18" spans="2:13" ht="12" customHeight="1" x14ac:dyDescent="0.35">
      <c r="B18" s="265" t="s">
        <v>1</v>
      </c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</row>
    <row r="19" spans="2:13" ht="12" customHeight="1" x14ac:dyDescent="0.35">
      <c r="B19" s="265"/>
      <c r="C19" s="265"/>
      <c r="D19" s="265"/>
      <c r="E19" s="265"/>
      <c r="F19" s="265"/>
      <c r="G19" s="265"/>
      <c r="H19" s="265"/>
      <c r="I19" s="265"/>
      <c r="J19" s="265"/>
      <c r="K19" s="265"/>
      <c r="L19" s="265"/>
      <c r="M19" s="265"/>
    </row>
    <row r="20" spans="2:13" ht="12" customHeight="1" x14ac:dyDescent="0.35">
      <c r="B20" s="265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</row>
    <row r="21" spans="2:13" ht="12" customHeight="1" x14ac:dyDescent="0.35">
      <c r="B21" s="265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</row>
    <row r="22" spans="2:13" ht="12" customHeight="1" x14ac:dyDescent="0.35">
      <c r="B22" s="265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</row>
    <row r="23" spans="2:13" ht="12" customHeight="1" x14ac:dyDescent="0.35"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265"/>
      <c r="M23" s="265"/>
    </row>
    <row r="24" spans="2:13" ht="12" customHeight="1" x14ac:dyDescent="0.35">
      <c r="B24" s="265"/>
      <c r="C24" s="265"/>
      <c r="D24" s="265"/>
      <c r="E24" s="265"/>
      <c r="F24" s="265"/>
      <c r="G24" s="265"/>
      <c r="H24" s="265"/>
      <c r="I24" s="265"/>
      <c r="J24" s="265"/>
      <c r="K24" s="265"/>
      <c r="L24" s="265"/>
      <c r="M24" s="265"/>
    </row>
    <row r="25" spans="2:13" ht="12" customHeight="1" x14ac:dyDescent="0.35">
      <c r="B25" s="265"/>
      <c r="C25" s="265"/>
      <c r="D25" s="265"/>
      <c r="E25" s="265"/>
      <c r="F25" s="265"/>
      <c r="G25" s="265"/>
      <c r="H25" s="265"/>
      <c r="I25" s="265"/>
      <c r="J25" s="265"/>
      <c r="K25" s="265"/>
      <c r="L25" s="265"/>
      <c r="M25" s="265"/>
    </row>
    <row r="26" spans="2:13" ht="12" customHeight="1" x14ac:dyDescent="0.35"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</row>
    <row r="27" spans="2:13" ht="12" customHeight="1" x14ac:dyDescent="0.35"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</row>
    <row r="28" spans="2:13" ht="12" customHeight="1" x14ac:dyDescent="0.35">
      <c r="B28" s="265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</row>
    <row r="29" spans="2:13" ht="12" customHeight="1" x14ac:dyDescent="0.35">
      <c r="B29" s="265"/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</row>
    <row r="30" spans="2:13" ht="12" customHeight="1" x14ac:dyDescent="0.35">
      <c r="B30" s="265"/>
      <c r="C30" s="265"/>
      <c r="D30" s="265"/>
      <c r="E30" s="265"/>
      <c r="F30" s="265"/>
      <c r="G30" s="265"/>
      <c r="H30" s="265"/>
      <c r="I30" s="265"/>
      <c r="J30" s="265"/>
      <c r="K30" s="265"/>
      <c r="L30" s="265"/>
      <c r="M30" s="265"/>
    </row>
    <row r="31" spans="2:13" ht="12" customHeight="1" x14ac:dyDescent="0.35">
      <c r="B31" s="265"/>
      <c r="C31" s="265"/>
      <c r="D31" s="265"/>
      <c r="E31" s="265"/>
      <c r="F31" s="265"/>
      <c r="G31" s="265"/>
      <c r="H31" s="265"/>
      <c r="I31" s="265"/>
      <c r="J31" s="265"/>
      <c r="K31" s="265"/>
      <c r="L31" s="265"/>
      <c r="M31" s="26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6" zoomScale="90" zoomScaleNormal="90" workbookViewId="0">
      <selection activeCell="E11" sqref="E11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70" t="s">
        <v>2</v>
      </c>
      <c r="D1" s="270"/>
      <c r="E1" s="27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1" t="s">
        <v>4</v>
      </c>
      <c r="C3" s="272"/>
      <c r="D3" s="272"/>
      <c r="E3" s="272"/>
      <c r="F3" s="273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6" t="s">
        <v>7</v>
      </c>
      <c r="B5" s="276"/>
      <c r="C5" s="24">
        <v>20.534500000000001</v>
      </c>
      <c r="D5" s="277" t="s">
        <v>8</v>
      </c>
      <c r="E5" s="278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5" t="s">
        <v>9</v>
      </c>
      <c r="B7" s="275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15</v>
      </c>
      <c r="B9" s="31" t="s">
        <v>228</v>
      </c>
      <c r="C9" s="32">
        <v>0.78</v>
      </c>
      <c r="D9" s="33">
        <f t="shared" ref="D9:D18" si="0">C9*$C$5</f>
        <v>16.016910000000003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18</v>
      </c>
      <c r="B10" s="31" t="s">
        <v>242</v>
      </c>
      <c r="C10" s="32">
        <v>0.21</v>
      </c>
      <c r="D10" s="33">
        <f t="shared" si="0"/>
        <v>4.3122449999999999</v>
      </c>
      <c r="E10" s="34">
        <v>45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20</v>
      </c>
      <c r="B11" s="31" t="s">
        <v>140</v>
      </c>
      <c r="C11" s="32">
        <v>0.01</v>
      </c>
      <c r="D11" s="33">
        <f t="shared" si="0"/>
        <v>0.20534500000000003</v>
      </c>
      <c r="E11" s="34">
        <v>130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22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23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24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25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26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27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28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29</v>
      </c>
      <c r="C19" s="37">
        <f>SUM(C9:C18)</f>
        <v>1</v>
      </c>
      <c r="D19" s="38">
        <f>SUM(D9:D18)</f>
        <v>20.534500000000005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4" t="s">
        <v>30</v>
      </c>
      <c r="B22" s="274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31</v>
      </c>
      <c r="B24" s="42" t="s">
        <v>32</v>
      </c>
      <c r="C24" s="43">
        <v>0</v>
      </c>
      <c r="D24" s="44" t="s">
        <v>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34</v>
      </c>
      <c r="B25" s="42" t="s">
        <v>35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36</v>
      </c>
      <c r="B26" s="42" t="s">
        <v>37</v>
      </c>
      <c r="C26" s="43">
        <v>0.15</v>
      </c>
      <c r="D26" s="44" t="s">
        <v>38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39</v>
      </c>
      <c r="B27" s="42" t="s">
        <v>40</v>
      </c>
      <c r="C27" s="43">
        <v>0</v>
      </c>
      <c r="D27" s="44" t="s">
        <v>41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5" t="s">
        <v>42</v>
      </c>
      <c r="B30" s="275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15</v>
      </c>
      <c r="B32" s="47" t="str">
        <f>IF(B9="","",B9)</f>
        <v>Pin maritime</v>
      </c>
      <c r="D32" s="229" t="s">
        <v>43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44</v>
      </c>
      <c r="C34" s="266" t="s">
        <v>45</v>
      </c>
      <c r="D34" s="266"/>
      <c r="E34" s="267" t="s">
        <v>46</v>
      </c>
      <c r="F34" s="268"/>
      <c r="G34" s="268"/>
      <c r="H34" s="269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47</v>
      </c>
      <c r="B35" s="36" t="s">
        <v>48</v>
      </c>
      <c r="C35" s="48" t="s">
        <v>49</v>
      </c>
      <c r="D35" s="48" t="s">
        <v>50</v>
      </c>
      <c r="E35" s="36" t="s">
        <v>51</v>
      </c>
      <c r="F35" s="36" t="s">
        <v>52</v>
      </c>
      <c r="G35" s="36" t="s">
        <v>53</v>
      </c>
      <c r="H35" s="36" t="s">
        <v>54</v>
      </c>
      <c r="I35" s="48" t="s">
        <v>55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14</v>
      </c>
      <c r="B36" s="60">
        <v>113.33076923076922</v>
      </c>
      <c r="C36" s="60">
        <v>1</v>
      </c>
      <c r="D36" s="60">
        <v>35.969230769230769</v>
      </c>
      <c r="E36" s="51">
        <v>0</v>
      </c>
      <c r="F36" s="51">
        <v>0.56000000000000005</v>
      </c>
      <c r="G36" s="51">
        <v>0.44</v>
      </c>
      <c r="H36" s="51">
        <v>0</v>
      </c>
      <c r="I36" s="49">
        <f>IFERROR(B36/A36,"")</f>
        <v>8.0950549450549438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19</v>
      </c>
      <c r="B37" s="60">
        <v>169.6</v>
      </c>
      <c r="C37" s="60">
        <v>2</v>
      </c>
      <c r="D37" s="60">
        <v>54.907692307692301</v>
      </c>
      <c r="E37" s="51">
        <v>0</v>
      </c>
      <c r="F37" s="51">
        <v>0.56000000000000005</v>
      </c>
      <c r="G37" s="51">
        <v>0.44</v>
      </c>
      <c r="H37" s="51">
        <v>0</v>
      </c>
      <c r="I37" s="53">
        <f t="shared" ref="I37:I55" si="1">IF(A37&lt;&gt;0,(B37-(B36-D36))/(A37-A36),"")</f>
        <v>18.447692307692307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25</v>
      </c>
      <c r="B38" s="60">
        <v>219.8153846153846</v>
      </c>
      <c r="C38" s="60">
        <v>3</v>
      </c>
      <c r="D38" s="60">
        <v>52.9</v>
      </c>
      <c r="E38" s="51">
        <v>0</v>
      </c>
      <c r="F38" s="51">
        <v>0.56000000000000005</v>
      </c>
      <c r="G38" s="51">
        <v>0.44</v>
      </c>
      <c r="H38" s="51">
        <v>0</v>
      </c>
      <c r="I38" s="53">
        <f t="shared" si="1"/>
        <v>17.520512820512817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32</v>
      </c>
      <c r="B39" s="60">
        <v>282.48461538461538</v>
      </c>
      <c r="C39" s="60">
        <v>4</v>
      </c>
      <c r="D39" s="60">
        <v>63.899999999999991</v>
      </c>
      <c r="E39" s="51">
        <v>0</v>
      </c>
      <c r="F39" s="51">
        <v>0.56000000000000005</v>
      </c>
      <c r="G39" s="51">
        <v>0.44</v>
      </c>
      <c r="H39" s="51">
        <v>0</v>
      </c>
      <c r="I39" s="49">
        <f t="shared" si="1"/>
        <v>16.509890109890112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45</v>
      </c>
      <c r="B40" s="60">
        <v>412.49230769230769</v>
      </c>
      <c r="C40" s="60">
        <v>5</v>
      </c>
      <c r="D40" s="60">
        <v>412.49230769230769</v>
      </c>
      <c r="E40" s="51">
        <v>0.7</v>
      </c>
      <c r="F40" s="51">
        <v>0.16800000000000001</v>
      </c>
      <c r="G40" s="51">
        <v>0.13200000000000001</v>
      </c>
      <c r="H40" s="51">
        <v>0</v>
      </c>
      <c r="I40" s="49">
        <f t="shared" si="1"/>
        <v>14.915976331360945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18</v>
      </c>
      <c r="B58" s="52" t="str">
        <f>IF(B10="","",B10)</f>
        <v>Pin taeda</v>
      </c>
      <c r="D58" s="229" t="s">
        <v>43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44</v>
      </c>
      <c r="C60" s="266" t="s">
        <v>45</v>
      </c>
      <c r="D60" s="266"/>
      <c r="E60" s="267" t="s">
        <v>46</v>
      </c>
      <c r="F60" s="268"/>
      <c r="G60" s="268"/>
      <c r="H60" s="269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47</v>
      </c>
      <c r="B61" s="36" t="s">
        <v>48</v>
      </c>
      <c r="C61" s="48" t="s">
        <v>49</v>
      </c>
      <c r="D61" s="48" t="s">
        <v>50</v>
      </c>
      <c r="E61" s="36" t="s">
        <v>51</v>
      </c>
      <c r="F61" s="36" t="s">
        <v>52</v>
      </c>
      <c r="G61" s="36" t="s">
        <v>53</v>
      </c>
      <c r="H61" s="36" t="s">
        <v>54</v>
      </c>
      <c r="I61" s="48" t="s">
        <v>55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257">
        <v>14</v>
      </c>
      <c r="B62" s="258">
        <v>113.33076923076922</v>
      </c>
      <c r="C62" s="258">
        <v>1</v>
      </c>
      <c r="D62" s="258">
        <v>35.969230769230769</v>
      </c>
      <c r="E62" s="259">
        <v>0</v>
      </c>
      <c r="F62" s="259">
        <v>0.56000000000000005</v>
      </c>
      <c r="G62" s="259">
        <v>0.44</v>
      </c>
      <c r="H62" s="259">
        <v>0</v>
      </c>
      <c r="I62" s="53">
        <f>IFERROR(B62/A62,"")</f>
        <v>8.0950549450549438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257">
        <v>19</v>
      </c>
      <c r="B63" s="258">
        <v>169.6</v>
      </c>
      <c r="C63" s="258">
        <v>2</v>
      </c>
      <c r="D63" s="258">
        <v>54.907692307692301</v>
      </c>
      <c r="E63" s="259">
        <v>0</v>
      </c>
      <c r="F63" s="259">
        <v>0.56000000000000005</v>
      </c>
      <c r="G63" s="259">
        <v>0.44</v>
      </c>
      <c r="H63" s="259">
        <v>0</v>
      </c>
      <c r="I63" s="49">
        <f>IF(A63&lt;&gt;0,(B63-(B62-D62))/(A63-A62),"")</f>
        <v>18.447692307692307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257">
        <v>25</v>
      </c>
      <c r="B64" s="258">
        <v>219.8153846153846</v>
      </c>
      <c r="C64" s="258">
        <v>3</v>
      </c>
      <c r="D64" s="258">
        <v>52.9</v>
      </c>
      <c r="E64" s="259">
        <v>0</v>
      </c>
      <c r="F64" s="259">
        <v>0.56000000000000005</v>
      </c>
      <c r="G64" s="259">
        <v>0.44</v>
      </c>
      <c r="H64" s="259">
        <v>0</v>
      </c>
      <c r="I64" s="49">
        <f>IF(A64&lt;&gt;0,(B64-(B63-D63))/(A64-A63),"")</f>
        <v>17.520512820512817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257">
        <v>32</v>
      </c>
      <c r="B65" s="258">
        <v>282.48461538461538</v>
      </c>
      <c r="C65" s="258">
        <v>4</v>
      </c>
      <c r="D65" s="258">
        <v>63.899999999999991</v>
      </c>
      <c r="E65" s="259">
        <v>0</v>
      </c>
      <c r="F65" s="259">
        <v>0.56000000000000005</v>
      </c>
      <c r="G65" s="259">
        <v>0.44</v>
      </c>
      <c r="H65" s="259">
        <v>0</v>
      </c>
      <c r="I65" s="49">
        <f>IF(A65&lt;&gt;0,(B65-(B64-D64))/(A65-A64),"")</f>
        <v>16.509890109890112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257">
        <v>45</v>
      </c>
      <c r="B66" s="258">
        <v>412.49230769230769</v>
      </c>
      <c r="C66" s="258">
        <v>5</v>
      </c>
      <c r="D66" s="258">
        <v>412.49230769230769</v>
      </c>
      <c r="E66" s="259">
        <v>0.7</v>
      </c>
      <c r="F66" s="259">
        <v>0.16800000000000001</v>
      </c>
      <c r="G66" s="259">
        <v>0.13200000000000001</v>
      </c>
      <c r="H66" s="259">
        <v>0</v>
      </c>
      <c r="I66" s="49">
        <f t="shared" ref="I66:I81" si="2">IF(A66&lt;&gt;0,(B66-(B65-D65))/(A66-A65),"")</f>
        <v>14.915976331360945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257"/>
      <c r="B67" s="258"/>
      <c r="C67" s="258"/>
      <c r="D67" s="258"/>
      <c r="E67" s="260"/>
      <c r="F67" s="260"/>
      <c r="G67" s="260"/>
      <c r="H67" s="260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257"/>
      <c r="B68" s="258"/>
      <c r="C68" s="258"/>
      <c r="D68" s="258"/>
      <c r="E68" s="260"/>
      <c r="F68" s="260"/>
      <c r="G68" s="260"/>
      <c r="H68" s="260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261"/>
      <c r="B69" s="261"/>
      <c r="C69" s="261"/>
      <c r="D69" s="261"/>
      <c r="E69" s="260"/>
      <c r="F69" s="260"/>
      <c r="G69" s="260"/>
      <c r="H69" s="260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261"/>
      <c r="B70" s="261"/>
      <c r="C70" s="261"/>
      <c r="D70" s="261"/>
      <c r="E70" s="260"/>
      <c r="F70" s="260"/>
      <c r="G70" s="260"/>
      <c r="H70" s="260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20</v>
      </c>
      <c r="B84" s="52" t="str">
        <f>IF(B11="","",B11)</f>
        <v>Chêne pédonculé</v>
      </c>
      <c r="D84" s="229" t="s">
        <v>43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44</v>
      </c>
      <c r="C86" s="266" t="s">
        <v>45</v>
      </c>
      <c r="D86" s="266"/>
      <c r="E86" s="267" t="s">
        <v>46</v>
      </c>
      <c r="F86" s="268"/>
      <c r="G86" s="268"/>
      <c r="H86" s="269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47</v>
      </c>
      <c r="B87" s="36" t="s">
        <v>48</v>
      </c>
      <c r="C87" s="48" t="s">
        <v>49</v>
      </c>
      <c r="D87" s="48" t="s">
        <v>50</v>
      </c>
      <c r="E87" s="36" t="s">
        <v>51</v>
      </c>
      <c r="F87" s="36" t="s">
        <v>52</v>
      </c>
      <c r="G87" s="36" t="s">
        <v>53</v>
      </c>
      <c r="H87" s="36" t="s">
        <v>54</v>
      </c>
      <c r="I87" s="48" t="s">
        <v>55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57">
        <v>38</v>
      </c>
      <c r="B88" s="258">
        <v>127.8846154</v>
      </c>
      <c r="C88" s="258">
        <v>1</v>
      </c>
      <c r="D88" s="258">
        <v>62.551282049999998</v>
      </c>
      <c r="E88" s="259">
        <v>0</v>
      </c>
      <c r="F88" s="259">
        <v>0</v>
      </c>
      <c r="G88" s="259">
        <v>0</v>
      </c>
      <c r="H88" s="262">
        <v>1</v>
      </c>
      <c r="I88" s="53">
        <f>IFERROR(B88/A88,"")</f>
        <v>3.3653846157894738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57">
        <v>45</v>
      </c>
      <c r="B89" s="258">
        <v>114.25</v>
      </c>
      <c r="C89" s="258">
        <v>2</v>
      </c>
      <c r="D89" s="258">
        <v>32.397435899999998</v>
      </c>
      <c r="E89" s="259">
        <v>0</v>
      </c>
      <c r="F89" s="259">
        <v>0</v>
      </c>
      <c r="G89" s="259">
        <v>0</v>
      </c>
      <c r="H89" s="262">
        <v>1</v>
      </c>
      <c r="I89" s="53">
        <f t="shared" ref="I89:I107" si="3">IF(A89&lt;&gt;0,(B89-(B88-D88))/(A89-A88),"")</f>
        <v>6.9880952357142849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57">
        <v>52</v>
      </c>
      <c r="B90" s="258">
        <v>131.05769230000001</v>
      </c>
      <c r="C90" s="258">
        <v>3</v>
      </c>
      <c r="D90" s="258">
        <v>32.94230769</v>
      </c>
      <c r="E90" s="262">
        <v>0</v>
      </c>
      <c r="F90" s="262">
        <v>0</v>
      </c>
      <c r="G90" s="262">
        <v>0</v>
      </c>
      <c r="H90" s="262">
        <v>1</v>
      </c>
      <c r="I90" s="53">
        <f t="shared" si="3"/>
        <v>7.0293040285714312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57">
        <v>59</v>
      </c>
      <c r="B91" s="258">
        <v>146.30769230000001</v>
      </c>
      <c r="C91" s="258">
        <v>4</v>
      </c>
      <c r="D91" s="258">
        <v>30.320512820000001</v>
      </c>
      <c r="E91" s="262">
        <v>0.7</v>
      </c>
      <c r="F91" s="262">
        <v>0</v>
      </c>
      <c r="G91" s="262">
        <v>0</v>
      </c>
      <c r="H91" s="262">
        <v>0.3</v>
      </c>
      <c r="I91" s="53">
        <f t="shared" si="3"/>
        <v>6.8846153842857154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57">
        <v>67</v>
      </c>
      <c r="B92" s="258">
        <v>169.92307690000001</v>
      </c>
      <c r="C92" s="258">
        <v>5</v>
      </c>
      <c r="D92" s="258">
        <v>30.314102559999998</v>
      </c>
      <c r="E92" s="262">
        <v>0.7</v>
      </c>
      <c r="F92" s="262">
        <v>0</v>
      </c>
      <c r="G92" s="262">
        <v>0</v>
      </c>
      <c r="H92" s="262">
        <v>0.3</v>
      </c>
      <c r="I92" s="53">
        <f t="shared" si="3"/>
        <v>6.7419871775000004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57">
        <v>75</v>
      </c>
      <c r="B93" s="258">
        <v>192.66025640000001</v>
      </c>
      <c r="C93" s="258">
        <v>6</v>
      </c>
      <c r="D93" s="258">
        <v>30.705128210000002</v>
      </c>
      <c r="E93" s="263">
        <v>0.7</v>
      </c>
      <c r="F93" s="263">
        <v>0</v>
      </c>
      <c r="G93" s="263">
        <v>0</v>
      </c>
      <c r="H93" s="263">
        <v>0.3</v>
      </c>
      <c r="I93" s="53">
        <f t="shared" si="3"/>
        <v>6.6314102575000007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57">
        <v>83</v>
      </c>
      <c r="B94" s="258">
        <v>213.78846150000001</v>
      </c>
      <c r="C94" s="258">
        <v>7</v>
      </c>
      <c r="D94" s="258">
        <v>34.955128209999998</v>
      </c>
      <c r="E94" s="263">
        <v>0.7</v>
      </c>
      <c r="F94" s="263">
        <v>0</v>
      </c>
      <c r="G94" s="263">
        <v>0</v>
      </c>
      <c r="H94" s="263">
        <v>0.3</v>
      </c>
      <c r="I94" s="53">
        <f t="shared" si="3"/>
        <v>6.4791666637500001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93</v>
      </c>
      <c r="B95" s="60">
        <v>241.91025640000001</v>
      </c>
      <c r="C95" s="60">
        <v>8</v>
      </c>
      <c r="D95" s="60">
        <v>46.82692308</v>
      </c>
      <c r="E95" s="87">
        <v>0.9</v>
      </c>
      <c r="F95" s="87">
        <v>0</v>
      </c>
      <c r="G95" s="87">
        <v>0</v>
      </c>
      <c r="H95" s="87">
        <v>0.1</v>
      </c>
      <c r="I95" s="53">
        <f t="shared" si="3"/>
        <v>6.3076923109999994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103</v>
      </c>
      <c r="B96" s="60">
        <v>256.03205129999998</v>
      </c>
      <c r="C96" s="60">
        <v>9</v>
      </c>
      <c r="D96" s="60">
        <v>46.73076923</v>
      </c>
      <c r="E96" s="87">
        <v>0.9</v>
      </c>
      <c r="F96" s="87">
        <v>0</v>
      </c>
      <c r="G96" s="87">
        <v>0</v>
      </c>
      <c r="H96" s="87">
        <v>0.1</v>
      </c>
      <c r="I96" s="53">
        <f t="shared" si="3"/>
        <v>6.0948717979999971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113</v>
      </c>
      <c r="B97" s="60">
        <v>268.41666670000001</v>
      </c>
      <c r="C97" s="60">
        <v>10</v>
      </c>
      <c r="D97" s="60">
        <v>47.141025640000002</v>
      </c>
      <c r="E97" s="87">
        <v>0.9</v>
      </c>
      <c r="F97" s="87">
        <v>0</v>
      </c>
      <c r="G97" s="87">
        <v>0</v>
      </c>
      <c r="H97" s="87">
        <v>0.1</v>
      </c>
      <c r="I97" s="53">
        <f t="shared" si="3"/>
        <v>5.9115384630000021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123</v>
      </c>
      <c r="B98" s="60">
        <v>279.84615380000002</v>
      </c>
      <c r="C98" s="60">
        <v>11</v>
      </c>
      <c r="D98" s="60">
        <v>139.2628205</v>
      </c>
      <c r="E98" s="87">
        <v>0.9</v>
      </c>
      <c r="F98" s="87">
        <v>0</v>
      </c>
      <c r="G98" s="87">
        <v>0</v>
      </c>
      <c r="H98" s="87">
        <v>0.1</v>
      </c>
      <c r="I98" s="53">
        <f t="shared" si="3"/>
        <v>5.8570512740000025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125</v>
      </c>
      <c r="B99" s="60">
        <v>147.10897439999999</v>
      </c>
      <c r="C99" s="60">
        <v>12</v>
      </c>
      <c r="D99" s="60">
        <v>48.217948720000003</v>
      </c>
      <c r="E99" s="87">
        <v>0.9</v>
      </c>
      <c r="F99" s="87">
        <v>0</v>
      </c>
      <c r="G99" s="87">
        <v>0</v>
      </c>
      <c r="H99" s="87">
        <v>0.1</v>
      </c>
      <c r="I99" s="53">
        <f t="shared" si="3"/>
        <v>3.2628205499999865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127</v>
      </c>
      <c r="B100" s="60">
        <v>103.35897439999999</v>
      </c>
      <c r="C100" s="60">
        <v>13</v>
      </c>
      <c r="D100" s="60">
        <v>31.42307692</v>
      </c>
      <c r="E100" s="65">
        <v>0.9</v>
      </c>
      <c r="F100" s="65">
        <v>0</v>
      </c>
      <c r="G100" s="65">
        <v>0</v>
      </c>
      <c r="H100" s="65">
        <v>0.1</v>
      </c>
      <c r="I100" s="53">
        <f t="shared" si="3"/>
        <v>2.2339743600000048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130</v>
      </c>
      <c r="B101" s="60">
        <v>76.846153849999993</v>
      </c>
      <c r="C101" s="60">
        <v>14</v>
      </c>
      <c r="D101" s="60">
        <v>76.846153849999993</v>
      </c>
      <c r="E101" s="65">
        <v>0.9</v>
      </c>
      <c r="F101" s="65">
        <v>0</v>
      </c>
      <c r="G101" s="65">
        <v>0</v>
      </c>
      <c r="H101" s="65">
        <v>0.1</v>
      </c>
      <c r="I101" s="53">
        <f t="shared" si="3"/>
        <v>1.6367521233333331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22</v>
      </c>
      <c r="B110" s="52" t="str">
        <f>IF(B12="","",B12)</f>
        <v/>
      </c>
      <c r="D110" s="229" t="s">
        <v>43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44</v>
      </c>
      <c r="C112" s="266" t="s">
        <v>45</v>
      </c>
      <c r="D112" s="266"/>
      <c r="E112" s="267" t="s">
        <v>46</v>
      </c>
      <c r="F112" s="268"/>
      <c r="G112" s="268"/>
      <c r="H112" s="269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47</v>
      </c>
      <c r="B113" s="36" t="s">
        <v>48</v>
      </c>
      <c r="C113" s="48" t="s">
        <v>49</v>
      </c>
      <c r="D113" s="48" t="s">
        <v>50</v>
      </c>
      <c r="E113" s="36" t="s">
        <v>51</v>
      </c>
      <c r="F113" s="36" t="s">
        <v>52</v>
      </c>
      <c r="G113" s="36" t="s">
        <v>53</v>
      </c>
      <c r="H113" s="36" t="s">
        <v>54</v>
      </c>
      <c r="I113" s="48" t="s">
        <v>55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57"/>
      <c r="B114" s="258"/>
      <c r="C114" s="257"/>
      <c r="D114" s="258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57"/>
      <c r="B115" s="258"/>
      <c r="C115" s="257"/>
      <c r="D115" s="258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57"/>
      <c r="B116" s="258"/>
      <c r="C116" s="257"/>
      <c r="D116" s="258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57"/>
      <c r="B117" s="258"/>
      <c r="C117" s="257"/>
      <c r="D117" s="258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57"/>
      <c r="B118" s="258"/>
      <c r="C118" s="257"/>
      <c r="D118" s="258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57"/>
      <c r="B119" s="258"/>
      <c r="C119" s="257"/>
      <c r="D119" s="258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58"/>
      <c r="B120" s="258"/>
      <c r="C120" s="258"/>
      <c r="D120" s="258"/>
      <c r="E120" s="263"/>
      <c r="F120" s="263"/>
      <c r="G120" s="263"/>
      <c r="H120" s="263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4"/>
      <c r="B121" s="264"/>
      <c r="C121" s="264"/>
      <c r="D121" s="264"/>
      <c r="E121" s="263"/>
      <c r="F121" s="263"/>
      <c r="G121" s="263"/>
      <c r="H121" s="263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4"/>
      <c r="B122" s="264"/>
      <c r="C122" s="264"/>
      <c r="D122" s="264"/>
      <c r="E122" s="263"/>
      <c r="F122" s="263"/>
      <c r="G122" s="263"/>
      <c r="H122" s="263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23</v>
      </c>
      <c r="B136" s="52" t="str">
        <f>IF(B13="","",B13)</f>
        <v/>
      </c>
      <c r="D136" s="229" t="s">
        <v>43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44</v>
      </c>
      <c r="C138" s="266" t="s">
        <v>45</v>
      </c>
      <c r="D138" s="266"/>
      <c r="E138" s="267" t="s">
        <v>46</v>
      </c>
      <c r="F138" s="268"/>
      <c r="G138" s="268"/>
      <c r="H138" s="269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47</v>
      </c>
      <c r="B139" s="36" t="s">
        <v>48</v>
      </c>
      <c r="C139" s="48" t="s">
        <v>49</v>
      </c>
      <c r="D139" s="48" t="s">
        <v>50</v>
      </c>
      <c r="E139" s="36" t="s">
        <v>51</v>
      </c>
      <c r="F139" s="36" t="s">
        <v>52</v>
      </c>
      <c r="G139" s="36" t="s">
        <v>53</v>
      </c>
      <c r="H139" s="36" t="s">
        <v>54</v>
      </c>
      <c r="I139" s="48" t="s">
        <v>55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257"/>
      <c r="B140" s="258"/>
      <c r="C140" s="257"/>
      <c r="D140" s="258"/>
      <c r="E140" s="259"/>
      <c r="F140" s="259"/>
      <c r="G140" s="259"/>
      <c r="H140" s="259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257"/>
      <c r="B141" s="258"/>
      <c r="C141" s="257"/>
      <c r="D141" s="258"/>
      <c r="E141" s="259"/>
      <c r="F141" s="259"/>
      <c r="G141" s="259"/>
      <c r="H141" s="259"/>
      <c r="I141" s="57" t="str">
        <f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257"/>
      <c r="B142" s="258"/>
      <c r="C142" s="257"/>
      <c r="D142" s="258"/>
      <c r="E142" s="259"/>
      <c r="F142" s="259"/>
      <c r="G142" s="259"/>
      <c r="H142" s="259"/>
      <c r="I142" s="57" t="str">
        <f>IF(A142&lt;&gt;0,(B142-(B141-D141))/(A142-A141),"")</f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257"/>
      <c r="B143" s="258"/>
      <c r="C143" s="257"/>
      <c r="D143" s="258"/>
      <c r="E143" s="259"/>
      <c r="F143" s="259"/>
      <c r="G143" s="259"/>
      <c r="H143" s="259"/>
      <c r="I143" s="57" t="str">
        <f t="shared" ref="I143:I159" si="5">IF(A143&lt;&gt;0,(B143-(B142-D142))/(A143-A142),"")</f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257"/>
      <c r="B144" s="258"/>
      <c r="C144" s="257"/>
      <c r="D144" s="258"/>
      <c r="E144" s="259"/>
      <c r="F144" s="259"/>
      <c r="G144" s="259"/>
      <c r="H144" s="259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24</v>
      </c>
      <c r="B162" s="52" t="str">
        <f>IF(B14="","",B14)</f>
        <v/>
      </c>
      <c r="D162" s="229" t="s">
        <v>43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44</v>
      </c>
      <c r="C164" s="266" t="s">
        <v>45</v>
      </c>
      <c r="D164" s="266"/>
      <c r="E164" s="267" t="s">
        <v>46</v>
      </c>
      <c r="F164" s="268"/>
      <c r="G164" s="268"/>
      <c r="H164" s="269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47</v>
      </c>
      <c r="B165" s="36" t="s">
        <v>48</v>
      </c>
      <c r="C165" s="48" t="s">
        <v>49</v>
      </c>
      <c r="D165" s="48" t="s">
        <v>50</v>
      </c>
      <c r="E165" s="36" t="s">
        <v>51</v>
      </c>
      <c r="F165" s="36" t="s">
        <v>52</v>
      </c>
      <c r="G165" s="36" t="s">
        <v>53</v>
      </c>
      <c r="H165" s="36" t="s">
        <v>54</v>
      </c>
      <c r="I165" s="48" t="s">
        <v>55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25</v>
      </c>
      <c r="B188" s="52" t="str">
        <f>IF(B15="","",B15)</f>
        <v/>
      </c>
      <c r="D188" s="229" t="s">
        <v>43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44</v>
      </c>
      <c r="C190" s="266" t="s">
        <v>45</v>
      </c>
      <c r="D190" s="266"/>
      <c r="E190" s="267" t="s">
        <v>46</v>
      </c>
      <c r="F190" s="268"/>
      <c r="G190" s="268"/>
      <c r="H190" s="269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47</v>
      </c>
      <c r="B191" s="36" t="s">
        <v>48</v>
      </c>
      <c r="C191" s="48" t="s">
        <v>49</v>
      </c>
      <c r="D191" s="48" t="s">
        <v>50</v>
      </c>
      <c r="E191" s="36" t="s">
        <v>51</v>
      </c>
      <c r="F191" s="36" t="s">
        <v>52</v>
      </c>
      <c r="G191" s="36" t="s">
        <v>53</v>
      </c>
      <c r="H191" s="36" t="s">
        <v>54</v>
      </c>
      <c r="I191" s="48" t="s">
        <v>55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26</v>
      </c>
      <c r="B214" s="52" t="str">
        <f>IF(B16="","",B16)</f>
        <v/>
      </c>
      <c r="D214" s="229" t="s">
        <v>43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44</v>
      </c>
      <c r="C216" s="266" t="s">
        <v>45</v>
      </c>
      <c r="D216" s="266"/>
      <c r="E216" s="267" t="s">
        <v>46</v>
      </c>
      <c r="F216" s="268"/>
      <c r="G216" s="268"/>
      <c r="H216" s="269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47</v>
      </c>
      <c r="B217" s="36" t="s">
        <v>48</v>
      </c>
      <c r="C217" s="48" t="s">
        <v>49</v>
      </c>
      <c r="D217" s="48" t="s">
        <v>50</v>
      </c>
      <c r="E217" s="36" t="s">
        <v>51</v>
      </c>
      <c r="F217" s="36" t="s">
        <v>52</v>
      </c>
      <c r="G217" s="36" t="s">
        <v>53</v>
      </c>
      <c r="H217" s="36" t="s">
        <v>54</v>
      </c>
      <c r="I217" s="48" t="s">
        <v>55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27</v>
      </c>
      <c r="B240" s="52" t="str">
        <f>IF(B17="","",B17)</f>
        <v/>
      </c>
      <c r="D240" s="229" t="s">
        <v>43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44</v>
      </c>
      <c r="C242" s="266" t="s">
        <v>45</v>
      </c>
      <c r="D242" s="266"/>
      <c r="E242" s="267" t="s">
        <v>46</v>
      </c>
      <c r="F242" s="268"/>
      <c r="G242" s="268"/>
      <c r="H242" s="269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47</v>
      </c>
      <c r="B243" s="36" t="s">
        <v>48</v>
      </c>
      <c r="C243" s="48" t="s">
        <v>49</v>
      </c>
      <c r="D243" s="48" t="s">
        <v>50</v>
      </c>
      <c r="E243" s="36" t="s">
        <v>51</v>
      </c>
      <c r="F243" s="36" t="s">
        <v>52</v>
      </c>
      <c r="G243" s="36" t="s">
        <v>53</v>
      </c>
      <c r="H243" s="36" t="s">
        <v>54</v>
      </c>
      <c r="I243" s="48" t="s">
        <v>55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28</v>
      </c>
      <c r="B266" s="52" t="str">
        <f>IF(B18="","",B18)</f>
        <v/>
      </c>
      <c r="D266" s="229" t="s">
        <v>43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44</v>
      </c>
      <c r="C268" s="266" t="s">
        <v>45</v>
      </c>
      <c r="D268" s="266"/>
      <c r="E268" s="267" t="s">
        <v>46</v>
      </c>
      <c r="F268" s="268"/>
      <c r="G268" s="268"/>
      <c r="H268" s="269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47</v>
      </c>
      <c r="B269" s="36" t="s">
        <v>48</v>
      </c>
      <c r="C269" s="48" t="s">
        <v>49</v>
      </c>
      <c r="D269" s="48" t="s">
        <v>50</v>
      </c>
      <c r="E269" s="36" t="s">
        <v>51</v>
      </c>
      <c r="F269" s="36" t="s">
        <v>52</v>
      </c>
      <c r="G269" s="36" t="s">
        <v>53</v>
      </c>
      <c r="H269" s="36" t="s">
        <v>54</v>
      </c>
      <c r="I269" s="48" t="s">
        <v>55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2" t="s">
        <v>74</v>
      </c>
      <c r="C1" s="283"/>
      <c r="D1" s="283"/>
      <c r="E1" s="283"/>
      <c r="F1" s="283"/>
      <c r="G1" s="283"/>
      <c r="H1" s="284"/>
      <c r="I1" s="279" t="str">
        <f>IF('Données projet'!$B$9="","",'Données projet'!$B$9)</f>
        <v>Pin maritime</v>
      </c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1"/>
      <c r="AD1" s="280" t="str">
        <f>IF('Données projet'!$B$10="","",'Données projet'!$B$10)</f>
        <v>Pin taeda</v>
      </c>
      <c r="AE1" s="280"/>
      <c r="AF1" s="280"/>
      <c r="AG1" s="280"/>
      <c r="AH1" s="280"/>
      <c r="AI1" s="280"/>
      <c r="AJ1" s="280"/>
      <c r="AK1" s="280"/>
      <c r="AL1" s="280"/>
      <c r="AM1" s="280"/>
      <c r="AN1" s="280"/>
      <c r="AO1" s="280"/>
      <c r="AP1" s="280"/>
      <c r="AQ1" s="280"/>
      <c r="AR1" s="280"/>
      <c r="AS1" s="280"/>
      <c r="AT1" s="280"/>
      <c r="AU1" s="280"/>
      <c r="AV1" s="280"/>
      <c r="AW1" s="280"/>
      <c r="AX1" s="281"/>
      <c r="AY1" s="279" t="str">
        <f>IF('Données projet'!$B$11="","",'Données projet'!$B$11)</f>
        <v>Chêne pédonculé</v>
      </c>
      <c r="AZ1" s="280"/>
      <c r="BA1" s="280"/>
      <c r="BB1" s="280"/>
      <c r="BC1" s="280"/>
      <c r="BD1" s="280"/>
      <c r="BE1" s="280"/>
      <c r="BF1" s="280"/>
      <c r="BG1" s="280"/>
      <c r="BH1" s="280"/>
      <c r="BI1" s="280"/>
      <c r="BJ1" s="280"/>
      <c r="BK1" s="280"/>
      <c r="BL1" s="280"/>
      <c r="BM1" s="280"/>
      <c r="BN1" s="280"/>
      <c r="BO1" s="280"/>
      <c r="BP1" s="280"/>
      <c r="BQ1" s="280"/>
      <c r="BR1" s="280"/>
      <c r="BS1" s="281"/>
      <c r="BT1" s="279" t="str">
        <f>IF('Données projet'!$B$12="","",'Données projet'!$B$12)</f>
        <v/>
      </c>
      <c r="BU1" s="280"/>
      <c r="BV1" s="280"/>
      <c r="BW1" s="280"/>
      <c r="BX1" s="280"/>
      <c r="BY1" s="280"/>
      <c r="BZ1" s="280"/>
      <c r="CA1" s="280"/>
      <c r="CB1" s="280"/>
      <c r="CC1" s="280"/>
      <c r="CD1" s="280"/>
      <c r="CE1" s="280"/>
      <c r="CF1" s="280"/>
      <c r="CG1" s="280"/>
      <c r="CH1" s="280"/>
      <c r="CI1" s="280"/>
      <c r="CJ1" s="280"/>
      <c r="CK1" s="280"/>
      <c r="CL1" s="280"/>
      <c r="CM1" s="280"/>
      <c r="CN1" s="281"/>
      <c r="CO1" s="279" t="str">
        <f>IF('Données projet'!$B$13="","",'Données projet'!$B$13)</f>
        <v/>
      </c>
      <c r="CP1" s="280"/>
      <c r="CQ1" s="280"/>
      <c r="CR1" s="280"/>
      <c r="CS1" s="280"/>
      <c r="CT1" s="280"/>
      <c r="CU1" s="280"/>
      <c r="CV1" s="280"/>
      <c r="CW1" s="280"/>
      <c r="CX1" s="280"/>
      <c r="CY1" s="280"/>
      <c r="CZ1" s="280"/>
      <c r="DA1" s="280"/>
      <c r="DB1" s="280"/>
      <c r="DC1" s="280"/>
      <c r="DD1" s="280"/>
      <c r="DE1" s="280"/>
      <c r="DF1" s="280"/>
      <c r="DG1" s="280"/>
      <c r="DH1" s="280"/>
      <c r="DI1" s="281"/>
      <c r="DJ1" s="279" t="str">
        <f>IF('Données projet'!$B$14="","",'Données projet'!$B$14)</f>
        <v/>
      </c>
      <c r="DK1" s="280"/>
      <c r="DL1" s="280"/>
      <c r="DM1" s="280"/>
      <c r="DN1" s="280"/>
      <c r="DO1" s="280"/>
      <c r="DP1" s="280"/>
      <c r="DQ1" s="280"/>
      <c r="DR1" s="280"/>
      <c r="DS1" s="280"/>
      <c r="DT1" s="280"/>
      <c r="DU1" s="280"/>
      <c r="DV1" s="280"/>
      <c r="DW1" s="280"/>
      <c r="DX1" s="280"/>
      <c r="DY1" s="280"/>
      <c r="DZ1" s="280"/>
      <c r="EA1" s="280"/>
      <c r="EB1" s="280"/>
      <c r="EC1" s="280"/>
      <c r="ED1" s="281"/>
      <c r="EE1" s="279" t="str">
        <f>IF('Données projet'!$B$15="","",'Données projet'!$B$15)</f>
        <v/>
      </c>
      <c r="EF1" s="280"/>
      <c r="EG1" s="280"/>
      <c r="EH1" s="280"/>
      <c r="EI1" s="280"/>
      <c r="EJ1" s="280"/>
      <c r="EK1" s="280"/>
      <c r="EL1" s="280"/>
      <c r="EM1" s="280"/>
      <c r="EN1" s="280"/>
      <c r="EO1" s="280"/>
      <c r="EP1" s="280"/>
      <c r="EQ1" s="280"/>
      <c r="ER1" s="280"/>
      <c r="ES1" s="280"/>
      <c r="ET1" s="280"/>
      <c r="EU1" s="280"/>
      <c r="EV1" s="280"/>
      <c r="EW1" s="280"/>
      <c r="EX1" s="280"/>
      <c r="EY1" s="281"/>
      <c r="EZ1" s="279" t="str">
        <f>IF('Données projet'!$B$16="","",'Données projet'!$B$16)</f>
        <v/>
      </c>
      <c r="FA1" s="280"/>
      <c r="FB1" s="280"/>
      <c r="FC1" s="280"/>
      <c r="FD1" s="280"/>
      <c r="FE1" s="280"/>
      <c r="FF1" s="280"/>
      <c r="FG1" s="280"/>
      <c r="FH1" s="280"/>
      <c r="FI1" s="280"/>
      <c r="FJ1" s="280"/>
      <c r="FK1" s="280"/>
      <c r="FL1" s="280"/>
      <c r="FM1" s="280"/>
      <c r="FN1" s="280"/>
      <c r="FO1" s="280"/>
      <c r="FP1" s="280"/>
      <c r="FQ1" s="280"/>
      <c r="FR1" s="280"/>
      <c r="FS1" s="280"/>
      <c r="FT1" s="281"/>
      <c r="FU1" s="279" t="str">
        <f>IF('Données projet'!$B$17="","",'Données projet'!$B$17)</f>
        <v/>
      </c>
      <c r="FV1" s="280"/>
      <c r="FW1" s="280"/>
      <c r="FX1" s="280"/>
      <c r="FY1" s="280"/>
      <c r="FZ1" s="280"/>
      <c r="GA1" s="280"/>
      <c r="GB1" s="280"/>
      <c r="GC1" s="280"/>
      <c r="GD1" s="280"/>
      <c r="GE1" s="280"/>
      <c r="GF1" s="280"/>
      <c r="GG1" s="280"/>
      <c r="GH1" s="280"/>
      <c r="GI1" s="280"/>
      <c r="GJ1" s="280"/>
      <c r="GK1" s="280"/>
      <c r="GL1" s="280"/>
      <c r="GM1" s="280"/>
      <c r="GN1" s="280"/>
      <c r="GO1" s="281"/>
      <c r="GP1" s="279" t="str">
        <f>IF('Données projet'!$B$18="","",'Données projet'!$B$18)</f>
        <v/>
      </c>
      <c r="GQ1" s="280"/>
      <c r="GR1" s="280"/>
      <c r="GS1" s="280"/>
      <c r="GT1" s="280"/>
      <c r="GU1" s="280"/>
      <c r="GV1" s="280"/>
      <c r="GW1" s="280"/>
      <c r="GX1" s="280"/>
      <c r="GY1" s="280"/>
      <c r="GZ1" s="280"/>
      <c r="HA1" s="280"/>
      <c r="HB1" s="280"/>
      <c r="HC1" s="280"/>
      <c r="HD1" s="280"/>
      <c r="HE1" s="280"/>
      <c r="HF1" s="280"/>
      <c r="HG1" s="280"/>
      <c r="HH1" s="280"/>
      <c r="HI1" s="280"/>
      <c r="HJ1" s="281"/>
    </row>
    <row r="2" spans="1:218" ht="58.5" thickBot="1" x14ac:dyDescent="0.4">
      <c r="A2" s="71" t="s">
        <v>75</v>
      </c>
      <c r="B2" s="72" t="s">
        <v>76</v>
      </c>
      <c r="C2" s="5" t="s">
        <v>77</v>
      </c>
      <c r="D2" s="5" t="s">
        <v>78</v>
      </c>
      <c r="E2" s="5" t="s">
        <v>79</v>
      </c>
      <c r="F2" s="5" t="s">
        <v>80</v>
      </c>
      <c r="G2" s="5" t="s">
        <v>81</v>
      </c>
      <c r="H2" s="66" t="s">
        <v>82</v>
      </c>
      <c r="I2" s="68" t="s">
        <v>79</v>
      </c>
      <c r="J2" s="69" t="s">
        <v>80</v>
      </c>
      <c r="K2" s="6" t="s">
        <v>83</v>
      </c>
      <c r="L2" s="6" t="s">
        <v>84</v>
      </c>
      <c r="M2" s="6" t="s">
        <v>84</v>
      </c>
      <c r="N2" s="6" t="s">
        <v>85</v>
      </c>
      <c r="O2" s="6" t="s">
        <v>86</v>
      </c>
      <c r="P2" s="6" t="s">
        <v>87</v>
      </c>
      <c r="Q2" s="6" t="s">
        <v>81</v>
      </c>
      <c r="R2" s="6" t="s">
        <v>88</v>
      </c>
      <c r="S2" s="6" t="s">
        <v>89</v>
      </c>
      <c r="T2" s="6" t="s">
        <v>90</v>
      </c>
      <c r="U2" s="7" t="s">
        <v>91</v>
      </c>
      <c r="V2" s="8" t="s">
        <v>92</v>
      </c>
      <c r="W2" s="7" t="s">
        <v>51</v>
      </c>
      <c r="X2" s="7" t="s">
        <v>52</v>
      </c>
      <c r="Y2" s="7" t="s">
        <v>93</v>
      </c>
      <c r="Z2" s="8" t="s">
        <v>94</v>
      </c>
      <c r="AA2" s="8" t="s">
        <v>95</v>
      </c>
      <c r="AB2" s="8" t="s">
        <v>96</v>
      </c>
      <c r="AC2" s="9" t="s">
        <v>97</v>
      </c>
      <c r="AD2" s="69" t="s">
        <v>79</v>
      </c>
      <c r="AE2" s="69" t="s">
        <v>80</v>
      </c>
      <c r="AF2" s="6" t="s">
        <v>83</v>
      </c>
      <c r="AG2" s="6" t="s">
        <v>84</v>
      </c>
      <c r="AH2" s="6" t="s">
        <v>84</v>
      </c>
      <c r="AI2" s="6" t="s">
        <v>85</v>
      </c>
      <c r="AJ2" s="6" t="s">
        <v>86</v>
      </c>
      <c r="AK2" s="6" t="s">
        <v>87</v>
      </c>
      <c r="AL2" s="6" t="s">
        <v>81</v>
      </c>
      <c r="AM2" s="6" t="s">
        <v>88</v>
      </c>
      <c r="AN2" s="6" t="s">
        <v>89</v>
      </c>
      <c r="AO2" s="6" t="s">
        <v>90</v>
      </c>
      <c r="AP2" s="7" t="s">
        <v>91</v>
      </c>
      <c r="AQ2" s="8" t="s">
        <v>92</v>
      </c>
      <c r="AR2" s="7" t="s">
        <v>51</v>
      </c>
      <c r="AS2" s="7" t="s">
        <v>52</v>
      </c>
      <c r="AT2" s="8" t="s">
        <v>98</v>
      </c>
      <c r="AU2" s="8" t="s">
        <v>94</v>
      </c>
      <c r="AV2" s="8" t="s">
        <v>95</v>
      </c>
      <c r="AW2" s="8" t="s">
        <v>96</v>
      </c>
      <c r="AX2" s="8" t="s">
        <v>97</v>
      </c>
      <c r="AY2" s="68" t="s">
        <v>79</v>
      </c>
      <c r="AZ2" s="69" t="s">
        <v>80</v>
      </c>
      <c r="BA2" s="6" t="s">
        <v>83</v>
      </c>
      <c r="BB2" s="6" t="s">
        <v>84</v>
      </c>
      <c r="BC2" s="6" t="s">
        <v>84</v>
      </c>
      <c r="BD2" s="6" t="s">
        <v>85</v>
      </c>
      <c r="BE2" s="6" t="s">
        <v>86</v>
      </c>
      <c r="BF2" s="6" t="s">
        <v>87</v>
      </c>
      <c r="BG2" s="6" t="s">
        <v>81</v>
      </c>
      <c r="BH2" s="6" t="s">
        <v>88</v>
      </c>
      <c r="BI2" s="6" t="s">
        <v>89</v>
      </c>
      <c r="BJ2" s="6" t="s">
        <v>90</v>
      </c>
      <c r="BK2" s="7" t="s">
        <v>91</v>
      </c>
      <c r="BL2" s="8" t="s">
        <v>92</v>
      </c>
      <c r="BM2" s="7" t="s">
        <v>51</v>
      </c>
      <c r="BN2" s="7" t="s">
        <v>52</v>
      </c>
      <c r="BO2" s="8" t="s">
        <v>98</v>
      </c>
      <c r="BP2" s="8" t="s">
        <v>94</v>
      </c>
      <c r="BQ2" s="8" t="s">
        <v>95</v>
      </c>
      <c r="BR2" s="8" t="s">
        <v>96</v>
      </c>
      <c r="BS2" s="9" t="s">
        <v>97</v>
      </c>
      <c r="BT2" s="68" t="s">
        <v>79</v>
      </c>
      <c r="BU2" s="69" t="s">
        <v>80</v>
      </c>
      <c r="BV2" s="6" t="s">
        <v>83</v>
      </c>
      <c r="BW2" s="6" t="s">
        <v>84</v>
      </c>
      <c r="BX2" s="6" t="s">
        <v>84</v>
      </c>
      <c r="BY2" s="6" t="s">
        <v>85</v>
      </c>
      <c r="BZ2" s="6" t="s">
        <v>86</v>
      </c>
      <c r="CA2" s="6" t="s">
        <v>87</v>
      </c>
      <c r="CB2" s="6" t="s">
        <v>81</v>
      </c>
      <c r="CC2" s="6" t="s">
        <v>88</v>
      </c>
      <c r="CD2" s="6" t="s">
        <v>89</v>
      </c>
      <c r="CE2" s="6" t="s">
        <v>90</v>
      </c>
      <c r="CF2" s="7" t="s">
        <v>91</v>
      </c>
      <c r="CG2" s="8" t="s">
        <v>92</v>
      </c>
      <c r="CH2" s="7" t="s">
        <v>51</v>
      </c>
      <c r="CI2" s="7" t="s">
        <v>52</v>
      </c>
      <c r="CJ2" s="8" t="s">
        <v>98</v>
      </c>
      <c r="CK2" s="8" t="s">
        <v>94</v>
      </c>
      <c r="CL2" s="8" t="s">
        <v>95</v>
      </c>
      <c r="CM2" s="8" t="s">
        <v>96</v>
      </c>
      <c r="CN2" s="9" t="s">
        <v>97</v>
      </c>
      <c r="CO2" s="68" t="s">
        <v>79</v>
      </c>
      <c r="CP2" s="69" t="s">
        <v>80</v>
      </c>
      <c r="CQ2" s="6" t="s">
        <v>83</v>
      </c>
      <c r="CR2" s="6" t="s">
        <v>84</v>
      </c>
      <c r="CS2" s="6" t="s">
        <v>84</v>
      </c>
      <c r="CT2" s="6" t="s">
        <v>85</v>
      </c>
      <c r="CU2" s="6" t="s">
        <v>86</v>
      </c>
      <c r="CV2" s="6" t="s">
        <v>87</v>
      </c>
      <c r="CW2" s="6" t="s">
        <v>81</v>
      </c>
      <c r="CX2" s="6" t="s">
        <v>88</v>
      </c>
      <c r="CY2" s="6" t="s">
        <v>89</v>
      </c>
      <c r="CZ2" s="6" t="s">
        <v>90</v>
      </c>
      <c r="DA2" s="7" t="s">
        <v>91</v>
      </c>
      <c r="DB2" s="8" t="s">
        <v>92</v>
      </c>
      <c r="DC2" s="7" t="s">
        <v>51</v>
      </c>
      <c r="DD2" s="7" t="s">
        <v>52</v>
      </c>
      <c r="DE2" s="8" t="s">
        <v>98</v>
      </c>
      <c r="DF2" s="8" t="s">
        <v>94</v>
      </c>
      <c r="DG2" s="8" t="s">
        <v>95</v>
      </c>
      <c r="DH2" s="8" t="s">
        <v>96</v>
      </c>
      <c r="DI2" s="9" t="s">
        <v>97</v>
      </c>
      <c r="DJ2" s="68" t="s">
        <v>79</v>
      </c>
      <c r="DK2" s="69" t="s">
        <v>80</v>
      </c>
      <c r="DL2" s="6" t="s">
        <v>83</v>
      </c>
      <c r="DM2" s="6" t="s">
        <v>84</v>
      </c>
      <c r="DN2" s="6" t="s">
        <v>84</v>
      </c>
      <c r="DO2" s="6" t="s">
        <v>85</v>
      </c>
      <c r="DP2" s="6" t="s">
        <v>86</v>
      </c>
      <c r="DQ2" s="6" t="s">
        <v>87</v>
      </c>
      <c r="DR2" s="6" t="s">
        <v>81</v>
      </c>
      <c r="DS2" s="6" t="s">
        <v>88</v>
      </c>
      <c r="DT2" s="6" t="s">
        <v>89</v>
      </c>
      <c r="DU2" s="6" t="s">
        <v>90</v>
      </c>
      <c r="DV2" s="7" t="s">
        <v>91</v>
      </c>
      <c r="DW2" s="8" t="s">
        <v>92</v>
      </c>
      <c r="DX2" s="7" t="s">
        <v>51</v>
      </c>
      <c r="DY2" s="7" t="s">
        <v>52</v>
      </c>
      <c r="DZ2" s="8" t="s">
        <v>98</v>
      </c>
      <c r="EA2" s="8" t="s">
        <v>94</v>
      </c>
      <c r="EB2" s="8" t="s">
        <v>95</v>
      </c>
      <c r="EC2" s="8" t="s">
        <v>96</v>
      </c>
      <c r="ED2" s="9" t="s">
        <v>97</v>
      </c>
      <c r="EE2" s="68" t="s">
        <v>79</v>
      </c>
      <c r="EF2" s="69" t="s">
        <v>80</v>
      </c>
      <c r="EG2" s="6" t="s">
        <v>83</v>
      </c>
      <c r="EH2" s="6" t="s">
        <v>84</v>
      </c>
      <c r="EI2" s="6" t="s">
        <v>84</v>
      </c>
      <c r="EJ2" s="6" t="s">
        <v>85</v>
      </c>
      <c r="EK2" s="6" t="s">
        <v>86</v>
      </c>
      <c r="EL2" s="6" t="s">
        <v>87</v>
      </c>
      <c r="EM2" s="6" t="s">
        <v>81</v>
      </c>
      <c r="EN2" s="6" t="s">
        <v>88</v>
      </c>
      <c r="EO2" s="6" t="s">
        <v>89</v>
      </c>
      <c r="EP2" s="6" t="s">
        <v>90</v>
      </c>
      <c r="EQ2" s="7" t="s">
        <v>91</v>
      </c>
      <c r="ER2" s="8" t="s">
        <v>92</v>
      </c>
      <c r="ES2" s="7" t="s">
        <v>51</v>
      </c>
      <c r="ET2" s="7" t="s">
        <v>52</v>
      </c>
      <c r="EU2" s="8" t="s">
        <v>98</v>
      </c>
      <c r="EV2" s="8" t="s">
        <v>94</v>
      </c>
      <c r="EW2" s="8" t="s">
        <v>95</v>
      </c>
      <c r="EX2" s="8" t="s">
        <v>96</v>
      </c>
      <c r="EY2" s="9" t="s">
        <v>97</v>
      </c>
      <c r="EZ2" s="68" t="s">
        <v>79</v>
      </c>
      <c r="FA2" s="69" t="s">
        <v>80</v>
      </c>
      <c r="FB2" s="6" t="s">
        <v>83</v>
      </c>
      <c r="FC2" s="6" t="s">
        <v>84</v>
      </c>
      <c r="FD2" s="6" t="s">
        <v>84</v>
      </c>
      <c r="FE2" s="6" t="s">
        <v>85</v>
      </c>
      <c r="FF2" s="6" t="s">
        <v>86</v>
      </c>
      <c r="FG2" s="6" t="s">
        <v>87</v>
      </c>
      <c r="FH2" s="6" t="s">
        <v>81</v>
      </c>
      <c r="FI2" s="6" t="s">
        <v>88</v>
      </c>
      <c r="FJ2" s="6" t="s">
        <v>89</v>
      </c>
      <c r="FK2" s="6" t="s">
        <v>90</v>
      </c>
      <c r="FL2" s="7" t="s">
        <v>91</v>
      </c>
      <c r="FM2" s="8" t="s">
        <v>92</v>
      </c>
      <c r="FN2" s="7" t="s">
        <v>51</v>
      </c>
      <c r="FO2" s="7" t="s">
        <v>52</v>
      </c>
      <c r="FP2" s="8" t="s">
        <v>99</v>
      </c>
      <c r="FQ2" s="8" t="s">
        <v>94</v>
      </c>
      <c r="FR2" s="8" t="s">
        <v>95</v>
      </c>
      <c r="FS2" s="8" t="s">
        <v>96</v>
      </c>
      <c r="FT2" s="9" t="s">
        <v>97</v>
      </c>
      <c r="FU2" s="68" t="s">
        <v>79</v>
      </c>
      <c r="FV2" s="69" t="s">
        <v>80</v>
      </c>
      <c r="FW2" s="6" t="s">
        <v>83</v>
      </c>
      <c r="FX2" s="6" t="s">
        <v>84</v>
      </c>
      <c r="FY2" s="6" t="s">
        <v>84</v>
      </c>
      <c r="FZ2" s="6" t="s">
        <v>85</v>
      </c>
      <c r="GA2" s="6" t="s">
        <v>86</v>
      </c>
      <c r="GB2" s="6" t="s">
        <v>87</v>
      </c>
      <c r="GC2" s="6" t="s">
        <v>81</v>
      </c>
      <c r="GD2" s="6" t="s">
        <v>88</v>
      </c>
      <c r="GE2" s="6" t="s">
        <v>89</v>
      </c>
      <c r="GF2" s="6" t="s">
        <v>90</v>
      </c>
      <c r="GG2" s="7" t="s">
        <v>91</v>
      </c>
      <c r="GH2" s="8" t="s">
        <v>92</v>
      </c>
      <c r="GI2" s="7" t="s">
        <v>51</v>
      </c>
      <c r="GJ2" s="7" t="s">
        <v>52</v>
      </c>
      <c r="GK2" s="8" t="s">
        <v>98</v>
      </c>
      <c r="GL2" s="8" t="s">
        <v>94</v>
      </c>
      <c r="GM2" s="8" t="s">
        <v>95</v>
      </c>
      <c r="GN2" s="8" t="s">
        <v>96</v>
      </c>
      <c r="GO2" s="8" t="s">
        <v>97</v>
      </c>
      <c r="GP2" s="68" t="s">
        <v>79</v>
      </c>
      <c r="GQ2" s="69" t="s">
        <v>80</v>
      </c>
      <c r="GR2" s="6" t="s">
        <v>83</v>
      </c>
      <c r="GS2" s="6" t="s">
        <v>84</v>
      </c>
      <c r="GT2" s="6" t="s">
        <v>84</v>
      </c>
      <c r="GU2" s="6" t="s">
        <v>85</v>
      </c>
      <c r="GV2" s="6" t="s">
        <v>86</v>
      </c>
      <c r="GW2" s="6" t="s">
        <v>87</v>
      </c>
      <c r="GX2" s="6" t="s">
        <v>81</v>
      </c>
      <c r="GY2" s="6" t="s">
        <v>88</v>
      </c>
      <c r="GZ2" s="6" t="s">
        <v>89</v>
      </c>
      <c r="HA2" s="6" t="s">
        <v>90</v>
      </c>
      <c r="HB2" s="7" t="s">
        <v>91</v>
      </c>
      <c r="HC2" s="8" t="s">
        <v>92</v>
      </c>
      <c r="HD2" s="7" t="s">
        <v>51</v>
      </c>
      <c r="HE2" s="7" t="s">
        <v>52</v>
      </c>
      <c r="HF2" s="8" t="s">
        <v>98</v>
      </c>
      <c r="HG2" s="8" t="s">
        <v>94</v>
      </c>
      <c r="HH2" s="8" t="s">
        <v>95</v>
      </c>
      <c r="HI2" s="8" t="s">
        <v>96</v>
      </c>
      <c r="HJ2" s="9" t="s">
        <v>97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195.14508560011791</v>
      </c>
      <c r="T3" s="59">
        <f>IF('Données projet'!E9&gt;30,$R$33-$H$33,LOOKUP('Données projet'!$E$9,$A$3:$A$203,R3:R203)-LOOKUP('Données projet'!$E$9,$A$3:$A$203,$H$3:$H$203))</f>
        <v>285.1531413455931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195.14508560011791</v>
      </c>
      <c r="AO3" s="59">
        <f>IF('Données projet'!E10&gt;30,$AM$33-$H$33,LOOKUP('Données projet'!$E$10,$A$3:$A$203,AM3:AM203)-LOOKUP('Données projet'!$E$10,$A$3:$A$203,$H$3:$H$203))</f>
        <v>285.1531413455931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179.55753939285887</v>
      </c>
      <c r="BJ3" s="59">
        <f>IF('Données projet'!E11&gt;30,$BH$33-$H$33,LOOKUP('Données projet'!$E$11,$A$3:$A$203,BH3:BH203)-LOOKUP('Données projet'!$E$11,$A$3:$A$203,$H$3:$H$203))</f>
        <v>147.29214162149162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8.0950549450549438</v>
      </c>
      <c r="N4" s="13">
        <f>IF('Données projet'!$A$36&gt;35,N3+M4-V3,IF(A4&lt;'Données projet'!$A$36,$K$205^A4,IF(A4='Données projet'!$A$36,'Données projet'!$B$36,N3+M4-V3)))</f>
        <v>1.401971325755863</v>
      </c>
      <c r="O4" s="13">
        <f>N4*VLOOKUP('Données projet'!$B$9,Paramètres!$A$1:$I$89,3,0)*VLOOKUP('Données projet'!$B$9,Paramètres!$A$1:$I$89,5,0)</f>
        <v>0.83837885280200608</v>
      </c>
      <c r="P4" s="13">
        <f>EXP(-1.0587+0.8836*LN(O4)+0.284)</f>
        <v>0.39437005167947581</v>
      </c>
      <c r="Q4" s="20">
        <f t="shared" ref="Q4:Q34" si="2">(O4+P4)*0.475*44/12</f>
        <v>2.1470376753052474</v>
      </c>
      <c r="R4" s="59">
        <f t="shared" si="0"/>
        <v>295.48037100863854</v>
      </c>
      <c r="S4" s="59">
        <f ca="1">AVERAGE(OFFSET($R$3,0,0,'Données projet'!$E$9+1,1))-AVERAGE(OFFSET($H$3,0,0,'Données projet'!$E$9+1,1))</f>
        <v>195.14508560011791</v>
      </c>
      <c r="T4" s="59">
        <f>$T$3</f>
        <v>285.1531413455931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8.0950549450549438</v>
      </c>
      <c r="AI4" s="13">
        <f>IF('Données projet'!$A$62&gt;35,AI3+AH4-AQ3,IF(A4&lt;'Données projet'!$A$62,$AF$205^A4,IF(A4='Données projet'!$A$62,'Données projet'!$B$62,AI3+AH4-AQ3)))</f>
        <v>1.401971325755863</v>
      </c>
      <c r="AJ4" s="13">
        <f>AI4*VLOOKUP('Données projet'!$B$10,Paramètres!$A$1:$I$89,3,0)*VLOOKUP('Données projet'!$B$10,Paramètres!$A$1:$I$89,5,0)</f>
        <v>0.83837885280200608</v>
      </c>
      <c r="AK4" s="13">
        <f>EXP(-1.0587+0.8836*LN(AJ4)+0.284)</f>
        <v>0.39437005167947581</v>
      </c>
      <c r="AL4" s="20">
        <f t="shared" ref="AL4:AL67" si="4">(AJ4+AK4)*0.475*44/12</f>
        <v>2.1470376753052474</v>
      </c>
      <c r="AM4" s="59">
        <f t="shared" ref="AM4:AM67" si="5">AL4+(AD4+AE4)*44/12</f>
        <v>295.48037100863854</v>
      </c>
      <c r="AN4" s="59">
        <f ca="1">AVERAGE(OFFSET($AM$3,0,0,'Données projet'!$E$10+1,1))-AVERAGE(OFFSET($H$3,0,0,'Données projet'!$E$10+1,1))</f>
        <v>195.14508560011791</v>
      </c>
      <c r="AO4" s="59">
        <f>$AO$3</f>
        <v>285.1531413455931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3.3653846157894738</v>
      </c>
      <c r="BD4" s="12">
        <f>IF('Données projet'!$A$88&gt;35,BD3+BC4-BL3,IF(A4&lt;'Données projet'!$A$88,$BA$205^A4,IF(A4='Données projet'!$A$88,'Données projet'!$B$88,BD3+BC4-BL3)))</f>
        <v>3.3653846157894738</v>
      </c>
      <c r="BE4" s="13">
        <f>BD4*VLOOKUP('Données projet'!$B$11,Paramètres!$A$1:$I$89,3,0)*VLOOKUP('Données projet'!$B$11,Paramètres!$A$1:$I$89,5,0)</f>
        <v>2.8350000003410529</v>
      </c>
      <c r="BF4" s="13">
        <f>EXP(-1.0587+0.8836*LN(BE4)+0.284)</f>
        <v>1.157252030823992</v>
      </c>
      <c r="BG4" s="20">
        <f t="shared" ref="BG4:BG67" si="7">(BE4+BF4)*0.475*44/12</f>
        <v>6.9531722876124533</v>
      </c>
      <c r="BH4" s="59">
        <f t="shared" ref="BH4:BH67" si="8">BG4+(AY4+AZ4)*44/12</f>
        <v>300.28650562094577</v>
      </c>
      <c r="BI4" s="59">
        <f ca="1">AVERAGE(OFFSET($BH$3,0,0,'Données projet'!$E$11+1,1))-AVERAGE(OFFSET($H$3,0,0,'Données projet'!$E$11+1,1))</f>
        <v>179.55753939285887</v>
      </c>
      <c r="BJ4" s="59">
        <f>$BJ$3</f>
        <v>147.29214162149162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8.0950549450549438</v>
      </c>
      <c r="N5" s="13">
        <f>IF('Données projet'!$A$36&gt;35,N4+M5-V4,IF(A5&lt;'Données projet'!$A$36,$K$205^A5,IF(A5='Données projet'!$A$36,'Données projet'!$B$36,N4+M5-V4)))</f>
        <v>1.9655235982416521</v>
      </c>
      <c r="O5" s="13">
        <f>N5*VLOOKUP('Données projet'!$B$9,Paramètres!$A$1:$I$89,3,0)*VLOOKUP('Données projet'!$B$9,Paramètres!$A$1:$I$89,5,0)</f>
        <v>1.1753831117485081</v>
      </c>
      <c r="P5" s="13">
        <f t="shared" ref="P5:P68" si="33">EXP(-1.0587+0.8836*LN(O5)+0.284)</f>
        <v>0.53157264479972777</v>
      </c>
      <c r="Q5" s="20">
        <f t="shared" si="2"/>
        <v>2.972947942654844</v>
      </c>
      <c r="R5" s="59">
        <f t="shared" si="0"/>
        <v>296.30628127598817</v>
      </c>
      <c r="S5" s="59">
        <f ca="1">AVERAGE(OFFSET($R$3,0,0,'Données projet'!$E$9+1,1))-AVERAGE(OFFSET($H$3,0,0,'Données projet'!$E$9+1,1))</f>
        <v>195.14508560011791</v>
      </c>
      <c r="T5" s="59">
        <f t="shared" ref="T5:T68" si="34">$T$3</f>
        <v>285.1531413455931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8.0950549450549438</v>
      </c>
      <c r="AI5" s="13">
        <f>IF('Données projet'!$A$62&gt;35,AI4+AH5-AQ4,IF(A5&lt;'Données projet'!$A$62,$AF$205^A5,IF(A5='Données projet'!$A$62,'Données projet'!$B$62,AI4+AH5-AQ4)))</f>
        <v>1.9655235982416521</v>
      </c>
      <c r="AJ5" s="13">
        <f>AI5*VLOOKUP('Données projet'!$B$10,Paramètres!$A$1:$I$89,3,0)*VLOOKUP('Données projet'!$B$10,Paramètres!$A$1:$I$89,5,0)</f>
        <v>1.1753831117485081</v>
      </c>
      <c r="AK5" s="13">
        <f t="shared" ref="AK5:AK68" si="35">EXP(-1.0587+0.8836*LN(AJ5)+0.284)</f>
        <v>0.53157264479972777</v>
      </c>
      <c r="AL5" s="20">
        <f t="shared" si="4"/>
        <v>2.972947942654844</v>
      </c>
      <c r="AM5" s="59">
        <f t="shared" si="5"/>
        <v>296.30628127598817</v>
      </c>
      <c r="AN5" s="59">
        <f ca="1">AVERAGE(OFFSET($AM$3,0,0,'Données projet'!$E$10+1,1))-AVERAGE(OFFSET($H$3,0,0,'Données projet'!$E$10+1,1))</f>
        <v>195.14508560011791</v>
      </c>
      <c r="AO5" s="59">
        <f t="shared" ref="AO5:AO68" si="36">$AO$3</f>
        <v>285.1531413455931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3.3653846157894738</v>
      </c>
      <c r="BD5" s="12">
        <f>IF('Données projet'!$A$88&gt;35,BD4+BC5-BL4,IF(A5&lt;'Données projet'!$A$88,$BA$205^A5,IF(A5='Données projet'!$A$88,'Données projet'!$B$88,BD4+BC5-BL4)))</f>
        <v>6.7307692315789476</v>
      </c>
      <c r="BE5" s="13">
        <f>BD5*VLOOKUP('Données projet'!$B$11,Paramètres!$A$1:$I$89,3,0)*VLOOKUP('Données projet'!$B$11,Paramètres!$A$1:$I$89,5,0)</f>
        <v>5.6700000006821059</v>
      </c>
      <c r="BF5" s="13">
        <f t="shared" ref="BF5:BF68" si="37">EXP(-1.0587+0.8836*LN(BE5)+0.284)</f>
        <v>2.1350991898361689</v>
      </c>
      <c r="BG5" s="20">
        <f t="shared" si="7"/>
        <v>13.593881090152662</v>
      </c>
      <c r="BH5" s="59">
        <f t="shared" si="8"/>
        <v>306.92721442348596</v>
      </c>
      <c r="BI5" s="59">
        <f ca="1">AVERAGE(OFFSET($BH$3,0,0,'Données projet'!$E$11+1,1))-AVERAGE(OFFSET($H$3,0,0,'Données projet'!$E$11+1,1))</f>
        <v>179.55753939285887</v>
      </c>
      <c r="BJ5" s="59">
        <f t="shared" ref="BJ5:BJ68" si="38">$BJ$3</f>
        <v>147.29214162149162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8.0950549450549438</v>
      </c>
      <c r="N6" s="13">
        <f>IF('Données projet'!$A$36&gt;35,N5+M6-V5,IF(A6&lt;'Données projet'!$A$36,$K$205^A6,IF(A6='Données projet'!$A$36,'Données projet'!$B$36,N5+M6-V5)))</f>
        <v>2.7556077248312834</v>
      </c>
      <c r="O6" s="13">
        <f>N6*VLOOKUP('Données projet'!$B$9,Paramètres!$A$1:$I$89,3,0)*VLOOKUP('Données projet'!$B$9,Paramètres!$A$1:$I$89,5,0)</f>
        <v>1.6478534194491075</v>
      </c>
      <c r="P6" s="13">
        <f t="shared" si="33"/>
        <v>0.71650845569033161</v>
      </c>
      <c r="Q6" s="20">
        <f t="shared" si="2"/>
        <v>4.117930265867856</v>
      </c>
      <c r="R6" s="59">
        <f t="shared" si="0"/>
        <v>297.45126359920118</v>
      </c>
      <c r="S6" s="59">
        <f ca="1">AVERAGE(OFFSET($R$3,0,0,'Données projet'!$E$9+1,1))-AVERAGE(OFFSET($H$3,0,0,'Données projet'!$E$9+1,1))</f>
        <v>195.14508560011791</v>
      </c>
      <c r="T6" s="59">
        <f t="shared" si="34"/>
        <v>285.1531413455931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8.0950549450549438</v>
      </c>
      <c r="AI6" s="13">
        <f>IF('Données projet'!$A$62&gt;35,AI5+AH6-AQ5,IF(A6&lt;'Données projet'!$A$62,$AF$205^A6,IF(A6='Données projet'!$A$62,'Données projet'!$B$62,AI5+AH6-AQ5)))</f>
        <v>2.7556077248312834</v>
      </c>
      <c r="AJ6" s="13">
        <f>AI6*VLOOKUP('Données projet'!$B$10,Paramètres!$A$1:$I$89,3,0)*VLOOKUP('Données projet'!$B$10,Paramètres!$A$1:$I$89,5,0)</f>
        <v>1.6478534194491075</v>
      </c>
      <c r="AK6" s="13">
        <f t="shared" si="35"/>
        <v>0.71650845569033161</v>
      </c>
      <c r="AL6" s="20">
        <f t="shared" si="4"/>
        <v>4.117930265867856</v>
      </c>
      <c r="AM6" s="59">
        <f t="shared" si="5"/>
        <v>297.45126359920118</v>
      </c>
      <c r="AN6" s="59">
        <f ca="1">AVERAGE(OFFSET($AM$3,0,0,'Données projet'!$E$10+1,1))-AVERAGE(OFFSET($H$3,0,0,'Données projet'!$E$10+1,1))</f>
        <v>195.14508560011791</v>
      </c>
      <c r="AO6" s="59">
        <f t="shared" si="36"/>
        <v>285.1531413455931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3.3653846157894738</v>
      </c>
      <c r="BD6" s="12">
        <f>IF('Données projet'!$A$88&gt;35,BD5+BC6-BL5,IF(A6&lt;'Données projet'!$A$88,$BA$205^A6,IF(A6='Données projet'!$A$88,'Données projet'!$B$88,BD5+BC6-BL5)))</f>
        <v>10.096153847368422</v>
      </c>
      <c r="BE6" s="13">
        <f>BD6*VLOOKUP('Données projet'!$B$11,Paramètres!$A$1:$I$89,3,0)*VLOOKUP('Données projet'!$B$11,Paramètres!$A$1:$I$89,5,0)</f>
        <v>8.5050000010231592</v>
      </c>
      <c r="BF6" s="13">
        <f t="shared" si="37"/>
        <v>3.0550075808143422</v>
      </c>
      <c r="BG6" s="20">
        <f t="shared" si="7"/>
        <v>20.133679871700313</v>
      </c>
      <c r="BH6" s="59">
        <f t="shared" si="8"/>
        <v>313.46701320503365</v>
      </c>
      <c r="BI6" s="59">
        <f ca="1">AVERAGE(OFFSET($BH$3,0,0,'Données projet'!$E$11+1,1))-AVERAGE(OFFSET($H$3,0,0,'Données projet'!$E$11+1,1))</f>
        <v>179.55753939285887</v>
      </c>
      <c r="BJ6" s="59">
        <f t="shared" si="38"/>
        <v>147.29214162149162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8.0950549450549438</v>
      </c>
      <c r="N7" s="13">
        <f>IF('Données projet'!$A$36&gt;35,N6+M7-V6,IF(A7&lt;'Données projet'!$A$36,$K$205^A7,IF(A7='Données projet'!$A$36,'Données projet'!$B$36,N6+M7-V6)))</f>
        <v>3.8632830152448117</v>
      </c>
      <c r="O7" s="13">
        <f>N7*VLOOKUP('Données projet'!$B$9,Paramètres!$A$1:$I$89,3,0)*VLOOKUP('Données projet'!$B$9,Paramètres!$A$1:$I$89,5,0)</f>
        <v>2.3102432431163975</v>
      </c>
      <c r="P7" s="13">
        <f t="shared" si="33"/>
        <v>0.96578402236850169</v>
      </c>
      <c r="Q7" s="20">
        <f t="shared" si="2"/>
        <v>5.7057474873861986</v>
      </c>
      <c r="R7" s="59">
        <f t="shared" si="0"/>
        <v>299.03908082071951</v>
      </c>
      <c r="S7" s="59">
        <f ca="1">AVERAGE(OFFSET($R$3,0,0,'Données projet'!$E$9+1,1))-AVERAGE(OFFSET($H$3,0,0,'Données projet'!$E$9+1,1))</f>
        <v>195.14508560011791</v>
      </c>
      <c r="T7" s="59">
        <f t="shared" si="34"/>
        <v>285.1531413455931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8.0950549450549438</v>
      </c>
      <c r="AI7" s="13">
        <f>IF('Données projet'!$A$62&gt;35,AI6+AH7-AQ6,IF(A7&lt;'Données projet'!$A$62,$AF$205^A7,IF(A7='Données projet'!$A$62,'Données projet'!$B$62,AI6+AH7-AQ6)))</f>
        <v>3.8632830152448117</v>
      </c>
      <c r="AJ7" s="13">
        <f>AI7*VLOOKUP('Données projet'!$B$10,Paramètres!$A$1:$I$89,3,0)*VLOOKUP('Données projet'!$B$10,Paramètres!$A$1:$I$89,5,0)</f>
        <v>2.3102432431163975</v>
      </c>
      <c r="AK7" s="13">
        <f t="shared" si="35"/>
        <v>0.96578402236850169</v>
      </c>
      <c r="AL7" s="20">
        <f t="shared" si="4"/>
        <v>5.7057474873861986</v>
      </c>
      <c r="AM7" s="59">
        <f t="shared" si="5"/>
        <v>299.03908082071951</v>
      </c>
      <c r="AN7" s="59">
        <f ca="1">AVERAGE(OFFSET($AM$3,0,0,'Données projet'!$E$10+1,1))-AVERAGE(OFFSET($H$3,0,0,'Données projet'!$E$10+1,1))</f>
        <v>195.14508560011791</v>
      </c>
      <c r="AO7" s="59">
        <f t="shared" si="36"/>
        <v>285.1531413455931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3.3653846157894738</v>
      </c>
      <c r="BD7" s="12">
        <f>IF('Données projet'!$A$88&gt;35,BD6+BC7-BL6,IF(A7&lt;'Données projet'!$A$88,$BA$205^A7,IF(A7='Données projet'!$A$88,'Données projet'!$B$88,BD6+BC7-BL6)))</f>
        <v>13.461538463157895</v>
      </c>
      <c r="BE7" s="13">
        <f>BD7*VLOOKUP('Données projet'!$B$11,Paramètres!$A$1:$I$89,3,0)*VLOOKUP('Données projet'!$B$11,Paramètres!$A$1:$I$89,5,0)</f>
        <v>11.340000001364212</v>
      </c>
      <c r="BF7" s="13">
        <f t="shared" si="37"/>
        <v>3.9392011670899318</v>
      </c>
      <c r="BG7" s="20">
        <f t="shared" si="7"/>
        <v>26.611275368390967</v>
      </c>
      <c r="BH7" s="59">
        <f t="shared" si="8"/>
        <v>319.94460870172429</v>
      </c>
      <c r="BI7" s="59">
        <f ca="1">AVERAGE(OFFSET($BH$3,0,0,'Données projet'!$E$11+1,1))-AVERAGE(OFFSET($H$3,0,0,'Données projet'!$E$11+1,1))</f>
        <v>179.55753939285887</v>
      </c>
      <c r="BJ7" s="59">
        <f t="shared" si="38"/>
        <v>147.29214162149162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8.0950549450549438</v>
      </c>
      <c r="N8" s="13">
        <f>IF('Données projet'!$A$36&gt;35,N7+M8-V7,IF(A8&lt;'Données projet'!$A$36,$K$205^A8,IF(A8='Données projet'!$A$36,'Données projet'!$B$36,N7+M8-V7)))</f>
        <v>5.4162120106528766</v>
      </c>
      <c r="O8" s="13">
        <f>N8*VLOOKUP('Données projet'!$B$9,Paramètres!$A$1:$I$89,3,0)*VLOOKUP('Données projet'!$B$9,Paramètres!$A$1:$I$89,5,0)</f>
        <v>3.2388947823704202</v>
      </c>
      <c r="P8" s="13">
        <f t="shared" si="33"/>
        <v>1.301783350154075</v>
      </c>
      <c r="Q8" s="20">
        <f t="shared" si="2"/>
        <v>7.9083477474801613</v>
      </c>
      <c r="R8" s="59">
        <f t="shared" si="0"/>
        <v>301.24168108081346</v>
      </c>
      <c r="S8" s="59">
        <f ca="1">AVERAGE(OFFSET($R$3,0,0,'Données projet'!$E$9+1,1))-AVERAGE(OFFSET($H$3,0,0,'Données projet'!$E$9+1,1))</f>
        <v>195.14508560011791</v>
      </c>
      <c r="T8" s="59">
        <f t="shared" si="34"/>
        <v>285.1531413455931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8.0950549450549438</v>
      </c>
      <c r="AI8" s="13">
        <f>IF('Données projet'!$A$62&gt;35,AI7+AH8-AQ7,IF(A8&lt;'Données projet'!$A$62,$AF$205^A8,IF(A8='Données projet'!$A$62,'Données projet'!$B$62,AI7+AH8-AQ7)))</f>
        <v>5.4162120106528766</v>
      </c>
      <c r="AJ8" s="13">
        <f>AI8*VLOOKUP('Données projet'!$B$10,Paramètres!$A$1:$I$89,3,0)*VLOOKUP('Données projet'!$B$10,Paramètres!$A$1:$I$89,5,0)</f>
        <v>3.2388947823704202</v>
      </c>
      <c r="AK8" s="13">
        <f t="shared" si="35"/>
        <v>1.301783350154075</v>
      </c>
      <c r="AL8" s="20">
        <f t="shared" si="4"/>
        <v>7.9083477474801613</v>
      </c>
      <c r="AM8" s="59">
        <f t="shared" si="5"/>
        <v>301.24168108081346</v>
      </c>
      <c r="AN8" s="59">
        <f ca="1">AVERAGE(OFFSET($AM$3,0,0,'Données projet'!$E$10+1,1))-AVERAGE(OFFSET($H$3,0,0,'Données projet'!$E$10+1,1))</f>
        <v>195.14508560011791</v>
      </c>
      <c r="AO8" s="59">
        <f t="shared" si="36"/>
        <v>285.1531413455931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3.3653846157894738</v>
      </c>
      <c r="BD8" s="12">
        <f>IF('Données projet'!$A$88&gt;35,BD7+BC8-BL7,IF(A8&lt;'Données projet'!$A$88,$BA$205^A8,IF(A8='Données projet'!$A$88,'Données projet'!$B$88,BD7+BC8-BL7)))</f>
        <v>16.82692307894737</v>
      </c>
      <c r="BE8" s="13">
        <f>BD8*VLOOKUP('Données projet'!$B$11,Paramètres!$A$1:$I$89,3,0)*VLOOKUP('Données projet'!$B$11,Paramètres!$A$1:$I$89,5,0)</f>
        <v>14.175000001705266</v>
      </c>
      <c r="BF8" s="13">
        <f t="shared" si="37"/>
        <v>4.7977525773944327</v>
      </c>
      <c r="BG8" s="20">
        <f t="shared" si="7"/>
        <v>33.04421074193197</v>
      </c>
      <c r="BH8" s="59">
        <f t="shared" si="8"/>
        <v>326.37754407526529</v>
      </c>
      <c r="BI8" s="59">
        <f ca="1">AVERAGE(OFFSET($BH$3,0,0,'Données projet'!$E$11+1,1))-AVERAGE(OFFSET($H$3,0,0,'Données projet'!$E$11+1,1))</f>
        <v>179.55753939285887</v>
      </c>
      <c r="BJ8" s="59">
        <f t="shared" si="38"/>
        <v>147.29214162149162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8.0950549450549438</v>
      </c>
      <c r="N9" s="13">
        <f>IF('Données projet'!$A$36&gt;35,N8+M9-V8,IF(A9&lt;'Données projet'!$A$36,$K$205^A9,IF(A9='Données projet'!$A$36,'Données projet'!$B$36,N8+M9-V8)))</f>
        <v>7.5933739331498415</v>
      </c>
      <c r="O9" s="13">
        <f>N9*VLOOKUP('Données projet'!$B$9,Paramètres!$A$1:$I$89,3,0)*VLOOKUP('Données projet'!$B$9,Paramètres!$A$1:$I$89,5,0)</f>
        <v>4.5408376120236058</v>
      </c>
      <c r="P9" s="13">
        <f t="shared" si="33"/>
        <v>1.7546779108877884</v>
      </c>
      <c r="Q9" s="20">
        <f t="shared" si="2"/>
        <v>10.964689535737344</v>
      </c>
      <c r="R9" s="59">
        <f t="shared" si="0"/>
        <v>304.29802286907068</v>
      </c>
      <c r="S9" s="59">
        <f ca="1">AVERAGE(OFFSET($R$3,0,0,'Données projet'!$E$9+1,1))-AVERAGE(OFFSET($H$3,0,0,'Données projet'!$E$9+1,1))</f>
        <v>195.14508560011791</v>
      </c>
      <c r="T9" s="59">
        <f t="shared" si="34"/>
        <v>285.1531413455931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8.0950549450549438</v>
      </c>
      <c r="AI9" s="13">
        <f>IF('Données projet'!$A$62&gt;35,AI8+AH9-AQ8,IF(A9&lt;'Données projet'!$A$62,$AF$205^A9,IF(A9='Données projet'!$A$62,'Données projet'!$B$62,AI8+AH9-AQ8)))</f>
        <v>7.5933739331498415</v>
      </c>
      <c r="AJ9" s="13">
        <f>AI9*VLOOKUP('Données projet'!$B$10,Paramètres!$A$1:$I$89,3,0)*VLOOKUP('Données projet'!$B$10,Paramètres!$A$1:$I$89,5,0)</f>
        <v>4.5408376120236058</v>
      </c>
      <c r="AK9" s="13">
        <f t="shared" si="35"/>
        <v>1.7546779108877884</v>
      </c>
      <c r="AL9" s="20">
        <f t="shared" si="4"/>
        <v>10.964689535737344</v>
      </c>
      <c r="AM9" s="59">
        <f t="shared" si="5"/>
        <v>304.29802286907068</v>
      </c>
      <c r="AN9" s="59">
        <f ca="1">AVERAGE(OFFSET($AM$3,0,0,'Données projet'!$E$10+1,1))-AVERAGE(OFFSET($H$3,0,0,'Données projet'!$E$10+1,1))</f>
        <v>195.14508560011791</v>
      </c>
      <c r="AO9" s="59">
        <f t="shared" si="36"/>
        <v>285.1531413455931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3.3653846157894738</v>
      </c>
      <c r="BD9" s="12">
        <f>IF('Données projet'!$A$88&gt;35,BD8+BC9-BL8,IF(A9&lt;'Données projet'!$A$88,$BA$205^A9,IF(A9='Données projet'!$A$88,'Données projet'!$B$88,BD8+BC9-BL8)))</f>
        <v>20.192307694736844</v>
      </c>
      <c r="BE9" s="13">
        <f>BD9*VLOOKUP('Données projet'!$B$11,Paramètres!$A$1:$I$89,3,0)*VLOOKUP('Données projet'!$B$11,Paramètres!$A$1:$I$89,5,0)</f>
        <v>17.010000002046318</v>
      </c>
      <c r="BF9" s="13">
        <f t="shared" si="37"/>
        <v>5.636407659700283</v>
      </c>
      <c r="BG9" s="20">
        <f t="shared" si="7"/>
        <v>39.442493344208657</v>
      </c>
      <c r="BH9" s="59">
        <f t="shared" si="8"/>
        <v>332.775826677542</v>
      </c>
      <c r="BI9" s="59">
        <f ca="1">AVERAGE(OFFSET($BH$3,0,0,'Données projet'!$E$11+1,1))-AVERAGE(OFFSET($H$3,0,0,'Données projet'!$E$11+1,1))</f>
        <v>179.55753939285887</v>
      </c>
      <c r="BJ9" s="59">
        <f t="shared" si="38"/>
        <v>147.29214162149162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8.0950549450549438</v>
      </c>
      <c r="N10" s="13">
        <f>IF('Données projet'!$A$36&gt;35,N9+M10-V9,IF(A10&lt;'Données projet'!$A$36,$K$205^A10,IF(A10='Données projet'!$A$36,'Données projet'!$B$36,N9+M10-V9)))</f>
        <v>10.645692520018095</v>
      </c>
      <c r="O10" s="13">
        <f>N10*VLOOKUP('Données projet'!$B$9,Paramètres!$A$1:$I$89,3,0)*VLOOKUP('Données projet'!$B$9,Paramètres!$A$1:$I$89,5,0)</f>
        <v>6.3661241269708215</v>
      </c>
      <c r="P10" s="13">
        <f t="shared" si="33"/>
        <v>2.3651359272594203</v>
      </c>
      <c r="Q10" s="20">
        <f t="shared" si="2"/>
        <v>15.206944594451004</v>
      </c>
      <c r="R10" s="59">
        <f t="shared" si="0"/>
        <v>308.5402779277843</v>
      </c>
      <c r="S10" s="59">
        <f ca="1">AVERAGE(OFFSET($R$3,0,0,'Données projet'!$E$9+1,1))-AVERAGE(OFFSET($H$3,0,0,'Données projet'!$E$9+1,1))</f>
        <v>195.14508560011791</v>
      </c>
      <c r="T10" s="59">
        <f t="shared" si="34"/>
        <v>285.1531413455931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8.0950549450549438</v>
      </c>
      <c r="AI10" s="13">
        <f>IF('Données projet'!$A$62&gt;35,AI9+AH10-AQ9,IF(A10&lt;'Données projet'!$A$62,$AF$205^A10,IF(A10='Données projet'!$A$62,'Données projet'!$B$62,AI9+AH10-AQ9)))</f>
        <v>10.645692520018095</v>
      </c>
      <c r="AJ10" s="13">
        <f>AI10*VLOOKUP('Données projet'!$B$10,Paramètres!$A$1:$I$89,3,0)*VLOOKUP('Données projet'!$B$10,Paramètres!$A$1:$I$89,5,0)</f>
        <v>6.3661241269708215</v>
      </c>
      <c r="AK10" s="13">
        <f t="shared" si="35"/>
        <v>2.3651359272594203</v>
      </c>
      <c r="AL10" s="20">
        <f t="shared" si="4"/>
        <v>15.206944594451004</v>
      </c>
      <c r="AM10" s="59">
        <f t="shared" si="5"/>
        <v>308.5402779277843</v>
      </c>
      <c r="AN10" s="59">
        <f ca="1">AVERAGE(OFFSET($AM$3,0,0,'Données projet'!$E$10+1,1))-AVERAGE(OFFSET($H$3,0,0,'Données projet'!$E$10+1,1))</f>
        <v>195.14508560011791</v>
      </c>
      <c r="AO10" s="59">
        <f t="shared" si="36"/>
        <v>285.1531413455931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3.3653846157894738</v>
      </c>
      <c r="BD10" s="12">
        <f>IF('Données projet'!$A$88&gt;35,BD9+BC10-BL9,IF(A10&lt;'Données projet'!$A$88,$BA$205^A10,IF(A10='Données projet'!$A$88,'Données projet'!$B$88,BD9+BC10-BL9)))</f>
        <v>23.557692310526317</v>
      </c>
      <c r="BE10" s="13">
        <f>BD10*VLOOKUP('Données projet'!$B$11,Paramètres!$A$1:$I$89,3,0)*VLOOKUP('Données projet'!$B$11,Paramètres!$A$1:$I$89,5,0)</f>
        <v>19.845000002387373</v>
      </c>
      <c r="BF10" s="13">
        <f t="shared" si="37"/>
        <v>6.4588705400288582</v>
      </c>
      <c r="BG10" s="20">
        <f t="shared" si="7"/>
        <v>45.812574528041601</v>
      </c>
      <c r="BH10" s="59">
        <f t="shared" si="8"/>
        <v>339.14590786137489</v>
      </c>
      <c r="BI10" s="59">
        <f ca="1">AVERAGE(OFFSET($BH$3,0,0,'Données projet'!$E$11+1,1))-AVERAGE(OFFSET($H$3,0,0,'Données projet'!$E$11+1,1))</f>
        <v>179.55753939285887</v>
      </c>
      <c r="BJ10" s="59">
        <f t="shared" si="38"/>
        <v>147.29214162149162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8.0950549450549438</v>
      </c>
      <c r="N11" s="13">
        <f>IF('Données projet'!$A$36&gt;35,N10+M11-V10,IF(A11&lt;'Données projet'!$A$36,$K$205^A11,IF(A11='Données projet'!$A$36,'Données projet'!$B$36,N10+M11-V10)))</f>
        <v>14.924955655879044</v>
      </c>
      <c r="O11" s="13">
        <f>N11*VLOOKUP('Données projet'!$B$9,Paramètres!$A$1:$I$89,3,0)*VLOOKUP('Données projet'!$B$9,Paramètres!$A$1:$I$89,5,0)</f>
        <v>8.9251234822156693</v>
      </c>
      <c r="P11" s="13">
        <f t="shared" si="33"/>
        <v>3.1879742257557866</v>
      </c>
      <c r="Q11" s="20">
        <f t="shared" si="2"/>
        <v>21.096978508050285</v>
      </c>
      <c r="R11" s="59">
        <f t="shared" si="0"/>
        <v>314.43031184138363</v>
      </c>
      <c r="S11" s="59">
        <f ca="1">AVERAGE(OFFSET($R$3,0,0,'Données projet'!$E$9+1,1))-AVERAGE(OFFSET($H$3,0,0,'Données projet'!$E$9+1,1))</f>
        <v>195.14508560011791</v>
      </c>
      <c r="T11" s="59">
        <f t="shared" si="34"/>
        <v>285.1531413455931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8.0950549450549438</v>
      </c>
      <c r="AI11" s="13">
        <f>IF('Données projet'!$A$62&gt;35,AI10+AH11-AQ10,IF(A11&lt;'Données projet'!$A$62,$AF$205^A11,IF(A11='Données projet'!$A$62,'Données projet'!$B$62,AI10+AH11-AQ10)))</f>
        <v>14.924955655879044</v>
      </c>
      <c r="AJ11" s="13">
        <f>AI11*VLOOKUP('Données projet'!$B$10,Paramètres!$A$1:$I$89,3,0)*VLOOKUP('Données projet'!$B$10,Paramètres!$A$1:$I$89,5,0)</f>
        <v>8.9251234822156693</v>
      </c>
      <c r="AK11" s="13">
        <f t="shared" si="35"/>
        <v>3.1879742257557866</v>
      </c>
      <c r="AL11" s="20">
        <f t="shared" si="4"/>
        <v>21.096978508050285</v>
      </c>
      <c r="AM11" s="59">
        <f t="shared" si="5"/>
        <v>314.43031184138363</v>
      </c>
      <c r="AN11" s="59">
        <f ca="1">AVERAGE(OFFSET($AM$3,0,0,'Données projet'!$E$10+1,1))-AVERAGE(OFFSET($H$3,0,0,'Données projet'!$E$10+1,1))</f>
        <v>195.14508560011791</v>
      </c>
      <c r="AO11" s="59">
        <f t="shared" si="36"/>
        <v>285.1531413455931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3.3653846157894738</v>
      </c>
      <c r="BD11" s="12">
        <f>IF('Données projet'!$A$88&gt;35,BD10+BC11-BL10,IF(A11&lt;'Données projet'!$A$88,$BA$205^A11,IF(A11='Données projet'!$A$88,'Données projet'!$B$88,BD10+BC11-BL10)))</f>
        <v>26.92307692631579</v>
      </c>
      <c r="BE11" s="13">
        <f>BD11*VLOOKUP('Données projet'!$B$11,Paramètres!$A$1:$I$89,3,0)*VLOOKUP('Données projet'!$B$11,Paramètres!$A$1:$I$89,5,0)</f>
        <v>22.680000002728423</v>
      </c>
      <c r="BF11" s="13">
        <f t="shared" si="37"/>
        <v>7.2677212883928668</v>
      </c>
      <c r="BG11" s="20">
        <f t="shared" si="7"/>
        <v>52.158947915369588</v>
      </c>
      <c r="BH11" s="59">
        <f t="shared" si="8"/>
        <v>345.49228124870291</v>
      </c>
      <c r="BI11" s="59">
        <f ca="1">AVERAGE(OFFSET($BH$3,0,0,'Données projet'!$E$11+1,1))-AVERAGE(OFFSET($H$3,0,0,'Données projet'!$E$11+1,1))</f>
        <v>179.55753939285887</v>
      </c>
      <c r="BJ11" s="59">
        <f t="shared" si="38"/>
        <v>147.29214162149162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8.0950549450549438</v>
      </c>
      <c r="N12" s="13">
        <f>IF('Données projet'!$A$36&gt;35,N11+M12-V11,IF(A12&lt;'Données projet'!$A$36,$K$205^A12,IF(A12='Données projet'!$A$36,'Données projet'!$B$36,N11+M12-V11)))</f>
        <v>20.924359867720209</v>
      </c>
      <c r="O12" s="13">
        <f>N12*VLOOKUP('Données projet'!$B$9,Paramètres!$A$1:$I$89,3,0)*VLOOKUP('Données projet'!$B$9,Paramètres!$A$1:$I$89,5,0)</f>
        <v>12.512767200896686</v>
      </c>
      <c r="P12" s="13">
        <f t="shared" si="33"/>
        <v>4.2970805808441188</v>
      </c>
      <c r="Q12" s="20">
        <f t="shared" si="2"/>
        <v>29.277151553198568</v>
      </c>
      <c r="R12" s="59">
        <f t="shared" si="0"/>
        <v>322.61048488653188</v>
      </c>
      <c r="S12" s="59">
        <f ca="1">AVERAGE(OFFSET($R$3,0,0,'Données projet'!$E$9+1,1))-AVERAGE(OFFSET($H$3,0,0,'Données projet'!$E$9+1,1))</f>
        <v>195.14508560011791</v>
      </c>
      <c r="T12" s="59">
        <f t="shared" si="34"/>
        <v>285.1531413455931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8.0950549450549438</v>
      </c>
      <c r="AI12" s="13">
        <f>IF('Données projet'!$A$62&gt;35,AI11+AH12-AQ11,IF(A12&lt;'Données projet'!$A$62,$AF$205^A12,IF(A12='Données projet'!$A$62,'Données projet'!$B$62,AI11+AH12-AQ11)))</f>
        <v>20.924359867720209</v>
      </c>
      <c r="AJ12" s="13">
        <f>AI12*VLOOKUP('Données projet'!$B$10,Paramètres!$A$1:$I$89,3,0)*VLOOKUP('Données projet'!$B$10,Paramètres!$A$1:$I$89,5,0)</f>
        <v>12.512767200896686</v>
      </c>
      <c r="AK12" s="13">
        <f t="shared" si="35"/>
        <v>4.2970805808441188</v>
      </c>
      <c r="AL12" s="20">
        <f t="shared" si="4"/>
        <v>29.277151553198568</v>
      </c>
      <c r="AM12" s="59">
        <f t="shared" si="5"/>
        <v>322.61048488653188</v>
      </c>
      <c r="AN12" s="59">
        <f ca="1">AVERAGE(OFFSET($AM$3,0,0,'Données projet'!$E$10+1,1))-AVERAGE(OFFSET($H$3,0,0,'Données projet'!$E$10+1,1))</f>
        <v>195.14508560011791</v>
      </c>
      <c r="AO12" s="59">
        <f t="shared" si="36"/>
        <v>285.1531413455931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3.3653846157894738</v>
      </c>
      <c r="BD12" s="12">
        <f>IF('Données projet'!$A$88&gt;35,BD11+BC12-BL11,IF(A12&lt;'Données projet'!$A$88,$BA$205^A12,IF(A12='Données projet'!$A$88,'Données projet'!$B$88,BD11+BC12-BL11)))</f>
        <v>30.288461542105264</v>
      </c>
      <c r="BE12" s="13">
        <f>BD12*VLOOKUP('Données projet'!$B$11,Paramètres!$A$1:$I$89,3,0)*VLOOKUP('Données projet'!$B$11,Paramètres!$A$1:$I$89,5,0)</f>
        <v>25.515000003069478</v>
      </c>
      <c r="BF12" s="13">
        <f t="shared" si="37"/>
        <v>8.0648562890727611</v>
      </c>
      <c r="BG12" s="20">
        <f t="shared" si="7"/>
        <v>58.484916375481056</v>
      </c>
      <c r="BH12" s="59">
        <f t="shared" si="8"/>
        <v>351.81824970881439</v>
      </c>
      <c r="BI12" s="59">
        <f ca="1">AVERAGE(OFFSET($BH$3,0,0,'Données projet'!$E$11+1,1))-AVERAGE(OFFSET($H$3,0,0,'Données projet'!$E$11+1,1))</f>
        <v>179.55753939285887</v>
      </c>
      <c r="BJ12" s="59">
        <f t="shared" si="38"/>
        <v>147.29214162149162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8.0950549450549438</v>
      </c>
      <c r="N13" s="13">
        <f>IF('Données projet'!$A$36&gt;35,N12+M13-V12,IF(A13&lt;'Données projet'!$A$36,$K$205^A13,IF(A13='Données projet'!$A$36,'Données projet'!$B$36,N12+M13-V12)))</f>
        <v>29.335352544340477</v>
      </c>
      <c r="O13" s="13">
        <f>N13*VLOOKUP('Données projet'!$B$9,Paramètres!$A$1:$I$89,3,0)*VLOOKUP('Données projet'!$B$9,Paramètres!$A$1:$I$89,5,0)</f>
        <v>17.542540821515608</v>
      </c>
      <c r="P13" s="13">
        <f t="shared" si="33"/>
        <v>5.7920485583254955</v>
      </c>
      <c r="Q13" s="20">
        <f t="shared" si="2"/>
        <v>40.641076503223253</v>
      </c>
      <c r="R13" s="59">
        <f t="shared" si="0"/>
        <v>333.97440983655656</v>
      </c>
      <c r="S13" s="59">
        <f ca="1">AVERAGE(OFFSET($R$3,0,0,'Données projet'!$E$9+1,1))-AVERAGE(OFFSET($H$3,0,0,'Données projet'!$E$9+1,1))</f>
        <v>195.14508560011791</v>
      </c>
      <c r="T13" s="59">
        <f t="shared" si="34"/>
        <v>285.1531413455931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8.0950549450549438</v>
      </c>
      <c r="AI13" s="13">
        <f>IF('Données projet'!$A$62&gt;35,AI12+AH13-AQ12,IF(A13&lt;'Données projet'!$A$62,$AF$205^A13,IF(A13='Données projet'!$A$62,'Données projet'!$B$62,AI12+AH13-AQ12)))</f>
        <v>29.335352544340477</v>
      </c>
      <c r="AJ13" s="13">
        <f>AI13*VLOOKUP('Données projet'!$B$10,Paramètres!$A$1:$I$89,3,0)*VLOOKUP('Données projet'!$B$10,Paramètres!$A$1:$I$89,5,0)</f>
        <v>17.542540821515608</v>
      </c>
      <c r="AK13" s="13">
        <f t="shared" si="35"/>
        <v>5.7920485583254955</v>
      </c>
      <c r="AL13" s="20">
        <f t="shared" si="4"/>
        <v>40.641076503223253</v>
      </c>
      <c r="AM13" s="59">
        <f t="shared" si="5"/>
        <v>333.97440983655656</v>
      </c>
      <c r="AN13" s="59">
        <f ca="1">AVERAGE(OFFSET($AM$3,0,0,'Données projet'!$E$10+1,1))-AVERAGE(OFFSET($H$3,0,0,'Données projet'!$E$10+1,1))</f>
        <v>195.14508560011791</v>
      </c>
      <c r="AO13" s="59">
        <f t="shared" si="36"/>
        <v>285.1531413455931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3.3653846157894738</v>
      </c>
      <c r="BD13" s="12">
        <f>IF('Données projet'!$A$88&gt;35,BD12+BC13-BL12,IF(A13&lt;'Données projet'!$A$88,$BA$205^A13,IF(A13='Données projet'!$A$88,'Données projet'!$B$88,BD12+BC13-BL12)))</f>
        <v>33.653846157894741</v>
      </c>
      <c r="BE13" s="13">
        <f>BD13*VLOOKUP('Données projet'!$B$11,Paramètres!$A$1:$I$89,3,0)*VLOOKUP('Données projet'!$B$11,Paramètres!$A$1:$I$89,5,0)</f>
        <v>28.350000003410532</v>
      </c>
      <c r="BF13" s="13">
        <f t="shared" si="37"/>
        <v>8.8517257850353399</v>
      </c>
      <c r="BG13" s="20">
        <f t="shared" si="7"/>
        <v>64.793005748209879</v>
      </c>
      <c r="BH13" s="59">
        <f t="shared" si="8"/>
        <v>358.12633908154316</v>
      </c>
      <c r="BI13" s="59">
        <f ca="1">AVERAGE(OFFSET($BH$3,0,0,'Données projet'!$E$11+1,1))-AVERAGE(OFFSET($H$3,0,0,'Données projet'!$E$11+1,1))</f>
        <v>179.55753939285887</v>
      </c>
      <c r="BJ13" s="59">
        <f t="shared" si="38"/>
        <v>147.29214162149162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8.0950549450549438</v>
      </c>
      <c r="N14" s="13">
        <f>IF('Données projet'!$A$36&gt;35,N13+M14-V13,IF(A14&lt;'Données projet'!$A$36,$K$205^A14,IF(A14='Données projet'!$A$36,'Données projet'!$B$36,N13+M14-V13)))</f>
        <v>41.127323098104647</v>
      </c>
      <c r="O14" s="13">
        <f>N14*VLOOKUP('Données projet'!$B$9,Paramètres!$A$1:$I$89,3,0)*VLOOKUP('Données projet'!$B$9,Paramètres!$A$1:$I$89,5,0)</f>
        <v>24.59413921266658</v>
      </c>
      <c r="P14" s="13">
        <f t="shared" si="33"/>
        <v>7.8071206417568018</v>
      </c>
      <c r="Q14" s="20">
        <f t="shared" si="2"/>
        <v>56.432194246454053</v>
      </c>
      <c r="R14" s="59">
        <f t="shared" si="0"/>
        <v>349.76552757978737</v>
      </c>
      <c r="S14" s="59">
        <f ca="1">AVERAGE(OFFSET($R$3,0,0,'Données projet'!$E$9+1,1))-AVERAGE(OFFSET($H$3,0,0,'Données projet'!$E$9+1,1))</f>
        <v>195.14508560011791</v>
      </c>
      <c r="T14" s="59">
        <f t="shared" si="34"/>
        <v>285.1531413455931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8.0950549450549438</v>
      </c>
      <c r="AI14" s="13">
        <f>IF('Données projet'!$A$62&gt;35,AI13+AH14-AQ13,IF(A14&lt;'Données projet'!$A$62,$AF$205^A14,IF(A14='Données projet'!$A$62,'Données projet'!$B$62,AI13+AH14-AQ13)))</f>
        <v>41.127323098104647</v>
      </c>
      <c r="AJ14" s="13">
        <f>AI14*VLOOKUP('Données projet'!$B$10,Paramètres!$A$1:$I$89,3,0)*VLOOKUP('Données projet'!$B$10,Paramètres!$A$1:$I$89,5,0)</f>
        <v>24.59413921266658</v>
      </c>
      <c r="AK14" s="13">
        <f t="shared" si="35"/>
        <v>7.8071206417568018</v>
      </c>
      <c r="AL14" s="20">
        <f t="shared" si="4"/>
        <v>56.432194246454053</v>
      </c>
      <c r="AM14" s="59">
        <f t="shared" si="5"/>
        <v>349.76552757978737</v>
      </c>
      <c r="AN14" s="59">
        <f ca="1">AVERAGE(OFFSET($AM$3,0,0,'Données projet'!$E$10+1,1))-AVERAGE(OFFSET($H$3,0,0,'Données projet'!$E$10+1,1))</f>
        <v>195.14508560011791</v>
      </c>
      <c r="AO14" s="59">
        <f t="shared" si="36"/>
        <v>285.1531413455931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3.3653846157894738</v>
      </c>
      <c r="BD14" s="12">
        <f>IF('Données projet'!$A$88&gt;35,BD13+BC14-BL13,IF(A14&lt;'Données projet'!$A$88,$BA$205^A14,IF(A14='Données projet'!$A$88,'Données projet'!$B$88,BD13+BC14-BL13)))</f>
        <v>37.019230773684214</v>
      </c>
      <c r="BE14" s="13">
        <f>BD14*VLOOKUP('Données projet'!$B$11,Paramètres!$A$1:$I$89,3,0)*VLOOKUP('Données projet'!$B$11,Paramètres!$A$1:$I$89,5,0)</f>
        <v>31.185000003751586</v>
      </c>
      <c r="BF14" s="13">
        <f t="shared" si="37"/>
        <v>9.629473186317151</v>
      </c>
      <c r="BG14" s="20">
        <f t="shared" si="7"/>
        <v>71.085207472703047</v>
      </c>
      <c r="BH14" s="59">
        <f t="shared" si="8"/>
        <v>364.41854080603639</v>
      </c>
      <c r="BI14" s="59">
        <f ca="1">AVERAGE(OFFSET($BH$3,0,0,'Données projet'!$E$11+1,1))-AVERAGE(OFFSET($H$3,0,0,'Données projet'!$E$11+1,1))</f>
        <v>179.55753939285887</v>
      </c>
      <c r="BJ14" s="59">
        <f t="shared" si="38"/>
        <v>147.29214162149162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8.0950549450549438</v>
      </c>
      <c r="N15" s="13">
        <f>IF('Données projet'!$A$36&gt;35,N14+M15-V14,IF(A15&lt;'Données projet'!$A$36,$K$205^A15,IF(A15='Données projet'!$A$36,'Données projet'!$B$36,N14+M15-V14)))</f>
        <v>57.6593276886395</v>
      </c>
      <c r="O15" s="13">
        <f>N15*VLOOKUP('Données projet'!$B$9,Paramètres!$A$1:$I$89,3,0)*VLOOKUP('Données projet'!$B$9,Paramètres!$A$1:$I$89,5,0)</f>
        <v>34.480277957806422</v>
      </c>
      <c r="P15" s="13">
        <f t="shared" si="33"/>
        <v>10.523242700949725</v>
      </c>
      <c r="Q15" s="20">
        <f t="shared" si="2"/>
        <v>78.381131814000284</v>
      </c>
      <c r="R15" s="59">
        <f t="shared" si="0"/>
        <v>371.71446514733361</v>
      </c>
      <c r="S15" s="59">
        <f ca="1">AVERAGE(OFFSET($R$3,0,0,'Données projet'!$E$9+1,1))-AVERAGE(OFFSET($H$3,0,0,'Données projet'!$E$9+1,1))</f>
        <v>195.14508560011791</v>
      </c>
      <c r="T15" s="59">
        <f t="shared" si="34"/>
        <v>285.1531413455931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8.0950549450549438</v>
      </c>
      <c r="AI15" s="13">
        <f>IF('Données projet'!$A$62&gt;35,AI14+AH15-AQ14,IF(A15&lt;'Données projet'!$A$62,$AF$205^A15,IF(A15='Données projet'!$A$62,'Données projet'!$B$62,AI14+AH15-AQ14)))</f>
        <v>57.6593276886395</v>
      </c>
      <c r="AJ15" s="13">
        <f>AI15*VLOOKUP('Données projet'!$B$10,Paramètres!$A$1:$I$89,3,0)*VLOOKUP('Données projet'!$B$10,Paramètres!$A$1:$I$89,5,0)</f>
        <v>34.480277957806422</v>
      </c>
      <c r="AK15" s="13">
        <f t="shared" si="35"/>
        <v>10.523242700949725</v>
      </c>
      <c r="AL15" s="20">
        <f t="shared" si="4"/>
        <v>78.381131814000284</v>
      </c>
      <c r="AM15" s="59">
        <f t="shared" si="5"/>
        <v>371.71446514733361</v>
      </c>
      <c r="AN15" s="59">
        <f ca="1">AVERAGE(OFFSET($AM$3,0,0,'Données projet'!$E$10+1,1))-AVERAGE(OFFSET($H$3,0,0,'Données projet'!$E$10+1,1))</f>
        <v>195.14508560011791</v>
      </c>
      <c r="AO15" s="59">
        <f t="shared" si="36"/>
        <v>285.1531413455931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3.3653846157894738</v>
      </c>
      <c r="BD15" s="12">
        <f>IF('Données projet'!$A$88&gt;35,BD14+BC15-BL14,IF(A15&lt;'Données projet'!$A$88,$BA$205^A15,IF(A15='Données projet'!$A$88,'Données projet'!$B$88,BD14+BC15-BL14)))</f>
        <v>40.384615389473687</v>
      </c>
      <c r="BE15" s="13">
        <f>BD15*VLOOKUP('Données projet'!$B$11,Paramètres!$A$1:$I$89,3,0)*VLOOKUP('Données projet'!$B$11,Paramètres!$A$1:$I$89,5,0)</f>
        <v>34.020000004092637</v>
      </c>
      <c r="BF15" s="13">
        <f t="shared" si="37"/>
        <v>10.399022086177487</v>
      </c>
      <c r="BG15" s="20">
        <f t="shared" si="7"/>
        <v>77.363130140553793</v>
      </c>
      <c r="BH15" s="59">
        <f t="shared" si="8"/>
        <v>370.69646347388709</v>
      </c>
      <c r="BI15" s="59">
        <f ca="1">AVERAGE(OFFSET($BH$3,0,0,'Données projet'!$E$11+1,1))-AVERAGE(OFFSET($H$3,0,0,'Données projet'!$E$11+1,1))</f>
        <v>179.55753939285887</v>
      </c>
      <c r="BJ15" s="59">
        <f t="shared" si="38"/>
        <v>147.29214162149162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8.0950549450549438</v>
      </c>
      <c r="N16" s="13">
        <f>IF('Données projet'!$A$36&gt;35,N15+M16-V15,IF(A16&lt;'Données projet'!$A$36,$K$205^A16,IF(A16='Données projet'!$A$36,'Données projet'!$B$36,N15+M16-V15)))</f>
        <v>80.836724081833665</v>
      </c>
      <c r="O16" s="13">
        <f>N16*VLOOKUP('Données projet'!$B$9,Paramètres!$A$1:$I$89,3,0)*VLOOKUP('Données projet'!$B$9,Paramètres!$A$1:$I$89,5,0)</f>
        <v>48.340361000936532</v>
      </c>
      <c r="P16" s="13">
        <f t="shared" si="33"/>
        <v>14.184312248333937</v>
      </c>
      <c r="Q16" s="20">
        <f t="shared" si="2"/>
        <v>108.8971392424794</v>
      </c>
      <c r="R16" s="59">
        <f t="shared" si="0"/>
        <v>402.23047257581271</v>
      </c>
      <c r="S16" s="59">
        <f ca="1">AVERAGE(OFFSET($R$3,0,0,'Données projet'!$E$9+1,1))-AVERAGE(OFFSET($H$3,0,0,'Données projet'!$E$9+1,1))</f>
        <v>195.14508560011791</v>
      </c>
      <c r="T16" s="59">
        <f t="shared" si="34"/>
        <v>285.1531413455931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8.0950549450549438</v>
      </c>
      <c r="AI16" s="13">
        <f>IF('Données projet'!$A$62&gt;35,AI15+AH16-AQ15,IF(A16&lt;'Données projet'!$A$62,$AF$205^A16,IF(A16='Données projet'!$A$62,'Données projet'!$B$62,AI15+AH16-AQ15)))</f>
        <v>80.836724081833665</v>
      </c>
      <c r="AJ16" s="13">
        <f>AI16*VLOOKUP('Données projet'!$B$10,Paramètres!$A$1:$I$89,3,0)*VLOOKUP('Données projet'!$B$10,Paramètres!$A$1:$I$89,5,0)</f>
        <v>48.340361000936532</v>
      </c>
      <c r="AK16" s="13">
        <f t="shared" si="35"/>
        <v>14.184312248333937</v>
      </c>
      <c r="AL16" s="20">
        <f t="shared" si="4"/>
        <v>108.8971392424794</v>
      </c>
      <c r="AM16" s="59">
        <f t="shared" si="5"/>
        <v>402.23047257581271</v>
      </c>
      <c r="AN16" s="59">
        <f ca="1">AVERAGE(OFFSET($AM$3,0,0,'Données projet'!$E$10+1,1))-AVERAGE(OFFSET($H$3,0,0,'Données projet'!$E$10+1,1))</f>
        <v>195.14508560011791</v>
      </c>
      <c r="AO16" s="59">
        <f t="shared" si="36"/>
        <v>285.1531413455931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3.3653846157894738</v>
      </c>
      <c r="BD16" s="12">
        <f>IF('Données projet'!$A$88&gt;35,BD15+BC16-BL15,IF(A16&lt;'Données projet'!$A$88,$BA$205^A16,IF(A16='Données projet'!$A$88,'Données projet'!$B$88,BD15+BC16-BL15)))</f>
        <v>43.750000005263161</v>
      </c>
      <c r="BE16" s="13">
        <f>BD16*VLOOKUP('Données projet'!$B$11,Paramètres!$A$1:$I$89,3,0)*VLOOKUP('Données projet'!$B$11,Paramètres!$A$1:$I$89,5,0)</f>
        <v>36.855000004433691</v>
      </c>
      <c r="BF16" s="13">
        <f t="shared" si="37"/>
        <v>11.161133367801678</v>
      </c>
      <c r="BG16" s="20">
        <f t="shared" si="7"/>
        <v>83.628098956643271</v>
      </c>
      <c r="BH16" s="59">
        <f t="shared" si="8"/>
        <v>376.96143228997659</v>
      </c>
      <c r="BI16" s="59">
        <f ca="1">AVERAGE(OFFSET($BH$3,0,0,'Données projet'!$E$11+1,1))-AVERAGE(OFFSET($H$3,0,0,'Données projet'!$E$11+1,1))</f>
        <v>179.55753939285887</v>
      </c>
      <c r="BJ16" s="59">
        <f t="shared" si="38"/>
        <v>147.29214162149162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113.33076923076922</v>
      </c>
      <c r="L17" s="12">
        <f>VLOOKUP(A17,'Données projet'!$A$35:$I$55,9,0)</f>
        <v>8.0950549450549438</v>
      </c>
      <c r="M17" s="12">
        <f t="array" ref="M17">INDEX(L:L,MIN(IF(ISNUMBER(L17:L213),ROW(L17:L213),"")))</f>
        <v>8.0950549450549438</v>
      </c>
      <c r="N17" s="13">
        <f>IF('Données projet'!$A$36&gt;35,N16+M17-V16,IF(A17&lt;'Données projet'!$A$36,$K$205^A17,IF(A17='Données projet'!$A$36,'Données projet'!$B$36,N16+M17-V16)))</f>
        <v>113.33076923076922</v>
      </c>
      <c r="O17" s="13">
        <f>N17*VLOOKUP('Données projet'!$B$9,Paramètres!$A$1:$I$89,3,0)*VLOOKUP('Données projet'!$B$9,Paramètres!$A$1:$I$89,5,0)</f>
        <v>67.771799999999999</v>
      </c>
      <c r="P17" s="13">
        <f t="shared" si="33"/>
        <v>19.119079515297894</v>
      </c>
      <c r="Q17" s="20">
        <f t="shared" si="2"/>
        <v>151.33494848914384</v>
      </c>
      <c r="R17" s="59">
        <f t="shared" si="0"/>
        <v>444.66828182247718</v>
      </c>
      <c r="S17" s="59">
        <f ca="1">AVERAGE(OFFSET($R$3,0,0,'Données projet'!$E$9+1,1))-AVERAGE(OFFSET($H$3,0,0,'Données projet'!$E$9+1,1))</f>
        <v>195.14508560011791</v>
      </c>
      <c r="T17" s="59">
        <f t="shared" si="34"/>
        <v>285.1531413455931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35.969230769230769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0.25200000000000006</v>
      </c>
      <c r="Y17" s="16">
        <f>IF(ISNA(VLOOKUP(A17,'Données projet'!$A$35:$I$55,7,0)),0%,VLOOKUP(A17,'Données projet'!$A$35:$I$55,7,0))</f>
        <v>0.44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7.1622235664490104</v>
      </c>
      <c r="AB17" s="21">
        <f>EXP(-LN(2)/2)*AB16+(1-EXP(-LN(2)/2))/(LN(2)/2)*V17*Y17*VLOOKUP('Données projet'!$B$9,Paramètres!$A$1:$I$89,3,0)*0.475*44/12</f>
        <v>10.715700083825119</v>
      </c>
      <c r="AC17" s="22">
        <f t="shared" si="3"/>
        <v>17.877923650274131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>
        <f>VLOOKUP(A17,'Données projet'!$A$61:$I$81,2,0)</f>
        <v>113.33076923076922</v>
      </c>
      <c r="AG17" s="12">
        <f>VLOOKUP(A17,'Données projet'!$A$61:$I$81,9,0)</f>
        <v>8.0950549450549438</v>
      </c>
      <c r="AH17" s="12">
        <f t="array" ref="AH17">INDEX(AG:AG,MIN(IF(ISNUMBER(AG17:AG213),ROW(AG17:AG213),"")))</f>
        <v>8.0950549450549438</v>
      </c>
      <c r="AI17" s="13">
        <f>IF('Données projet'!$A$62&gt;35,AI16+AH17-AQ16,IF(A17&lt;'Données projet'!$A$62,$AF$205^A17,IF(A17='Données projet'!$A$62,'Données projet'!$B$62,AI16+AH17-AQ16)))</f>
        <v>113.33076923076922</v>
      </c>
      <c r="AJ17" s="13">
        <f>AI17*VLOOKUP('Données projet'!$B$10,Paramètres!$A$1:$I$89,3,0)*VLOOKUP('Données projet'!$B$10,Paramètres!$A$1:$I$89,5,0)</f>
        <v>67.771799999999999</v>
      </c>
      <c r="AK17" s="13">
        <f t="shared" si="35"/>
        <v>19.119079515297894</v>
      </c>
      <c r="AL17" s="20">
        <f t="shared" si="4"/>
        <v>151.33494848914384</v>
      </c>
      <c r="AM17" s="59">
        <f t="shared" si="5"/>
        <v>444.66828182247718</v>
      </c>
      <c r="AN17" s="59">
        <f ca="1">AVERAGE(OFFSET($AM$3,0,0,'Données projet'!$E$10+1,1))-AVERAGE(OFFSET($H$3,0,0,'Données projet'!$E$10+1,1))</f>
        <v>195.14508560011791</v>
      </c>
      <c r="AO17" s="59">
        <f t="shared" si="36"/>
        <v>285.1531413455931</v>
      </c>
      <c r="AP17" s="15">
        <f>IF(ISNA(VLOOKUP(A17,'Données projet'!$A$61:$I$81,3,0)),0,VLOOKUP(A17,'Données projet'!$A$61:$I$81,3,0))</f>
        <v>1</v>
      </c>
      <c r="AQ17" s="15">
        <f>IF(ISNA(VLOOKUP(A17,'Données projet'!$A$61:$I$81,4,0)),0,VLOOKUP(A17,'Données projet'!$A$61:$I$81,4,0))</f>
        <v>35.969230769230769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0.25200000000000006</v>
      </c>
      <c r="AT17" s="16">
        <f>IF(ISNA(VLOOKUP(A17,'Données projet'!$A$61:$I$81,7,0)),0%,VLOOKUP(A17,'Données projet'!$A$61:$I$81,7,0))</f>
        <v>0.44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7.1622235664490104</v>
      </c>
      <c r="AW17" s="21">
        <f>EXP(-LN(2)/2)*AW16+(1-EXP(-LN(2)/2))/(LN(2)/2)*AQ17*AT17*VLOOKUP('Données projet'!$B$10,Paramètres!$A$1:$I$89,3,0)*0.475*44/12</f>
        <v>10.715700083825119</v>
      </c>
      <c r="AX17" s="21">
        <f t="shared" si="6"/>
        <v>17.877923650274131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3.3653846157894738</v>
      </c>
      <c r="BD17" s="12">
        <f>IF('Données projet'!$A$88&gt;35,BD16+BC17-BL16,IF(A17&lt;'Données projet'!$A$88,$BA$205^A17,IF(A17='Données projet'!$A$88,'Données projet'!$B$88,BD16+BC17-BL16)))</f>
        <v>47.115384621052634</v>
      </c>
      <c r="BE17" s="13">
        <f>BD17*VLOOKUP('Données projet'!$B$11,Paramètres!$A$1:$I$89,3,0)*VLOOKUP('Données projet'!$B$11,Paramètres!$A$1:$I$89,5,0)</f>
        <v>39.690000004774745</v>
      </c>
      <c r="BF17" s="13">
        <f t="shared" si="37"/>
        <v>11.916444205721771</v>
      </c>
      <c r="BG17" s="20">
        <f t="shared" si="7"/>
        <v>89.881223666614758</v>
      </c>
      <c r="BH17" s="59">
        <f t="shared" si="8"/>
        <v>383.21455699994806</v>
      </c>
      <c r="BI17" s="59">
        <f ca="1">AVERAGE(OFFSET($BH$3,0,0,'Données projet'!$E$11+1,1))-AVERAGE(OFFSET($H$3,0,0,'Données projet'!$E$11+1,1))</f>
        <v>179.55753939285887</v>
      </c>
      <c r="BJ17" s="59">
        <f t="shared" si="38"/>
        <v>147.29214162149162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18.447692307692307</v>
      </c>
      <c r="N18" s="13">
        <f>IF('Données projet'!$A$36&gt;35,N17+M18-V17,IF(A18&lt;'Données projet'!$A$36,$K$205^A18,IF(A18='Données projet'!$A$36,'Données projet'!$B$36,N17+M18-V17)))</f>
        <v>95.809230769230766</v>
      </c>
      <c r="O18" s="13">
        <f>N18*VLOOKUP('Données projet'!$B$9,Paramètres!$A$1:$I$89,3,0)*VLOOKUP('Données projet'!$B$9,Paramètres!$A$1:$I$89,5,0)</f>
        <v>57.29392</v>
      </c>
      <c r="P18" s="13">
        <f t="shared" si="33"/>
        <v>16.482260295625579</v>
      </c>
      <c r="Q18" s="20">
        <f t="shared" si="2"/>
        <v>128.49351401488121</v>
      </c>
      <c r="R18" s="59">
        <f t="shared" si="0"/>
        <v>421.82684734821453</v>
      </c>
      <c r="S18" s="59">
        <f ca="1">AVERAGE(OFFSET($R$3,0,0,'Données projet'!$E$9+1,1))-AVERAGE(OFFSET($H$3,0,0,'Données projet'!$E$9+1,1))</f>
        <v>195.14508560011791</v>
      </c>
      <c r="T18" s="59">
        <f t="shared" si="34"/>
        <v>285.1531413455931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6.9663721863794947</v>
      </c>
      <c r="AB18" s="21">
        <f>EXP(-LN(2)/2)*AB17+(1-EXP(-LN(2)/2))/(LN(2)/2)*V18*Y18*VLOOKUP('Données projet'!$B$9,Paramètres!$A$1:$I$89,3,0)*0.475*44/12</f>
        <v>7.5771441944339983</v>
      </c>
      <c r="AC18" s="22">
        <f t="shared" si="3"/>
        <v>14.543516380813493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18.447692307692307</v>
      </c>
      <c r="AI18" s="13">
        <f>IF('Données projet'!$A$62&gt;35,AI17+AH18-AQ17,IF(A18&lt;'Données projet'!$A$62,$AF$205^A18,IF(A18='Données projet'!$A$62,'Données projet'!$B$62,AI17+AH18-AQ17)))</f>
        <v>95.809230769230766</v>
      </c>
      <c r="AJ18" s="13">
        <f>AI18*VLOOKUP('Données projet'!$B$10,Paramètres!$A$1:$I$89,3,0)*VLOOKUP('Données projet'!$B$10,Paramètres!$A$1:$I$89,5,0)</f>
        <v>57.29392</v>
      </c>
      <c r="AK18" s="13">
        <f t="shared" si="35"/>
        <v>16.482260295625579</v>
      </c>
      <c r="AL18" s="20">
        <f t="shared" si="4"/>
        <v>128.49351401488121</v>
      </c>
      <c r="AM18" s="59">
        <f t="shared" si="5"/>
        <v>421.82684734821453</v>
      </c>
      <c r="AN18" s="59">
        <f ca="1">AVERAGE(OFFSET($AM$3,0,0,'Données projet'!$E$10+1,1))-AVERAGE(OFFSET($H$3,0,0,'Données projet'!$E$10+1,1))</f>
        <v>195.14508560011791</v>
      </c>
      <c r="AO18" s="59">
        <f t="shared" si="36"/>
        <v>285.1531413455931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6.9663721863794947</v>
      </c>
      <c r="AW18" s="21">
        <f>EXP(-LN(2)/2)*AW17+(1-EXP(-LN(2)/2))/(LN(2)/2)*AQ18*AT18*VLOOKUP('Données projet'!$B$10,Paramètres!$A$1:$I$89,3,0)*0.475*44/12</f>
        <v>7.5771441944339983</v>
      </c>
      <c r="AX18" s="21">
        <f t="shared" si="6"/>
        <v>14.543516380813493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3.3653846157894738</v>
      </c>
      <c r="BD18" s="12">
        <f>IF('Données projet'!$A$88&gt;35,BD17+BC18-BL17,IF(A18&lt;'Données projet'!$A$88,$BA$205^A18,IF(A18='Données projet'!$A$88,'Données projet'!$B$88,BD17+BC18-BL17)))</f>
        <v>50.480769236842107</v>
      </c>
      <c r="BE18" s="13">
        <f>BD18*VLOOKUP('Données projet'!$B$11,Paramètres!$A$1:$I$89,3,0)*VLOOKUP('Données projet'!$B$11,Paramètres!$A$1:$I$89,5,0)</f>
        <v>42.5250000051158</v>
      </c>
      <c r="BF18" s="13">
        <f t="shared" si="37"/>
        <v>12.665495591634674</v>
      </c>
      <c r="BG18" s="20">
        <f t="shared" si="7"/>
        <v>96.12344649767374</v>
      </c>
      <c r="BH18" s="59">
        <f t="shared" si="8"/>
        <v>389.45677983100705</v>
      </c>
      <c r="BI18" s="59">
        <f ca="1">AVERAGE(OFFSET($BH$3,0,0,'Données projet'!$E$11+1,1))-AVERAGE(OFFSET($H$3,0,0,'Données projet'!$E$11+1,1))</f>
        <v>179.55753939285887</v>
      </c>
      <c r="BJ18" s="59">
        <f t="shared" si="38"/>
        <v>147.29214162149162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18.447692307692307</v>
      </c>
      <c r="N19" s="13">
        <f>IF('Données projet'!$A$36&gt;35,N18+M19-V18,IF(A19&lt;'Données projet'!$A$36,$K$205^A19,IF(A19='Données projet'!$A$36,'Données projet'!$B$36,N18+M19-V18)))</f>
        <v>114.25692307692307</v>
      </c>
      <c r="O19" s="13">
        <f>N19*VLOOKUP('Données projet'!$B$9,Paramètres!$A$1:$I$89,3,0)*VLOOKUP('Données projet'!$B$9,Paramètres!$A$1:$I$89,5,0)</f>
        <v>68.325640000000007</v>
      </c>
      <c r="P19" s="13">
        <f t="shared" si="33"/>
        <v>19.257070909644309</v>
      </c>
      <c r="Q19" s="20">
        <f t="shared" si="2"/>
        <v>152.53988816763052</v>
      </c>
      <c r="R19" s="59">
        <f t="shared" si="0"/>
        <v>445.87322150096384</v>
      </c>
      <c r="S19" s="59">
        <f ca="1">AVERAGE(OFFSET($R$3,0,0,'Données projet'!$E$9+1,1))-AVERAGE(OFFSET($H$3,0,0,'Données projet'!$E$9+1,1))</f>
        <v>195.14508560011791</v>
      </c>
      <c r="T19" s="59">
        <f t="shared" si="34"/>
        <v>285.1531413455931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6.7758763725973559</v>
      </c>
      <c r="AB19" s="21">
        <f>EXP(-LN(2)/2)*AB18+(1-EXP(-LN(2)/2))/(LN(2)/2)*V19*Y19*VLOOKUP('Données projet'!$B$9,Paramètres!$A$1:$I$89,3,0)*0.475*44/12</f>
        <v>5.3578500419125605</v>
      </c>
      <c r="AC19" s="22">
        <f t="shared" si="3"/>
        <v>12.133726414509916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18.447692307692307</v>
      </c>
      <c r="AI19" s="13">
        <f>IF('Données projet'!$A$62&gt;35,AI18+AH19-AQ18,IF(A19&lt;'Données projet'!$A$62,$AF$205^A19,IF(A19='Données projet'!$A$62,'Données projet'!$B$62,AI18+AH19-AQ18)))</f>
        <v>114.25692307692307</v>
      </c>
      <c r="AJ19" s="13">
        <f>AI19*VLOOKUP('Données projet'!$B$10,Paramètres!$A$1:$I$89,3,0)*VLOOKUP('Données projet'!$B$10,Paramètres!$A$1:$I$89,5,0)</f>
        <v>68.325640000000007</v>
      </c>
      <c r="AK19" s="13">
        <f t="shared" si="35"/>
        <v>19.257070909644309</v>
      </c>
      <c r="AL19" s="20">
        <f t="shared" si="4"/>
        <v>152.53988816763052</v>
      </c>
      <c r="AM19" s="59">
        <f t="shared" si="5"/>
        <v>445.87322150096384</v>
      </c>
      <c r="AN19" s="59">
        <f ca="1">AVERAGE(OFFSET($AM$3,0,0,'Données projet'!$E$10+1,1))-AVERAGE(OFFSET($H$3,0,0,'Données projet'!$E$10+1,1))</f>
        <v>195.14508560011791</v>
      </c>
      <c r="AO19" s="59">
        <f t="shared" si="36"/>
        <v>285.1531413455931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6.7758763725973559</v>
      </c>
      <c r="AW19" s="21">
        <f>EXP(-LN(2)/2)*AW18+(1-EXP(-LN(2)/2))/(LN(2)/2)*AQ19*AT19*VLOOKUP('Données projet'!$B$10,Paramètres!$A$1:$I$89,3,0)*0.475*44/12</f>
        <v>5.3578500419125605</v>
      </c>
      <c r="AX19" s="21">
        <f t="shared" si="6"/>
        <v>12.133726414509916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3.3653846157894738</v>
      </c>
      <c r="BD19" s="12">
        <f>IF('Données projet'!$A$88&gt;35,BD18+BC19-BL18,IF(A19&lt;'Données projet'!$A$88,$BA$205^A19,IF(A19='Données projet'!$A$88,'Données projet'!$B$88,BD18+BC19-BL18)))</f>
        <v>53.846153852631581</v>
      </c>
      <c r="BE19" s="13">
        <f>BD19*VLOOKUP('Données projet'!$B$11,Paramètres!$A$1:$I$89,3,0)*VLOOKUP('Données projet'!$B$11,Paramètres!$A$1:$I$89,5,0)</f>
        <v>45.360000005456847</v>
      </c>
      <c r="BF19" s="13">
        <f t="shared" si="37"/>
        <v>13.408752304157963</v>
      </c>
      <c r="BG19" s="20">
        <f t="shared" si="7"/>
        <v>102.35557693924579</v>
      </c>
      <c r="BH19" s="59">
        <f t="shared" si="8"/>
        <v>395.68891027257911</v>
      </c>
      <c r="BI19" s="59">
        <f ca="1">AVERAGE(OFFSET($BH$3,0,0,'Données projet'!$E$11+1,1))-AVERAGE(OFFSET($H$3,0,0,'Données projet'!$E$11+1,1))</f>
        <v>179.55753939285887</v>
      </c>
      <c r="BJ19" s="59">
        <f t="shared" si="38"/>
        <v>147.29214162149162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18.447692307692307</v>
      </c>
      <c r="N20" s="13">
        <f>IF('Données projet'!$A$36&gt;35,N19+M20-V19,IF(A20&lt;'Données projet'!$A$36,$K$205^A20,IF(A20='Données projet'!$A$36,'Données projet'!$B$36,N19+M20-V19)))</f>
        <v>132.70461538461538</v>
      </c>
      <c r="O20" s="13">
        <f>N20*VLOOKUP('Données projet'!$B$9,Paramètres!$A$1:$I$89,3,0)*VLOOKUP('Données projet'!$B$9,Paramètres!$A$1:$I$89,5,0)</f>
        <v>79.35736</v>
      </c>
      <c r="P20" s="13">
        <f t="shared" si="33"/>
        <v>21.979981626269101</v>
      </c>
      <c r="Q20" s="20">
        <f t="shared" si="2"/>
        <v>176.49586999908536</v>
      </c>
      <c r="R20" s="59">
        <f t="shared" si="0"/>
        <v>469.82920333241867</v>
      </c>
      <c r="S20" s="59">
        <f ca="1">AVERAGE(OFFSET($R$3,0,0,'Données projet'!$E$9+1,1))-AVERAGE(OFFSET($H$3,0,0,'Données projet'!$E$9+1,1))</f>
        <v>195.14508560011791</v>
      </c>
      <c r="T20" s="59">
        <f t="shared" si="34"/>
        <v>285.1531413455931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6.5905896768608292</v>
      </c>
      <c r="AB20" s="21">
        <f>EXP(-LN(2)/2)*AB19+(1-EXP(-LN(2)/2))/(LN(2)/2)*V20*Y20*VLOOKUP('Données projet'!$B$9,Paramètres!$A$1:$I$89,3,0)*0.475*44/12</f>
        <v>3.7885720972169996</v>
      </c>
      <c r="AC20" s="22">
        <f t="shared" si="3"/>
        <v>10.379161774077829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18.447692307692307</v>
      </c>
      <c r="AI20" s="13">
        <f>IF('Données projet'!$A$62&gt;35,AI19+AH20-AQ19,IF(A20&lt;'Données projet'!$A$62,$AF$205^A20,IF(A20='Données projet'!$A$62,'Données projet'!$B$62,AI19+AH20-AQ19)))</f>
        <v>132.70461538461538</v>
      </c>
      <c r="AJ20" s="13">
        <f>AI20*VLOOKUP('Données projet'!$B$10,Paramètres!$A$1:$I$89,3,0)*VLOOKUP('Données projet'!$B$10,Paramètres!$A$1:$I$89,5,0)</f>
        <v>79.35736</v>
      </c>
      <c r="AK20" s="13">
        <f t="shared" si="35"/>
        <v>21.979981626269101</v>
      </c>
      <c r="AL20" s="20">
        <f t="shared" si="4"/>
        <v>176.49586999908536</v>
      </c>
      <c r="AM20" s="59">
        <f t="shared" si="5"/>
        <v>469.82920333241867</v>
      </c>
      <c r="AN20" s="59">
        <f ca="1">AVERAGE(OFFSET($AM$3,0,0,'Données projet'!$E$10+1,1))-AVERAGE(OFFSET($H$3,0,0,'Données projet'!$E$10+1,1))</f>
        <v>195.14508560011791</v>
      </c>
      <c r="AO20" s="59">
        <f t="shared" si="36"/>
        <v>285.1531413455931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6.5905896768608292</v>
      </c>
      <c r="AW20" s="21">
        <f>EXP(-LN(2)/2)*AW19+(1-EXP(-LN(2)/2))/(LN(2)/2)*AQ20*AT20*VLOOKUP('Données projet'!$B$10,Paramètres!$A$1:$I$89,3,0)*0.475*44/12</f>
        <v>3.7885720972169996</v>
      </c>
      <c r="AX20" s="21">
        <f t="shared" si="6"/>
        <v>10.379161774077829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3.3653846157894738</v>
      </c>
      <c r="BD20" s="12">
        <f>IF('Données projet'!$A$88&gt;35,BD19+BC20-BL19,IF(A20&lt;'Données projet'!$A$88,$BA$205^A20,IF(A20='Données projet'!$A$88,'Données projet'!$B$88,BD19+BC20-BL19)))</f>
        <v>57.211538468421054</v>
      </c>
      <c r="BE20" s="13">
        <f>BD20*VLOOKUP('Données projet'!$B$11,Paramètres!$A$1:$I$89,3,0)*VLOOKUP('Données projet'!$B$11,Paramètres!$A$1:$I$89,5,0)</f>
        <v>48.195000005797901</v>
      </c>
      <c r="BF20" s="13">
        <f t="shared" si="37"/>
        <v>14.146617740910532</v>
      </c>
      <c r="BG20" s="20">
        <f t="shared" si="7"/>
        <v>108.57831757551719</v>
      </c>
      <c r="BH20" s="59">
        <f t="shared" si="8"/>
        <v>401.9116509088505</v>
      </c>
      <c r="BI20" s="59">
        <f ca="1">AVERAGE(OFFSET($BH$3,0,0,'Données projet'!$E$11+1,1))-AVERAGE(OFFSET($H$3,0,0,'Données projet'!$E$11+1,1))</f>
        <v>179.55753939285887</v>
      </c>
      <c r="BJ20" s="59">
        <f t="shared" si="38"/>
        <v>147.29214162149162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18.447692307692307</v>
      </c>
      <c r="N21" s="13">
        <f>IF('Données projet'!$A$36&gt;35,N20+M21-V20,IF(A21&lt;'Données projet'!$A$36,$K$205^A21,IF(A21='Données projet'!$A$36,'Données projet'!$B$36,N20+M21-V20)))</f>
        <v>151.15230769230769</v>
      </c>
      <c r="O21" s="13">
        <f>N21*VLOOKUP('Données projet'!$B$9,Paramètres!$A$1:$I$89,3,0)*VLOOKUP('Données projet'!$B$9,Paramètres!$A$1:$I$89,5,0)</f>
        <v>90.389080000000007</v>
      </c>
      <c r="P21" s="13">
        <f t="shared" si="33"/>
        <v>24.659038148983221</v>
      </c>
      <c r="Q21" s="20">
        <f t="shared" si="2"/>
        <v>200.37547244281245</v>
      </c>
      <c r="R21" s="59">
        <f t="shared" si="0"/>
        <v>493.70880577614577</v>
      </c>
      <c r="S21" s="59">
        <f ca="1">AVERAGE(OFFSET($R$3,0,0,'Données projet'!$E$9+1,1))-AVERAGE(OFFSET($H$3,0,0,'Données projet'!$E$9+1,1))</f>
        <v>195.14508560011791</v>
      </c>
      <c r="T21" s="59">
        <f t="shared" si="34"/>
        <v>285.1531413455931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6.4103696555630219</v>
      </c>
      <c r="AB21" s="21">
        <f>EXP(-LN(2)/2)*AB20+(1-EXP(-LN(2)/2))/(LN(2)/2)*V21*Y21*VLOOKUP('Données projet'!$B$9,Paramètres!$A$1:$I$89,3,0)*0.475*44/12</f>
        <v>2.6789250209562807</v>
      </c>
      <c r="AC21" s="22">
        <f t="shared" si="3"/>
        <v>9.0892946765193017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18.447692307692307</v>
      </c>
      <c r="AI21" s="13">
        <f>IF('Données projet'!$A$62&gt;35,AI20+AH21-AQ20,IF(A21&lt;'Données projet'!$A$62,$AF$205^A21,IF(A21='Données projet'!$A$62,'Données projet'!$B$62,AI20+AH21-AQ20)))</f>
        <v>151.15230769230769</v>
      </c>
      <c r="AJ21" s="13">
        <f>AI21*VLOOKUP('Données projet'!$B$10,Paramètres!$A$1:$I$89,3,0)*VLOOKUP('Données projet'!$B$10,Paramètres!$A$1:$I$89,5,0)</f>
        <v>90.389080000000007</v>
      </c>
      <c r="AK21" s="13">
        <f t="shared" si="35"/>
        <v>24.659038148983221</v>
      </c>
      <c r="AL21" s="20">
        <f t="shared" si="4"/>
        <v>200.37547244281245</v>
      </c>
      <c r="AM21" s="59">
        <f t="shared" si="5"/>
        <v>493.70880577614577</v>
      </c>
      <c r="AN21" s="59">
        <f ca="1">AVERAGE(OFFSET($AM$3,0,0,'Données projet'!$E$10+1,1))-AVERAGE(OFFSET($H$3,0,0,'Données projet'!$E$10+1,1))</f>
        <v>195.14508560011791</v>
      </c>
      <c r="AO21" s="59">
        <f t="shared" si="36"/>
        <v>285.1531413455931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6.4103696555630219</v>
      </c>
      <c r="AW21" s="21">
        <f>EXP(-LN(2)/2)*AW20+(1-EXP(-LN(2)/2))/(LN(2)/2)*AQ21*AT21*VLOOKUP('Données projet'!$B$10,Paramètres!$A$1:$I$89,3,0)*0.475*44/12</f>
        <v>2.6789250209562807</v>
      </c>
      <c r="AX21" s="21">
        <f t="shared" si="6"/>
        <v>9.0892946765193017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3.3653846157894738</v>
      </c>
      <c r="BD21" s="12">
        <f>IF('Données projet'!$A$88&gt;35,BD20+BC21-BL20,IF(A21&lt;'Données projet'!$A$88,$BA$205^A21,IF(A21='Données projet'!$A$88,'Données projet'!$B$88,BD20+BC21-BL20)))</f>
        <v>60.576923084210527</v>
      </c>
      <c r="BE21" s="13">
        <f>BD21*VLOOKUP('Données projet'!$B$11,Paramètres!$A$1:$I$89,3,0)*VLOOKUP('Données projet'!$B$11,Paramètres!$A$1:$I$89,5,0)</f>
        <v>51.030000006138955</v>
      </c>
      <c r="BF21" s="13">
        <f t="shared" si="37"/>
        <v>14.879445160000142</v>
      </c>
      <c r="BG21" s="20">
        <f t="shared" si="7"/>
        <v>114.79228366435892</v>
      </c>
      <c r="BH21" s="59">
        <f t="shared" si="8"/>
        <v>408.12561699769225</v>
      </c>
      <c r="BI21" s="59">
        <f ca="1">AVERAGE(OFFSET($BH$3,0,0,'Données projet'!$E$11+1,1))-AVERAGE(OFFSET($H$3,0,0,'Données projet'!$E$11+1,1))</f>
        <v>179.55753939285887</v>
      </c>
      <c r="BJ21" s="59">
        <f t="shared" si="38"/>
        <v>147.29214162149162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169.6</v>
      </c>
      <c r="L22" s="12">
        <f>VLOOKUP(A22,'Données projet'!$A$35:$I$55,9,0)</f>
        <v>18.447692307692307</v>
      </c>
      <c r="M22" s="12">
        <f t="array" ref="M22">INDEX(L:L,MIN(IF(ISNUMBER(L22:L218),ROW(L22:L218),"")))</f>
        <v>18.447692307692307</v>
      </c>
      <c r="N22" s="13">
        <f>IF('Données projet'!$A$36&gt;35,N21+M22-V21,IF(A22&lt;'Données projet'!$A$36,$K$205^A22,IF(A22='Données projet'!$A$36,'Données projet'!$B$36,N21+M22-V21)))</f>
        <v>169.6</v>
      </c>
      <c r="O22" s="13">
        <f>N22*VLOOKUP('Données projet'!$B$9,Paramètres!$A$1:$I$89,3,0)*VLOOKUP('Données projet'!$B$9,Paramètres!$A$1:$I$89,5,0)</f>
        <v>101.42080000000001</v>
      </c>
      <c r="P22" s="13">
        <f t="shared" si="33"/>
        <v>27.300205128881174</v>
      </c>
      <c r="Q22" s="20">
        <f t="shared" si="2"/>
        <v>224.1890839328014</v>
      </c>
      <c r="R22" s="59">
        <f t="shared" si="0"/>
        <v>517.52241726613465</v>
      </c>
      <c r="S22" s="59">
        <f ca="1">AVERAGE(OFFSET($R$3,0,0,'Données projet'!$E$9+1,1))-AVERAGE(OFFSET($H$3,0,0,'Données projet'!$E$9+1,1))</f>
        <v>195.14508560011791</v>
      </c>
      <c r="T22" s="59">
        <f t="shared" si="34"/>
        <v>285.1531413455931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54.907692307692301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0.25200000000000006</v>
      </c>
      <c r="Y22" s="16">
        <f>IF(ISNA(VLOOKUP(A22,'Données projet'!$A$35:$I$55,7,0)),0%,VLOOKUP(A22,'Données projet'!$A$35:$I$55,7,0))</f>
        <v>0.44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17.168343760505763</v>
      </c>
      <c r="AB22" s="21">
        <f>EXP(-LN(2)/2)*AB21+(1-EXP(-LN(2)/2))/(LN(2)/2)*V22*Y22*VLOOKUP('Données projet'!$B$9,Paramètres!$A$1:$I$89,3,0)*0.475*44/12</f>
        <v>18.251999307450181</v>
      </c>
      <c r="AC22" s="22">
        <f t="shared" si="3"/>
        <v>35.42034306795594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>
        <f>VLOOKUP(A22,'Données projet'!$A$61:$I$81,2,0)</f>
        <v>169.6</v>
      </c>
      <c r="AG22" s="12">
        <f>VLOOKUP(A22,'Données projet'!$A$61:$I$81,9,0)</f>
        <v>18.447692307692307</v>
      </c>
      <c r="AH22" s="12">
        <f t="array" ref="AH22">INDEX(AG:AG,MIN(IF(ISNUMBER(AG22:AG218),ROW(AG22:AG218),"")))</f>
        <v>18.447692307692307</v>
      </c>
      <c r="AI22" s="13">
        <f>IF('Données projet'!$A$62&gt;35,AI21+AH22-AQ21,IF(A22&lt;'Données projet'!$A$62,$AF$205^A22,IF(A22='Données projet'!$A$62,'Données projet'!$B$62,AI21+AH22-AQ21)))</f>
        <v>169.6</v>
      </c>
      <c r="AJ22" s="13">
        <f>AI22*VLOOKUP('Données projet'!$B$10,Paramètres!$A$1:$I$89,3,0)*VLOOKUP('Données projet'!$B$10,Paramètres!$A$1:$I$89,5,0)</f>
        <v>101.42080000000001</v>
      </c>
      <c r="AK22" s="13">
        <f t="shared" si="35"/>
        <v>27.300205128881174</v>
      </c>
      <c r="AL22" s="20">
        <f t="shared" si="4"/>
        <v>224.1890839328014</v>
      </c>
      <c r="AM22" s="59">
        <f t="shared" si="5"/>
        <v>517.52241726613465</v>
      </c>
      <c r="AN22" s="59">
        <f ca="1">AVERAGE(OFFSET($AM$3,0,0,'Données projet'!$E$10+1,1))-AVERAGE(OFFSET($H$3,0,0,'Données projet'!$E$10+1,1))</f>
        <v>195.14508560011791</v>
      </c>
      <c r="AO22" s="59">
        <f t="shared" si="36"/>
        <v>285.1531413455931</v>
      </c>
      <c r="AP22" s="15">
        <f>IF(ISNA(VLOOKUP(A22,'Données projet'!$A$61:$I$81,3,0)),0,VLOOKUP(A22,'Données projet'!$A$61:$I$81,3,0))</f>
        <v>2</v>
      </c>
      <c r="AQ22" s="15">
        <f>IF(ISNA(VLOOKUP(A22,'Données projet'!$A$61:$I$81,4,0)),0,VLOOKUP(A22,'Données projet'!$A$61:$I$81,4,0))</f>
        <v>54.907692307692301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0.25200000000000006</v>
      </c>
      <c r="AT22" s="16">
        <f>IF(ISNA(VLOOKUP(A22,'Données projet'!$A$61:$I$81,7,0)),0%,VLOOKUP(A22,'Données projet'!$A$61:$I$81,7,0))</f>
        <v>0.44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17.168343760505763</v>
      </c>
      <c r="AW22" s="21">
        <f>EXP(-LN(2)/2)*AW21+(1-EXP(-LN(2)/2))/(LN(2)/2)*AQ22*AT22*VLOOKUP('Données projet'!$B$10,Paramètres!$A$1:$I$89,3,0)*0.475*44/12</f>
        <v>18.251999307450181</v>
      </c>
      <c r="AX22" s="21">
        <f t="shared" si="6"/>
        <v>35.42034306795594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3.3653846157894738</v>
      </c>
      <c r="BD22" s="12">
        <f>IF('Données projet'!$A$88&gt;35,BD21+BC22-BL21,IF(A22&lt;'Données projet'!$A$88,$BA$205^A22,IF(A22='Données projet'!$A$88,'Données projet'!$B$88,BD21+BC22-BL21)))</f>
        <v>63.942307700000001</v>
      </c>
      <c r="BE22" s="13">
        <f>BD22*VLOOKUP('Données projet'!$B$11,Paramètres!$A$1:$I$89,3,0)*VLOOKUP('Données projet'!$B$11,Paramètres!$A$1:$I$89,5,0)</f>
        <v>53.865000006480003</v>
      </c>
      <c r="BF22" s="13">
        <f t="shared" si="37"/>
        <v>15.607546351784183</v>
      </c>
      <c r="BG22" s="20">
        <f t="shared" si="7"/>
        <v>120.99801824064345</v>
      </c>
      <c r="BH22" s="59">
        <f t="shared" si="8"/>
        <v>414.33135157397675</v>
      </c>
      <c r="BI22" s="59">
        <f ca="1">AVERAGE(OFFSET($BH$3,0,0,'Données projet'!$E$11+1,1))-AVERAGE(OFFSET($H$3,0,0,'Données projet'!$E$11+1,1))</f>
        <v>179.55753939285887</v>
      </c>
      <c r="BJ22" s="59">
        <f t="shared" si="38"/>
        <v>147.29214162149162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17.520512820512817</v>
      </c>
      <c r="N23" s="13">
        <f>IF('Données projet'!$A$36&gt;35,N22+M23-V22,IF(A23&lt;'Données projet'!$A$36,$K$205^A23,IF(A23='Données projet'!$A$36,'Données projet'!$B$36,N22+M23-V22)))</f>
        <v>132.21282051282049</v>
      </c>
      <c r="O23" s="13">
        <f>N23*VLOOKUP('Données projet'!$B$9,Paramètres!$A$1:$I$89,3,0)*VLOOKUP('Données projet'!$B$9,Paramètres!$A$1:$I$89,5,0)</f>
        <v>79.063266666666664</v>
      </c>
      <c r="P23" s="13">
        <f t="shared" si="33"/>
        <v>21.907991192432455</v>
      </c>
      <c r="Q23" s="20">
        <f t="shared" si="2"/>
        <v>175.85827410459763</v>
      </c>
      <c r="R23" s="59">
        <f t="shared" si="0"/>
        <v>469.19160743793094</v>
      </c>
      <c r="S23" s="59">
        <f ca="1">AVERAGE(OFFSET($R$3,0,0,'Données projet'!$E$9+1,1))-AVERAGE(OFFSET($H$3,0,0,'Données projet'!$E$9+1,1))</f>
        <v>195.14508560011791</v>
      </c>
      <c r="T23" s="59">
        <f t="shared" si="34"/>
        <v>285.1531413455931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16.698874497530774</v>
      </c>
      <c r="AB23" s="21">
        <f>EXP(-LN(2)/2)*AB22+(1-EXP(-LN(2)/2))/(LN(2)/2)*V23*Y23*VLOOKUP('Données projet'!$B$9,Paramètres!$A$1:$I$89,3,0)*0.475*44/12</f>
        <v>12.906112480510192</v>
      </c>
      <c r="AC23" s="22">
        <f t="shared" si="3"/>
        <v>29.604986978040966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17.520512820512817</v>
      </c>
      <c r="AI23" s="13">
        <f>IF('Données projet'!$A$62&gt;35,AI22+AH23-AQ22,IF(A23&lt;'Données projet'!$A$62,$AF$205^A23,IF(A23='Données projet'!$A$62,'Données projet'!$B$62,AI22+AH23-AQ22)))</f>
        <v>132.21282051282049</v>
      </c>
      <c r="AJ23" s="13">
        <f>AI23*VLOOKUP('Données projet'!$B$10,Paramètres!$A$1:$I$89,3,0)*VLOOKUP('Données projet'!$B$10,Paramètres!$A$1:$I$89,5,0)</f>
        <v>79.063266666666664</v>
      </c>
      <c r="AK23" s="13">
        <f t="shared" si="35"/>
        <v>21.907991192432455</v>
      </c>
      <c r="AL23" s="20">
        <f t="shared" si="4"/>
        <v>175.85827410459763</v>
      </c>
      <c r="AM23" s="59">
        <f t="shared" si="5"/>
        <v>469.19160743793094</v>
      </c>
      <c r="AN23" s="59">
        <f ca="1">AVERAGE(OFFSET($AM$3,0,0,'Données projet'!$E$10+1,1))-AVERAGE(OFFSET($H$3,0,0,'Données projet'!$E$10+1,1))</f>
        <v>195.14508560011791</v>
      </c>
      <c r="AO23" s="59">
        <f t="shared" si="36"/>
        <v>285.1531413455931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16.698874497530774</v>
      </c>
      <c r="AW23" s="21">
        <f>EXP(-LN(2)/2)*AW22+(1-EXP(-LN(2)/2))/(LN(2)/2)*AQ23*AT23*VLOOKUP('Données projet'!$B$10,Paramètres!$A$1:$I$89,3,0)*0.475*44/12</f>
        <v>12.906112480510192</v>
      </c>
      <c r="AX23" s="21">
        <f t="shared" si="6"/>
        <v>29.604986978040966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3.3653846157894738</v>
      </c>
      <c r="BD23" s="12">
        <f>IF('Données projet'!$A$88&gt;35,BD22+BC23-BL22,IF(A23&lt;'Données projet'!$A$88,$BA$205^A23,IF(A23='Données projet'!$A$88,'Données projet'!$B$88,BD22+BC23-BL22)))</f>
        <v>67.307692315789481</v>
      </c>
      <c r="BE23" s="13">
        <f>BD23*VLOOKUP('Données projet'!$B$11,Paramètres!$A$1:$I$89,3,0)*VLOOKUP('Données projet'!$B$11,Paramètres!$A$1:$I$89,5,0)</f>
        <v>56.700000006821064</v>
      </c>
      <c r="BF23" s="13">
        <f t="shared" si="37"/>
        <v>16.33119843291534</v>
      </c>
      <c r="BG23" s="20">
        <f t="shared" si="7"/>
        <v>127.19600394920758</v>
      </c>
      <c r="BH23" s="59">
        <f t="shared" si="8"/>
        <v>420.52933728254089</v>
      </c>
      <c r="BI23" s="59">
        <f ca="1">AVERAGE(OFFSET($BH$3,0,0,'Données projet'!$E$11+1,1))-AVERAGE(OFFSET($H$3,0,0,'Données projet'!$E$11+1,1))</f>
        <v>179.55753939285887</v>
      </c>
      <c r="BJ23" s="59">
        <f t="shared" si="38"/>
        <v>147.29214162149162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17.520512820512817</v>
      </c>
      <c r="N24" s="13">
        <f>IF('Données projet'!$A$36&gt;35,N23+M24-V23,IF(A24&lt;'Données projet'!$A$36,$K$205^A24,IF(A24='Données projet'!$A$36,'Données projet'!$B$36,N23+M24-V23)))</f>
        <v>149.73333333333329</v>
      </c>
      <c r="O24" s="13">
        <f>N24*VLOOKUP('Données projet'!$B$9,Paramètres!$A$1:$I$89,3,0)*VLOOKUP('Données projet'!$B$9,Paramètres!$A$1:$I$89,5,0)</f>
        <v>89.540533333333315</v>
      </c>
      <c r="P24" s="13">
        <f t="shared" si="33"/>
        <v>24.454379710376543</v>
      </c>
      <c r="Q24" s="20">
        <f t="shared" si="2"/>
        <v>198.54114021779466</v>
      </c>
      <c r="R24" s="59">
        <f t="shared" si="0"/>
        <v>491.87447355112795</v>
      </c>
      <c r="S24" s="59">
        <f ca="1">AVERAGE(OFFSET($R$3,0,0,'Données projet'!$E$9+1,1))-AVERAGE(OFFSET($H$3,0,0,'Données projet'!$E$9+1,1))</f>
        <v>195.14508560011791</v>
      </c>
      <c r="T24" s="59">
        <f t="shared" si="34"/>
        <v>285.1531413455931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16.24224289624015</v>
      </c>
      <c r="AB24" s="21">
        <f>EXP(-LN(2)/2)*AB23+(1-EXP(-LN(2)/2))/(LN(2)/2)*V24*Y24*VLOOKUP('Données projet'!$B$9,Paramètres!$A$1:$I$89,3,0)*0.475*44/12</f>
        <v>9.1259996537250903</v>
      </c>
      <c r="AC24" s="22">
        <f t="shared" si="3"/>
        <v>25.368242549965238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17.520512820512817</v>
      </c>
      <c r="AI24" s="13">
        <f>IF('Données projet'!$A$62&gt;35,AI23+AH24-AQ23,IF(A24&lt;'Données projet'!$A$62,$AF$205^A24,IF(A24='Données projet'!$A$62,'Données projet'!$B$62,AI23+AH24-AQ23)))</f>
        <v>149.73333333333329</v>
      </c>
      <c r="AJ24" s="13">
        <f>AI24*VLOOKUP('Données projet'!$B$10,Paramètres!$A$1:$I$89,3,0)*VLOOKUP('Données projet'!$B$10,Paramètres!$A$1:$I$89,5,0)</f>
        <v>89.540533333333315</v>
      </c>
      <c r="AK24" s="13">
        <f t="shared" si="35"/>
        <v>24.454379710376543</v>
      </c>
      <c r="AL24" s="20">
        <f t="shared" si="4"/>
        <v>198.54114021779466</v>
      </c>
      <c r="AM24" s="59">
        <f t="shared" si="5"/>
        <v>491.87447355112795</v>
      </c>
      <c r="AN24" s="59">
        <f ca="1">AVERAGE(OFFSET($AM$3,0,0,'Données projet'!$E$10+1,1))-AVERAGE(OFFSET($H$3,0,0,'Données projet'!$E$10+1,1))</f>
        <v>195.14508560011791</v>
      </c>
      <c r="AO24" s="59">
        <f t="shared" si="36"/>
        <v>285.1531413455931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16.24224289624015</v>
      </c>
      <c r="AW24" s="21">
        <f>EXP(-LN(2)/2)*AW23+(1-EXP(-LN(2)/2))/(LN(2)/2)*AQ24*AT24*VLOOKUP('Données projet'!$B$10,Paramètres!$A$1:$I$89,3,0)*0.475*44/12</f>
        <v>9.1259996537250903</v>
      </c>
      <c r="AX24" s="21">
        <f t="shared" si="6"/>
        <v>25.368242549965238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3.3653846157894738</v>
      </c>
      <c r="BD24" s="12">
        <f>IF('Données projet'!$A$88&gt;35,BD23+BC24-BL23,IF(A24&lt;'Données projet'!$A$88,$BA$205^A24,IF(A24='Données projet'!$A$88,'Données projet'!$B$88,BD23+BC24-BL23)))</f>
        <v>70.673076931578962</v>
      </c>
      <c r="BE24" s="13">
        <f>BD24*VLOOKUP('Données projet'!$B$11,Paramètres!$A$1:$I$89,3,0)*VLOOKUP('Données projet'!$B$11,Paramètres!$A$1:$I$89,5,0)</f>
        <v>59.535000007162125</v>
      </c>
      <c r="BF24" s="13">
        <f t="shared" si="37"/>
        <v>17.050649242963075</v>
      </c>
      <c r="BG24" s="20">
        <f t="shared" si="7"/>
        <v>133.38667244396808</v>
      </c>
      <c r="BH24" s="59">
        <f t="shared" si="8"/>
        <v>426.72000577730137</v>
      </c>
      <c r="BI24" s="59">
        <f ca="1">AVERAGE(OFFSET($BH$3,0,0,'Données projet'!$E$11+1,1))-AVERAGE(OFFSET($H$3,0,0,'Données projet'!$E$11+1,1))</f>
        <v>179.55753939285887</v>
      </c>
      <c r="BJ24" s="59">
        <f t="shared" si="38"/>
        <v>147.29214162149162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17.520512820512817</v>
      </c>
      <c r="N25" s="13">
        <f>IF('Données projet'!$A$36&gt;35,N24+M25-V24,IF(A25&lt;'Données projet'!$A$36,$K$205^A25,IF(A25='Données projet'!$A$36,'Données projet'!$B$36,N24+M25-V24)))</f>
        <v>167.2538461538461</v>
      </c>
      <c r="O25" s="13">
        <f>N25*VLOOKUP('Données projet'!$B$9,Paramètres!$A$1:$I$89,3,0)*VLOOKUP('Données projet'!$B$9,Paramètres!$A$1:$I$89,5,0)</f>
        <v>100.01779999999998</v>
      </c>
      <c r="P25" s="13">
        <f t="shared" si="33"/>
        <v>26.966238108966916</v>
      </c>
      <c r="Q25" s="20">
        <f t="shared" si="2"/>
        <v>221.16386637311734</v>
      </c>
      <c r="R25" s="59">
        <f t="shared" si="0"/>
        <v>514.4971997064506</v>
      </c>
      <c r="S25" s="59">
        <f ca="1">AVERAGE(OFFSET($R$3,0,0,'Données projet'!$E$9+1,1))-AVERAGE(OFFSET($H$3,0,0,'Données projet'!$E$9+1,1))</f>
        <v>195.14508560011791</v>
      </c>
      <c r="T25" s="59">
        <f t="shared" si="34"/>
        <v>285.1531413455931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15.798097910100031</v>
      </c>
      <c r="AB25" s="21">
        <f>EXP(-LN(2)/2)*AB24+(1-EXP(-LN(2)/2))/(LN(2)/2)*V25*Y25*VLOOKUP('Données projet'!$B$9,Paramètres!$A$1:$I$89,3,0)*0.475*44/12</f>
        <v>6.4530562402550959</v>
      </c>
      <c r="AC25" s="22">
        <f t="shared" si="3"/>
        <v>22.251154150355127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17.520512820512817</v>
      </c>
      <c r="AI25" s="13">
        <f>IF('Données projet'!$A$62&gt;35,AI24+AH25-AQ24,IF(A25&lt;'Données projet'!$A$62,$AF$205^A25,IF(A25='Données projet'!$A$62,'Données projet'!$B$62,AI24+AH25-AQ24)))</f>
        <v>167.2538461538461</v>
      </c>
      <c r="AJ25" s="13">
        <f>AI25*VLOOKUP('Données projet'!$B$10,Paramètres!$A$1:$I$89,3,0)*VLOOKUP('Données projet'!$B$10,Paramètres!$A$1:$I$89,5,0)</f>
        <v>100.01779999999998</v>
      </c>
      <c r="AK25" s="13">
        <f t="shared" si="35"/>
        <v>26.966238108966916</v>
      </c>
      <c r="AL25" s="20">
        <f t="shared" si="4"/>
        <v>221.16386637311734</v>
      </c>
      <c r="AM25" s="59">
        <f t="shared" si="5"/>
        <v>514.4971997064506</v>
      </c>
      <c r="AN25" s="59">
        <f ca="1">AVERAGE(OFFSET($AM$3,0,0,'Données projet'!$E$10+1,1))-AVERAGE(OFFSET($H$3,0,0,'Données projet'!$E$10+1,1))</f>
        <v>195.14508560011791</v>
      </c>
      <c r="AO25" s="59">
        <f t="shared" si="36"/>
        <v>285.1531413455931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15.798097910100031</v>
      </c>
      <c r="AW25" s="21">
        <f>EXP(-LN(2)/2)*AW24+(1-EXP(-LN(2)/2))/(LN(2)/2)*AQ25*AT25*VLOOKUP('Données projet'!$B$10,Paramètres!$A$1:$I$89,3,0)*0.475*44/12</f>
        <v>6.4530562402550959</v>
      </c>
      <c r="AX25" s="21">
        <f t="shared" si="6"/>
        <v>22.251154150355127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3.3653846157894738</v>
      </c>
      <c r="BD25" s="12">
        <f>IF('Données projet'!$A$88&gt;35,BD24+BC25-BL24,IF(A25&lt;'Données projet'!$A$88,$BA$205^A25,IF(A25='Données projet'!$A$88,'Données projet'!$B$88,BD24+BC25-BL24)))</f>
        <v>74.038461547368442</v>
      </c>
      <c r="BE25" s="13">
        <f>BD25*VLOOKUP('Données projet'!$B$11,Paramètres!$A$1:$I$89,3,0)*VLOOKUP('Données projet'!$B$11,Paramètres!$A$1:$I$89,5,0)</f>
        <v>62.37000000750318</v>
      </c>
      <c r="BF25" s="13">
        <f t="shared" si="37"/>
        <v>17.766121683982465</v>
      </c>
      <c r="BG25" s="20">
        <f t="shared" si="7"/>
        <v>139.57041194600416</v>
      </c>
      <c r="BH25" s="59">
        <f t="shared" si="8"/>
        <v>432.9037452793375</v>
      </c>
      <c r="BI25" s="59">
        <f ca="1">AVERAGE(OFFSET($BH$3,0,0,'Données projet'!$E$11+1,1))-AVERAGE(OFFSET($H$3,0,0,'Données projet'!$E$11+1,1))</f>
        <v>179.55753939285887</v>
      </c>
      <c r="BJ25" s="59">
        <f t="shared" si="38"/>
        <v>147.29214162149162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17.520512820512817</v>
      </c>
      <c r="N26" s="13">
        <f>IF('Données projet'!$A$36&gt;35,N25+M26-V25,IF(A26&lt;'Données projet'!$A$36,$K$205^A26,IF(A26='Données projet'!$A$36,'Données projet'!$B$36,N25+M26-V25)))</f>
        <v>184.7743589743589</v>
      </c>
      <c r="O26" s="13">
        <f>N26*VLOOKUP('Données projet'!$B$9,Paramètres!$A$1:$I$89,3,0)*VLOOKUP('Données projet'!$B$9,Paramètres!$A$1:$I$89,5,0)</f>
        <v>110.49506666666665</v>
      </c>
      <c r="P26" s="13">
        <f t="shared" si="33"/>
        <v>29.447595639110826</v>
      </c>
      <c r="Q26" s="20">
        <f t="shared" si="2"/>
        <v>243.73347018256243</v>
      </c>
      <c r="R26" s="59">
        <f t="shared" si="0"/>
        <v>537.0668035158958</v>
      </c>
      <c r="S26" s="59">
        <f ca="1">AVERAGE(OFFSET($R$3,0,0,'Données projet'!$E$9+1,1))-AVERAGE(OFFSET($H$3,0,0,'Données projet'!$E$9+1,1))</f>
        <v>195.14508560011791</v>
      </c>
      <c r="T26" s="59">
        <f t="shared" si="34"/>
        <v>285.1531413455931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15.366098091962483</v>
      </c>
      <c r="AB26" s="21">
        <f>EXP(-LN(2)/2)*AB25+(1-EXP(-LN(2)/2))/(LN(2)/2)*V26*Y26*VLOOKUP('Données projet'!$B$9,Paramètres!$A$1:$I$89,3,0)*0.475*44/12</f>
        <v>4.5629998268625451</v>
      </c>
      <c r="AC26" s="22">
        <f t="shared" si="3"/>
        <v>19.929097918825029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17.520512820512817</v>
      </c>
      <c r="AI26" s="13">
        <f>IF('Données projet'!$A$62&gt;35,AI25+AH26-AQ25,IF(A26&lt;'Données projet'!$A$62,$AF$205^A26,IF(A26='Données projet'!$A$62,'Données projet'!$B$62,AI25+AH26-AQ25)))</f>
        <v>184.7743589743589</v>
      </c>
      <c r="AJ26" s="13">
        <f>AI26*VLOOKUP('Données projet'!$B$10,Paramètres!$A$1:$I$89,3,0)*VLOOKUP('Données projet'!$B$10,Paramètres!$A$1:$I$89,5,0)</f>
        <v>110.49506666666665</v>
      </c>
      <c r="AK26" s="13">
        <f t="shared" si="35"/>
        <v>29.447595639110826</v>
      </c>
      <c r="AL26" s="20">
        <f t="shared" si="4"/>
        <v>243.73347018256243</v>
      </c>
      <c r="AM26" s="59">
        <f t="shared" si="5"/>
        <v>537.0668035158958</v>
      </c>
      <c r="AN26" s="59">
        <f ca="1">AVERAGE(OFFSET($AM$3,0,0,'Données projet'!$E$10+1,1))-AVERAGE(OFFSET($H$3,0,0,'Données projet'!$E$10+1,1))</f>
        <v>195.14508560011791</v>
      </c>
      <c r="AO26" s="59">
        <f t="shared" si="36"/>
        <v>285.1531413455931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15.366098091962483</v>
      </c>
      <c r="AW26" s="21">
        <f>EXP(-LN(2)/2)*AW25+(1-EXP(-LN(2)/2))/(LN(2)/2)*AQ26*AT26*VLOOKUP('Données projet'!$B$10,Paramètres!$A$1:$I$89,3,0)*0.475*44/12</f>
        <v>4.5629998268625451</v>
      </c>
      <c r="AX26" s="21">
        <f t="shared" si="6"/>
        <v>19.929097918825029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3.3653846157894738</v>
      </c>
      <c r="BD26" s="12">
        <f>IF('Données projet'!$A$88&gt;35,BD25+BC26-BL25,IF(A26&lt;'Données projet'!$A$88,$BA$205^A26,IF(A26='Données projet'!$A$88,'Données projet'!$B$88,BD25+BC26-BL25)))</f>
        <v>77.403846163157922</v>
      </c>
      <c r="BE26" s="13">
        <f>BD26*VLOOKUP('Données projet'!$B$11,Paramètres!$A$1:$I$89,3,0)*VLOOKUP('Données projet'!$B$11,Paramètres!$A$1:$I$89,5,0)</f>
        <v>65.205000007844248</v>
      </c>
      <c r="BF26" s="13">
        <f t="shared" si="37"/>
        <v>18.477817248766996</v>
      </c>
      <c r="BG26" s="20">
        <f t="shared" si="7"/>
        <v>145.74757338859791</v>
      </c>
      <c r="BH26" s="59">
        <f t="shared" si="8"/>
        <v>439.08090672193123</v>
      </c>
      <c r="BI26" s="59">
        <f ca="1">AVERAGE(OFFSET($BH$3,0,0,'Données projet'!$E$11+1,1))-AVERAGE(OFFSET($H$3,0,0,'Données projet'!$E$11+1,1))</f>
        <v>179.55753939285887</v>
      </c>
      <c r="BJ26" s="59">
        <f t="shared" si="38"/>
        <v>147.29214162149162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17.520512820512817</v>
      </c>
      <c r="N27" s="13">
        <f>IF('Données projet'!$A$36&gt;35,N26+M27-V26,IF(A27&lt;'Données projet'!$A$36,$K$205^A27,IF(A27='Données projet'!$A$36,'Données projet'!$B$36,N26+M27-V26)))</f>
        <v>202.29487179487171</v>
      </c>
      <c r="O27" s="13">
        <f>N27*VLOOKUP('Données projet'!$B$9,Paramètres!$A$1:$I$89,3,0)*VLOOKUP('Données projet'!$B$9,Paramètres!$A$1:$I$89,5,0)</f>
        <v>120.9723333333333</v>
      </c>
      <c r="P27" s="13">
        <f t="shared" si="33"/>
        <v>31.901673452036796</v>
      </c>
      <c r="Q27" s="20">
        <f t="shared" si="2"/>
        <v>266.25556181785288</v>
      </c>
      <c r="R27" s="59">
        <f t="shared" si="0"/>
        <v>559.58889515118619</v>
      </c>
      <c r="S27" s="59">
        <f ca="1">AVERAGE(OFFSET($R$3,0,0,'Données projet'!$E$9+1,1))-AVERAGE(OFFSET($H$3,0,0,'Données projet'!$E$9+1,1))</f>
        <v>195.14508560011791</v>
      </c>
      <c r="T27" s="59">
        <f t="shared" si="34"/>
        <v>285.1531413455931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14.945911331569789</v>
      </c>
      <c r="AB27" s="21">
        <f>EXP(-LN(2)/2)*AB26+(1-EXP(-LN(2)/2))/(LN(2)/2)*V27*Y27*VLOOKUP('Données projet'!$B$9,Paramètres!$A$1:$I$89,3,0)*0.475*44/12</f>
        <v>3.226528120127548</v>
      </c>
      <c r="AC27" s="22">
        <f t="shared" si="3"/>
        <v>18.172439451697336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17.520512820512817</v>
      </c>
      <c r="AI27" s="13">
        <f>IF('Données projet'!$A$62&gt;35,AI26+AH27-AQ26,IF(A27&lt;'Données projet'!$A$62,$AF$205^A27,IF(A27='Données projet'!$A$62,'Données projet'!$B$62,AI26+AH27-AQ26)))</f>
        <v>202.29487179487171</v>
      </c>
      <c r="AJ27" s="13">
        <f>AI27*VLOOKUP('Données projet'!$B$10,Paramètres!$A$1:$I$89,3,0)*VLOOKUP('Données projet'!$B$10,Paramètres!$A$1:$I$89,5,0)</f>
        <v>120.9723333333333</v>
      </c>
      <c r="AK27" s="13">
        <f t="shared" si="35"/>
        <v>31.901673452036796</v>
      </c>
      <c r="AL27" s="20">
        <f t="shared" si="4"/>
        <v>266.25556181785288</v>
      </c>
      <c r="AM27" s="59">
        <f t="shared" si="5"/>
        <v>559.58889515118619</v>
      </c>
      <c r="AN27" s="59">
        <f ca="1">AVERAGE(OFFSET($AM$3,0,0,'Données projet'!$E$10+1,1))-AVERAGE(OFFSET($H$3,0,0,'Données projet'!$E$10+1,1))</f>
        <v>195.14508560011791</v>
      </c>
      <c r="AO27" s="59">
        <f t="shared" si="36"/>
        <v>285.1531413455931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14.945911331569789</v>
      </c>
      <c r="AW27" s="21">
        <f>EXP(-LN(2)/2)*AW26+(1-EXP(-LN(2)/2))/(LN(2)/2)*AQ27*AT27*VLOOKUP('Données projet'!$B$10,Paramètres!$A$1:$I$89,3,0)*0.475*44/12</f>
        <v>3.226528120127548</v>
      </c>
      <c r="AX27" s="21">
        <f t="shared" si="6"/>
        <v>18.172439451697336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3.3653846157894738</v>
      </c>
      <c r="BD27" s="12">
        <f>IF('Données projet'!$A$88&gt;35,BD26+BC27-BL26,IF(A27&lt;'Données projet'!$A$88,$BA$205^A27,IF(A27='Données projet'!$A$88,'Données projet'!$B$88,BD26+BC27-BL26)))</f>
        <v>80.769230778947403</v>
      </c>
      <c r="BE27" s="13">
        <f>BD27*VLOOKUP('Données projet'!$B$11,Paramètres!$A$1:$I$89,3,0)*VLOOKUP('Données projet'!$B$11,Paramètres!$A$1:$I$89,5,0)</f>
        <v>68.040000008185302</v>
      </c>
      <c r="BF27" s="13">
        <f t="shared" si="37"/>
        <v>19.18591891817805</v>
      </c>
      <c r="BG27" s="20">
        <f t="shared" si="7"/>
        <v>151.91847546341617</v>
      </c>
      <c r="BH27" s="59">
        <f t="shared" si="8"/>
        <v>445.25180879674951</v>
      </c>
      <c r="BI27" s="59">
        <f ca="1">AVERAGE(OFFSET($BH$3,0,0,'Données projet'!$E$11+1,1))-AVERAGE(OFFSET($H$3,0,0,'Données projet'!$E$11+1,1))</f>
        <v>179.55753939285887</v>
      </c>
      <c r="BJ27" s="59">
        <f t="shared" si="38"/>
        <v>147.29214162149162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219.8153846153846</v>
      </c>
      <c r="L28" s="12">
        <f>VLOOKUP(A28,'Données projet'!$A$35:$I$55,9,0)</f>
        <v>17.520512820512817</v>
      </c>
      <c r="M28" s="12">
        <f t="array" ref="M28">INDEX(L:L,MIN(IF(ISNUMBER(L28:L224),ROW(L28:L224),"")))</f>
        <v>17.520512820512817</v>
      </c>
      <c r="N28" s="13">
        <f>IF('Données projet'!$A$36&gt;35,N27+M28-V27,IF(A28&lt;'Données projet'!$A$36,$K$205^A28,IF(A28='Données projet'!$A$36,'Données projet'!$B$36,N27+M28-V27)))</f>
        <v>219.81538461538452</v>
      </c>
      <c r="O28" s="13">
        <f>N28*VLOOKUP('Données projet'!$B$9,Paramètres!$A$1:$I$89,3,0)*VLOOKUP('Données projet'!$B$9,Paramètres!$A$1:$I$89,5,0)</f>
        <v>131.44959999999995</v>
      </c>
      <c r="P28" s="13">
        <f t="shared" si="33"/>
        <v>34.331102847209827</v>
      </c>
      <c r="Q28" s="20">
        <f t="shared" si="2"/>
        <v>288.73472412555702</v>
      </c>
      <c r="R28" s="59">
        <f t="shared" si="0"/>
        <v>582.06805745889028</v>
      </c>
      <c r="S28" s="59">
        <f ca="1">AVERAGE(OFFSET($R$3,0,0,'Données projet'!$E$9+1,1))-AVERAGE(OFFSET($H$3,0,0,'Données projet'!$E$9+1,1))</f>
        <v>195.14508560011791</v>
      </c>
      <c r="T28" s="59">
        <f t="shared" si="34"/>
        <v>285.1531413455931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52.9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0.25200000000000006</v>
      </c>
      <c r="Y28" s="16">
        <f>IF(ISNA(VLOOKUP(A28,'Données projet'!$A$35:$I$55,7,0)),0%,VLOOKUP(A28,'Données projet'!$A$35:$I$55,7,0))</f>
        <v>0.44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25.070707214965065</v>
      </c>
      <c r="AB28" s="21">
        <f>EXP(-LN(2)/2)*AB27+(1-EXP(-LN(2)/2))/(LN(2)/2)*V28*Y28*VLOOKUP('Données projet'!$B$9,Paramètres!$A$1:$I$89,3,0)*0.475*44/12</f>
        <v>18.041095609852434</v>
      </c>
      <c r="AC28" s="22">
        <f t="shared" si="3"/>
        <v>43.111802824817502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219.8153846153846</v>
      </c>
      <c r="AG28" s="12">
        <f>VLOOKUP(A28,'Données projet'!$A$61:$I$81,9,0)</f>
        <v>17.520512820512817</v>
      </c>
      <c r="AH28" s="12">
        <f t="array" ref="AH28">INDEX(AG:AG,MIN(IF(ISNUMBER(AG28:AG224),ROW(AG28:AG224),"")))</f>
        <v>17.520512820512817</v>
      </c>
      <c r="AI28" s="13">
        <f>IF('Données projet'!$A$62&gt;35,AI27+AH28-AQ27,IF(A28&lt;'Données projet'!$A$62,$AF$205^A28,IF(A28='Données projet'!$A$62,'Données projet'!$B$62,AI27+AH28-AQ27)))</f>
        <v>219.81538461538452</v>
      </c>
      <c r="AJ28" s="13">
        <f>AI28*VLOOKUP('Données projet'!$B$10,Paramètres!$A$1:$I$89,3,0)*VLOOKUP('Données projet'!$B$10,Paramètres!$A$1:$I$89,5,0)</f>
        <v>131.44959999999995</v>
      </c>
      <c r="AK28" s="13">
        <f t="shared" si="35"/>
        <v>34.331102847209827</v>
      </c>
      <c r="AL28" s="20">
        <f t="shared" si="4"/>
        <v>288.73472412555702</v>
      </c>
      <c r="AM28" s="59">
        <f t="shared" si="5"/>
        <v>582.06805745889028</v>
      </c>
      <c r="AN28" s="59">
        <f ca="1">AVERAGE(OFFSET($AM$3,0,0,'Données projet'!$E$10+1,1))-AVERAGE(OFFSET($H$3,0,0,'Données projet'!$E$10+1,1))</f>
        <v>195.14508560011791</v>
      </c>
      <c r="AO28" s="59">
        <f t="shared" si="36"/>
        <v>285.1531413455931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52.9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0.25200000000000006</v>
      </c>
      <c r="AT28" s="16">
        <f>IF(ISNA(VLOOKUP(A28,'Données projet'!$A$61:$I$81,7,0)),0%,VLOOKUP(A28,'Données projet'!$A$61:$I$81,7,0))</f>
        <v>0.44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25.070707214965065</v>
      </c>
      <c r="AW28" s="21">
        <f>EXP(-LN(2)/2)*AW27+(1-EXP(-LN(2)/2))/(LN(2)/2)*AQ28*AT28*VLOOKUP('Données projet'!$B$10,Paramètres!$A$1:$I$89,3,0)*0.475*44/12</f>
        <v>18.041095609852434</v>
      </c>
      <c r="AX28" s="21">
        <f t="shared" si="6"/>
        <v>43.111802824817502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3.3653846157894738</v>
      </c>
      <c r="BD28" s="12">
        <f>IF('Données projet'!$A$88&gt;35,BD27+BC28-BL27,IF(A28&lt;'Données projet'!$A$88,$BA$205^A28,IF(A28='Données projet'!$A$88,'Données projet'!$B$88,BD27+BC28-BL27)))</f>
        <v>84.134615394736883</v>
      </c>
      <c r="BE28" s="13">
        <f>BD28*VLOOKUP('Données projet'!$B$11,Paramètres!$A$1:$I$89,3,0)*VLOOKUP('Données projet'!$B$11,Paramètres!$A$1:$I$89,5,0)</f>
        <v>70.875000008526357</v>
      </c>
      <c r="BF28" s="13">
        <f t="shared" si="37"/>
        <v>19.890593561979102</v>
      </c>
      <c r="BG28" s="20">
        <f t="shared" si="7"/>
        <v>158.08340880196369</v>
      </c>
      <c r="BH28" s="59">
        <f t="shared" si="8"/>
        <v>451.416742135297</v>
      </c>
      <c r="BI28" s="59">
        <f ca="1">AVERAGE(OFFSET($BH$3,0,0,'Données projet'!$E$11+1,1))-AVERAGE(OFFSET($H$3,0,0,'Données projet'!$E$11+1,1))</f>
        <v>179.55753939285887</v>
      </c>
      <c r="BJ28" s="59">
        <f t="shared" si="38"/>
        <v>147.29214162149162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16.509890109890112</v>
      </c>
      <c r="N29" s="13">
        <f>IF('Données projet'!$A$36&gt;35,N28+M29-V28,IF(A29&lt;'Données projet'!$A$36,$K$205^A29,IF(A29='Données projet'!$A$36,'Données projet'!$B$36,N28+M29-V28)))</f>
        <v>183.42527472527462</v>
      </c>
      <c r="O29" s="13">
        <f>N29*VLOOKUP('Données projet'!$B$9,Paramètres!$A$1:$I$89,3,0)*VLOOKUP('Données projet'!$B$9,Paramètres!$A$1:$I$89,5,0)</f>
        <v>109.68831428571424</v>
      </c>
      <c r="P29" s="13">
        <f t="shared" si="33"/>
        <v>29.257536864157657</v>
      </c>
      <c r="Q29" s="20">
        <f t="shared" si="2"/>
        <v>241.99735741936021</v>
      </c>
      <c r="R29" s="59">
        <f t="shared" si="0"/>
        <v>535.3306907526935</v>
      </c>
      <c r="S29" s="59">
        <f ca="1">AVERAGE(OFFSET($R$3,0,0,'Données projet'!$E$9+1,1))-AVERAGE(OFFSET($H$3,0,0,'Données projet'!$E$9+1,1))</f>
        <v>195.14508560011791</v>
      </c>
      <c r="T29" s="59">
        <f t="shared" si="34"/>
        <v>285.1531413455931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24.385147407760652</v>
      </c>
      <c r="AB29" s="21">
        <f>EXP(-LN(2)/2)*AB28+(1-EXP(-LN(2)/2))/(LN(2)/2)*V29*Y29*VLOOKUP('Données projet'!$B$9,Paramètres!$A$1:$I$89,3,0)*0.475*44/12</f>
        <v>12.756981045761508</v>
      </c>
      <c r="AC29" s="22">
        <f t="shared" si="3"/>
        <v>37.142128453522162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16.509890109890112</v>
      </c>
      <c r="AI29" s="13">
        <f>IF('Données projet'!$A$62&gt;35,AI28+AH29-AQ28,IF(A29&lt;'Données projet'!$A$62,$AF$205^A29,IF(A29='Données projet'!$A$62,'Données projet'!$B$62,AI28+AH29-AQ28)))</f>
        <v>183.42527472527462</v>
      </c>
      <c r="AJ29" s="13">
        <f>AI29*VLOOKUP('Données projet'!$B$10,Paramètres!$A$1:$I$89,3,0)*VLOOKUP('Données projet'!$B$10,Paramètres!$A$1:$I$89,5,0)</f>
        <v>109.68831428571424</v>
      </c>
      <c r="AK29" s="13">
        <f t="shared" si="35"/>
        <v>29.257536864157657</v>
      </c>
      <c r="AL29" s="20">
        <f t="shared" si="4"/>
        <v>241.99735741936021</v>
      </c>
      <c r="AM29" s="59">
        <f t="shared" si="5"/>
        <v>535.3306907526935</v>
      </c>
      <c r="AN29" s="59">
        <f ca="1">AVERAGE(OFFSET($AM$3,0,0,'Données projet'!$E$10+1,1))-AVERAGE(OFFSET($H$3,0,0,'Données projet'!$E$10+1,1))</f>
        <v>195.14508560011791</v>
      </c>
      <c r="AO29" s="59">
        <f t="shared" si="36"/>
        <v>285.1531413455931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24.385147407760652</v>
      </c>
      <c r="AW29" s="21">
        <f>EXP(-LN(2)/2)*AW28+(1-EXP(-LN(2)/2))/(LN(2)/2)*AQ29*AT29*VLOOKUP('Données projet'!$B$10,Paramètres!$A$1:$I$89,3,0)*0.475*44/12</f>
        <v>12.756981045761508</v>
      </c>
      <c r="AX29" s="21">
        <f t="shared" si="6"/>
        <v>37.142128453522162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3.3653846157894738</v>
      </c>
      <c r="BD29" s="12">
        <f>IF('Données projet'!$A$88&gt;35,BD28+BC29-BL28,IF(A29&lt;'Données projet'!$A$88,$BA$205^A29,IF(A29='Données projet'!$A$88,'Données projet'!$B$88,BD28+BC29-BL28)))</f>
        <v>87.500000010526364</v>
      </c>
      <c r="BE29" s="13">
        <f>BD29*VLOOKUP('Données projet'!$B$11,Paramètres!$A$1:$I$89,3,0)*VLOOKUP('Données projet'!$B$11,Paramètres!$A$1:$I$89,5,0)</f>
        <v>73.710000008867425</v>
      </c>
      <c r="BF29" s="13">
        <f t="shared" si="37"/>
        <v>20.591993944723665</v>
      </c>
      <c r="BG29" s="20">
        <f t="shared" si="7"/>
        <v>164.24263946917114</v>
      </c>
      <c r="BH29" s="59">
        <f t="shared" si="8"/>
        <v>457.57597280250445</v>
      </c>
      <c r="BI29" s="59">
        <f ca="1">AVERAGE(OFFSET($BH$3,0,0,'Données projet'!$E$11+1,1))-AVERAGE(OFFSET($H$3,0,0,'Données projet'!$E$11+1,1))</f>
        <v>179.55753939285887</v>
      </c>
      <c r="BJ29" s="59">
        <f t="shared" si="38"/>
        <v>147.29214162149162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16.509890109890112</v>
      </c>
      <c r="N30" s="13">
        <f>IF('Données projet'!$A$36&gt;35,N29+M30-V29,IF(A30&lt;'Données projet'!$A$36,$K$205^A30,IF(A30='Données projet'!$A$36,'Données projet'!$B$36,N29+M30-V29)))</f>
        <v>199.93516483516473</v>
      </c>
      <c r="O30" s="13">
        <f>N30*VLOOKUP('Données projet'!$B$9,Paramètres!$A$1:$I$89,3,0)*VLOOKUP('Données projet'!$B$9,Paramètres!$A$1:$I$89,5,0)</f>
        <v>119.56122857142852</v>
      </c>
      <c r="P30" s="13">
        <f t="shared" si="33"/>
        <v>31.572641256590096</v>
      </c>
      <c r="Q30" s="20">
        <f t="shared" si="2"/>
        <v>263.22482328379903</v>
      </c>
      <c r="R30" s="59">
        <f t="shared" si="0"/>
        <v>556.55815661713234</v>
      </c>
      <c r="S30" s="59">
        <f ca="1">AVERAGE(OFFSET($R$3,0,0,'Données projet'!$E$9+1,1))-AVERAGE(OFFSET($H$3,0,0,'Données projet'!$E$9+1,1))</f>
        <v>195.14508560011791</v>
      </c>
      <c r="T30" s="59">
        <f t="shared" si="34"/>
        <v>285.1531413455931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23.718334269536268</v>
      </c>
      <c r="AB30" s="21">
        <f>EXP(-LN(2)/2)*AB29+(1-EXP(-LN(2)/2))/(LN(2)/2)*V30*Y30*VLOOKUP('Données projet'!$B$9,Paramètres!$A$1:$I$89,3,0)*0.475*44/12</f>
        <v>9.0205478049262169</v>
      </c>
      <c r="AC30" s="22">
        <f t="shared" si="3"/>
        <v>32.738882074462481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16.509890109890112</v>
      </c>
      <c r="AI30" s="13">
        <f>IF('Données projet'!$A$62&gt;35,AI29+AH30-AQ29,IF(A30&lt;'Données projet'!$A$62,$AF$205^A30,IF(A30='Données projet'!$A$62,'Données projet'!$B$62,AI29+AH30-AQ29)))</f>
        <v>199.93516483516473</v>
      </c>
      <c r="AJ30" s="13">
        <f>AI30*VLOOKUP('Données projet'!$B$10,Paramètres!$A$1:$I$89,3,0)*VLOOKUP('Données projet'!$B$10,Paramètres!$A$1:$I$89,5,0)</f>
        <v>119.56122857142852</v>
      </c>
      <c r="AK30" s="13">
        <f t="shared" si="35"/>
        <v>31.572641256590096</v>
      </c>
      <c r="AL30" s="20">
        <f t="shared" si="4"/>
        <v>263.22482328379903</v>
      </c>
      <c r="AM30" s="59">
        <f t="shared" si="5"/>
        <v>556.55815661713234</v>
      </c>
      <c r="AN30" s="59">
        <f ca="1">AVERAGE(OFFSET($AM$3,0,0,'Données projet'!$E$10+1,1))-AVERAGE(OFFSET($H$3,0,0,'Données projet'!$E$10+1,1))</f>
        <v>195.14508560011791</v>
      </c>
      <c r="AO30" s="59">
        <f t="shared" si="36"/>
        <v>285.1531413455931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23.718334269536268</v>
      </c>
      <c r="AW30" s="21">
        <f>EXP(-LN(2)/2)*AW29+(1-EXP(-LN(2)/2))/(LN(2)/2)*AQ30*AT30*VLOOKUP('Données projet'!$B$10,Paramètres!$A$1:$I$89,3,0)*0.475*44/12</f>
        <v>9.0205478049262169</v>
      </c>
      <c r="AX30" s="21">
        <f t="shared" si="6"/>
        <v>32.738882074462481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3.3653846157894738</v>
      </c>
      <c r="BD30" s="12">
        <f>IF('Données projet'!$A$88&gt;35,BD29+BC30-BL29,IF(A30&lt;'Données projet'!$A$88,$BA$205^A30,IF(A30='Données projet'!$A$88,'Données projet'!$B$88,BD29+BC30-BL29)))</f>
        <v>90.865384626315844</v>
      </c>
      <c r="BE30" s="13">
        <f>BD30*VLOOKUP('Données projet'!$B$11,Paramètres!$A$1:$I$89,3,0)*VLOOKUP('Données projet'!$B$11,Paramètres!$A$1:$I$89,5,0)</f>
        <v>76.545000009208465</v>
      </c>
      <c r="BF30" s="13">
        <f t="shared" si="37"/>
        <v>21.290260414364976</v>
      </c>
      <c r="BG30" s="20">
        <f t="shared" si="7"/>
        <v>170.39641190439042</v>
      </c>
      <c r="BH30" s="59">
        <f t="shared" si="8"/>
        <v>463.72974523772371</v>
      </c>
      <c r="BI30" s="59">
        <f ca="1">AVERAGE(OFFSET($BH$3,0,0,'Données projet'!$E$11+1,1))-AVERAGE(OFFSET($H$3,0,0,'Données projet'!$E$11+1,1))</f>
        <v>179.55753939285887</v>
      </c>
      <c r="BJ30" s="59">
        <f t="shared" si="38"/>
        <v>147.29214162149162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16.509890109890112</v>
      </c>
      <c r="N31" s="13">
        <f>IF('Données projet'!$A$36&gt;35,N30+M31-V30,IF(A31&lt;'Données projet'!$A$36,$K$205^A31,IF(A31='Données projet'!$A$36,'Données projet'!$B$36,N30+M31-V30)))</f>
        <v>216.44505494505484</v>
      </c>
      <c r="O31" s="13">
        <f>N31*VLOOKUP('Données projet'!$B$9,Paramètres!$A$1:$I$89,3,0)*VLOOKUP('Données projet'!$B$9,Paramètres!$A$1:$I$89,5,0)</f>
        <v>129.4341428571428</v>
      </c>
      <c r="P31" s="13">
        <f t="shared" si="33"/>
        <v>33.865573183196446</v>
      </c>
      <c r="Q31" s="20">
        <f t="shared" si="2"/>
        <v>284.4136721035909</v>
      </c>
      <c r="R31" s="59">
        <f t="shared" si="0"/>
        <v>577.74700543692416</v>
      </c>
      <c r="S31" s="59">
        <f ca="1">AVERAGE(OFFSET($R$3,0,0,'Données projet'!$E$9+1,1))-AVERAGE(OFFSET($H$3,0,0,'Données projet'!$E$9+1,1))</f>
        <v>195.14508560011791</v>
      </c>
      <c r="T31" s="59">
        <f t="shared" si="34"/>
        <v>285.1531413455931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23.069755171642807</v>
      </c>
      <c r="AB31" s="21">
        <f>EXP(-LN(2)/2)*AB30+(1-EXP(-LN(2)/2))/(LN(2)/2)*V31*Y31*VLOOKUP('Données projet'!$B$9,Paramètres!$A$1:$I$89,3,0)*0.475*44/12</f>
        <v>6.378490522880754</v>
      </c>
      <c r="AC31" s="22">
        <f t="shared" si="3"/>
        <v>29.44824569452356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16.509890109890112</v>
      </c>
      <c r="AI31" s="13">
        <f>IF('Données projet'!$A$62&gt;35,AI30+AH31-AQ30,IF(A31&lt;'Données projet'!$A$62,$AF$205^A31,IF(A31='Données projet'!$A$62,'Données projet'!$B$62,AI30+AH31-AQ30)))</f>
        <v>216.44505494505484</v>
      </c>
      <c r="AJ31" s="13">
        <f>AI31*VLOOKUP('Données projet'!$B$10,Paramètres!$A$1:$I$89,3,0)*VLOOKUP('Données projet'!$B$10,Paramètres!$A$1:$I$89,5,0)</f>
        <v>129.4341428571428</v>
      </c>
      <c r="AK31" s="13">
        <f t="shared" si="35"/>
        <v>33.865573183196446</v>
      </c>
      <c r="AL31" s="20">
        <f t="shared" si="4"/>
        <v>284.4136721035909</v>
      </c>
      <c r="AM31" s="59">
        <f t="shared" si="5"/>
        <v>577.74700543692416</v>
      </c>
      <c r="AN31" s="59">
        <f ca="1">AVERAGE(OFFSET($AM$3,0,0,'Données projet'!$E$10+1,1))-AVERAGE(OFFSET($H$3,0,0,'Données projet'!$E$10+1,1))</f>
        <v>195.14508560011791</v>
      </c>
      <c r="AO31" s="59">
        <f t="shared" si="36"/>
        <v>285.1531413455931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23.069755171642807</v>
      </c>
      <c r="AW31" s="21">
        <f>EXP(-LN(2)/2)*AW30+(1-EXP(-LN(2)/2))/(LN(2)/2)*AQ31*AT31*VLOOKUP('Données projet'!$B$10,Paramètres!$A$1:$I$89,3,0)*0.475*44/12</f>
        <v>6.378490522880754</v>
      </c>
      <c r="AX31" s="21">
        <f t="shared" si="6"/>
        <v>29.44824569452356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3.3653846157894738</v>
      </c>
      <c r="BD31" s="12">
        <f>IF('Données projet'!$A$88&gt;35,BD30+BC31-BL30,IF(A31&lt;'Données projet'!$A$88,$BA$205^A31,IF(A31='Données projet'!$A$88,'Données projet'!$B$88,BD30+BC31-BL30)))</f>
        <v>94.230769242105325</v>
      </c>
      <c r="BE31" s="13">
        <f>BD31*VLOOKUP('Données projet'!$B$11,Paramètres!$A$1:$I$89,3,0)*VLOOKUP('Données projet'!$B$11,Paramètres!$A$1:$I$89,5,0)</f>
        <v>79.380000009549534</v>
      </c>
      <c r="BF31" s="13">
        <f t="shared" si="37"/>
        <v>21.985522333668818</v>
      </c>
      <c r="BG31" s="20">
        <f t="shared" si="7"/>
        <v>176.54495141443863</v>
      </c>
      <c r="BH31" s="59">
        <f t="shared" si="8"/>
        <v>469.87828474777194</v>
      </c>
      <c r="BI31" s="59">
        <f ca="1">AVERAGE(OFFSET($BH$3,0,0,'Données projet'!$E$11+1,1))-AVERAGE(OFFSET($H$3,0,0,'Données projet'!$E$11+1,1))</f>
        <v>179.55753939285887</v>
      </c>
      <c r="BJ31" s="59">
        <f t="shared" si="38"/>
        <v>147.29214162149162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16.509890109890112</v>
      </c>
      <c r="N32" s="13">
        <f>IF('Données projet'!$A$36&gt;35,N31+M32-V31,IF(A32&lt;'Données projet'!$A$36,$K$205^A32,IF(A32='Données projet'!$A$36,'Données projet'!$B$36,N31+M32-V31)))</f>
        <v>232.95494505494494</v>
      </c>
      <c r="O32" s="13">
        <f>N32*VLOOKUP('Données projet'!$B$9,Paramètres!$A$1:$I$89,3,0)*VLOOKUP('Données projet'!$B$9,Paramètres!$A$1:$I$89,5,0)</f>
        <v>139.3070571428571</v>
      </c>
      <c r="P32" s="13">
        <f t="shared" si="33"/>
        <v>36.138216203973165</v>
      </c>
      <c r="Q32" s="20">
        <f t="shared" si="2"/>
        <v>305.56718441239605</v>
      </c>
      <c r="R32" s="59">
        <f t="shared" si="0"/>
        <v>598.9005177457293</v>
      </c>
      <c r="S32" s="59">
        <f ca="1">AVERAGE(OFFSET($R$3,0,0,'Données projet'!$E$9+1,1))-AVERAGE(OFFSET($H$3,0,0,'Données projet'!$E$9+1,1))</f>
        <v>195.14508560011791</v>
      </c>
      <c r="T32" s="59">
        <f t="shared" si="34"/>
        <v>285.1531413455931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22.438911503288537</v>
      </c>
      <c r="AB32" s="21">
        <f>EXP(-LN(2)/2)*AB31+(1-EXP(-LN(2)/2))/(LN(2)/2)*V32*Y32*VLOOKUP('Données projet'!$B$9,Paramètres!$A$1:$I$89,3,0)*0.475*44/12</f>
        <v>4.5102739024631084</v>
      </c>
      <c r="AC32" s="22">
        <f t="shared" si="3"/>
        <v>26.949185405751646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16.509890109890112</v>
      </c>
      <c r="AI32" s="13">
        <f>IF('Données projet'!$A$62&gt;35,AI31+AH32-AQ31,IF(A32&lt;'Données projet'!$A$62,$AF$205^A32,IF(A32='Données projet'!$A$62,'Données projet'!$B$62,AI31+AH32-AQ31)))</f>
        <v>232.95494505494494</v>
      </c>
      <c r="AJ32" s="13">
        <f>AI32*VLOOKUP('Données projet'!$B$10,Paramètres!$A$1:$I$89,3,0)*VLOOKUP('Données projet'!$B$10,Paramètres!$A$1:$I$89,5,0)</f>
        <v>139.3070571428571</v>
      </c>
      <c r="AK32" s="13">
        <f t="shared" si="35"/>
        <v>36.138216203973165</v>
      </c>
      <c r="AL32" s="20">
        <f t="shared" si="4"/>
        <v>305.56718441239605</v>
      </c>
      <c r="AM32" s="59">
        <f t="shared" si="5"/>
        <v>598.9005177457293</v>
      </c>
      <c r="AN32" s="59">
        <f ca="1">AVERAGE(OFFSET($AM$3,0,0,'Données projet'!$E$10+1,1))-AVERAGE(OFFSET($H$3,0,0,'Données projet'!$E$10+1,1))</f>
        <v>195.14508560011791</v>
      </c>
      <c r="AO32" s="59">
        <f t="shared" si="36"/>
        <v>285.1531413455931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22.438911503288537</v>
      </c>
      <c r="AW32" s="21">
        <f>EXP(-LN(2)/2)*AW31+(1-EXP(-LN(2)/2))/(LN(2)/2)*AQ32*AT32*VLOOKUP('Données projet'!$B$10,Paramètres!$A$1:$I$89,3,0)*0.475*44/12</f>
        <v>4.5102739024631084</v>
      </c>
      <c r="AX32" s="21">
        <f t="shared" si="6"/>
        <v>26.949185405751646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3.3653846157894738</v>
      </c>
      <c r="BD32" s="12">
        <f>IF('Données projet'!$A$88&gt;35,BD31+BC32-BL31,IF(A32&lt;'Données projet'!$A$88,$BA$205^A32,IF(A32='Données projet'!$A$88,'Données projet'!$B$88,BD31+BC32-BL31)))</f>
        <v>97.596153857894805</v>
      </c>
      <c r="BE32" s="13">
        <f>BD32*VLOOKUP('Données projet'!$B$11,Paramètres!$A$1:$I$89,3,0)*VLOOKUP('Données projet'!$B$11,Paramètres!$A$1:$I$89,5,0)</f>
        <v>82.215000009890588</v>
      </c>
      <c r="BF32" s="13">
        <f t="shared" si="37"/>
        <v>22.677899301392419</v>
      </c>
      <c r="BG32" s="20">
        <f t="shared" si="7"/>
        <v>182.68846630048458</v>
      </c>
      <c r="BH32" s="59">
        <f t="shared" si="8"/>
        <v>476.02179963381786</v>
      </c>
      <c r="BI32" s="59">
        <f ca="1">AVERAGE(OFFSET($BH$3,0,0,'Données projet'!$E$11+1,1))-AVERAGE(OFFSET($H$3,0,0,'Données projet'!$E$11+1,1))</f>
        <v>179.55753939285887</v>
      </c>
      <c r="BJ32" s="59">
        <f t="shared" si="38"/>
        <v>147.29214162149162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16.509890109890112</v>
      </c>
      <c r="N33" s="13">
        <f>IF('Données projet'!$A$36&gt;35,N32+M33-V32,IF(A33&lt;'Données projet'!$A$36,$K$205^A33,IF(A33='Données projet'!$A$36,'Données projet'!$B$36,N32+M33-V32)))</f>
        <v>249.46483516483505</v>
      </c>
      <c r="O33" s="13">
        <f>N33*VLOOKUP('Données projet'!$B$9,Paramètres!$A$1:$I$89,3,0)*VLOOKUP('Données projet'!$B$9,Paramètres!$A$1:$I$89,5,0)</f>
        <v>149.17997142857138</v>
      </c>
      <c r="P33" s="13">
        <f t="shared" si="33"/>
        <v>38.392171771867616</v>
      </c>
      <c r="Q33" s="20">
        <f t="shared" si="2"/>
        <v>326.68814940743124</v>
      </c>
      <c r="R33" s="59">
        <f t="shared" si="0"/>
        <v>620.02148274076455</v>
      </c>
      <c r="S33" s="59">
        <f ca="1">AVERAGE(OFFSET($R$3,0,0,'Données projet'!$E$9+1,1))-AVERAGE(OFFSET($H$3,0,0,'Données projet'!$E$9+1,1))</f>
        <v>195.14508560011791</v>
      </c>
      <c r="T33" s="59">
        <f t="shared" si="34"/>
        <v>285.1531413455931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21.825318288220039</v>
      </c>
      <c r="AB33" s="21">
        <f>EXP(-LN(2)/2)*AB32+(1-EXP(-LN(2)/2))/(LN(2)/2)*V33*Y33*VLOOKUP('Données projet'!$B$9,Paramètres!$A$1:$I$89,3,0)*0.475*44/12</f>
        <v>3.189245261440377</v>
      </c>
      <c r="AC33" s="22">
        <f t="shared" si="3"/>
        <v>25.014563549660416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16.509890109890112</v>
      </c>
      <c r="AI33" s="13">
        <f>IF('Données projet'!$A$62&gt;35,AI32+AH33-AQ32,IF(A33&lt;'Données projet'!$A$62,$AF$205^A33,IF(A33='Données projet'!$A$62,'Données projet'!$B$62,AI32+AH33-AQ32)))</f>
        <v>249.46483516483505</v>
      </c>
      <c r="AJ33" s="13">
        <f>AI33*VLOOKUP('Données projet'!$B$10,Paramètres!$A$1:$I$89,3,0)*VLOOKUP('Données projet'!$B$10,Paramètres!$A$1:$I$89,5,0)</f>
        <v>149.17997142857138</v>
      </c>
      <c r="AK33" s="13">
        <f t="shared" si="35"/>
        <v>38.392171771867616</v>
      </c>
      <c r="AL33" s="20">
        <f t="shared" si="4"/>
        <v>326.68814940743124</v>
      </c>
      <c r="AM33" s="59">
        <f t="shared" si="5"/>
        <v>620.02148274076455</v>
      </c>
      <c r="AN33" s="59">
        <f ca="1">AVERAGE(OFFSET($AM$3,0,0,'Données projet'!$E$10+1,1))-AVERAGE(OFFSET($H$3,0,0,'Données projet'!$E$10+1,1))</f>
        <v>195.14508560011791</v>
      </c>
      <c r="AO33" s="59">
        <f t="shared" si="36"/>
        <v>285.1531413455931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21.825318288220039</v>
      </c>
      <c r="AW33" s="21">
        <f>EXP(-LN(2)/2)*AW32+(1-EXP(-LN(2)/2))/(LN(2)/2)*AQ33*AT33*VLOOKUP('Données projet'!$B$10,Paramètres!$A$1:$I$89,3,0)*0.475*44/12</f>
        <v>3.189245261440377</v>
      </c>
      <c r="AX33" s="21">
        <f t="shared" si="6"/>
        <v>25.014563549660416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3.3653846157894738</v>
      </c>
      <c r="BD33" s="12">
        <f>IF('Données projet'!$A$88&gt;35,BD32+BC33-BL32,IF(A33&lt;'Données projet'!$A$88,$BA$205^A33,IF(A33='Données projet'!$A$88,'Données projet'!$B$88,BD32+BC33-BL32)))</f>
        <v>100.96153847368429</v>
      </c>
      <c r="BE33" s="13">
        <f>BD33*VLOOKUP('Données projet'!$B$11,Paramètres!$A$1:$I$89,3,0)*VLOOKUP('Données projet'!$B$11,Paramètres!$A$1:$I$89,5,0)</f>
        <v>85.050000010231642</v>
      </c>
      <c r="BF33" s="13">
        <f t="shared" si="37"/>
        <v>23.367502200292648</v>
      </c>
      <c r="BG33" s="20">
        <f t="shared" si="7"/>
        <v>188.82714968332979</v>
      </c>
      <c r="BH33" s="59">
        <f t="shared" si="8"/>
        <v>482.16048301666308</v>
      </c>
      <c r="BI33" s="59">
        <f ca="1">AVERAGE(OFFSET($BH$3,0,0,'Données projet'!$E$11+1,1))-AVERAGE(OFFSET($H$3,0,0,'Données projet'!$E$11+1,1))</f>
        <v>179.55753939285887</v>
      </c>
      <c r="BJ33" s="59">
        <f t="shared" si="38"/>
        <v>147.29214162149162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16.509890109890112</v>
      </c>
      <c r="N34" s="13">
        <f>IF('Données projet'!$A$36&gt;35,N33+M34-V33,IF(A34&lt;'Données projet'!$A$36,$K$205^A34,IF(A34='Données projet'!$A$36,'Données projet'!$B$36,N33+M34-V33)))</f>
        <v>265.97472527472519</v>
      </c>
      <c r="O34" s="13">
        <f>N34*VLOOKUP('Données projet'!$B$9,Paramètres!$A$1:$I$89,3,0)*VLOOKUP('Données projet'!$B$9,Paramètres!$A$1:$I$89,5,0)</f>
        <v>159.05288571428568</v>
      </c>
      <c r="P34" s="13">
        <f t="shared" si="33"/>
        <v>40.628817376911122</v>
      </c>
      <c r="Q34" s="20">
        <f t="shared" si="2"/>
        <v>347.77896621716781</v>
      </c>
      <c r="R34" s="59">
        <f t="shared" si="0"/>
        <v>641.11229955050112</v>
      </c>
      <c r="S34" s="59">
        <f ca="1">AVERAGE(OFFSET($R$3,0,0,'Données projet'!$E$9+1,1))-AVERAGE(OFFSET($H$3,0,0,'Données projet'!$E$9+1,1))</f>
        <v>195.14508560011791</v>
      </c>
      <c r="T34" s="59">
        <f t="shared" si="34"/>
        <v>285.1531413455931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21.228503811885055</v>
      </c>
      <c r="AB34" s="21">
        <f>EXP(-LN(2)/2)*AB33+(1-EXP(-LN(2)/2))/(LN(2)/2)*V34*Y34*VLOOKUP('Données projet'!$B$9,Paramètres!$A$1:$I$89,3,0)*0.475*44/12</f>
        <v>2.2551369512315542</v>
      </c>
      <c r="AC34" s="22">
        <f t="shared" si="3"/>
        <v>23.483640763116611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16.509890109890112</v>
      </c>
      <c r="AI34" s="13">
        <f>IF('Données projet'!$A$62&gt;35,AI33+AH34-AQ33,IF(A34&lt;'Données projet'!$A$62,$AF$205^A34,IF(A34='Données projet'!$A$62,'Données projet'!$B$62,AI33+AH34-AQ33)))</f>
        <v>265.97472527472519</v>
      </c>
      <c r="AJ34" s="13">
        <f>AI34*VLOOKUP('Données projet'!$B$10,Paramètres!$A$1:$I$89,3,0)*VLOOKUP('Données projet'!$B$10,Paramètres!$A$1:$I$89,5,0)</f>
        <v>159.05288571428568</v>
      </c>
      <c r="AK34" s="13">
        <f t="shared" si="35"/>
        <v>40.628817376911122</v>
      </c>
      <c r="AL34" s="20">
        <f t="shared" si="4"/>
        <v>347.77896621716781</v>
      </c>
      <c r="AM34" s="59">
        <f t="shared" si="5"/>
        <v>641.11229955050112</v>
      </c>
      <c r="AN34" s="59">
        <f ca="1">AVERAGE(OFFSET($AM$3,0,0,'Données projet'!$E$10+1,1))-AVERAGE(OFFSET($H$3,0,0,'Données projet'!$E$10+1,1))</f>
        <v>195.14508560011791</v>
      </c>
      <c r="AO34" s="59">
        <f t="shared" si="36"/>
        <v>285.1531413455931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21.228503811885055</v>
      </c>
      <c r="AW34" s="21">
        <f>EXP(-LN(2)/2)*AW33+(1-EXP(-LN(2)/2))/(LN(2)/2)*AQ34*AT34*VLOOKUP('Données projet'!$B$10,Paramètres!$A$1:$I$89,3,0)*0.475*44/12</f>
        <v>2.2551369512315542</v>
      </c>
      <c r="AX34" s="21">
        <f t="shared" si="6"/>
        <v>23.483640763116611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3.3653846157894738</v>
      </c>
      <c r="BD34" s="12">
        <f>IF('Données projet'!$A$88&gt;35,BD33+BC34-BL33,IF(A34&lt;'Données projet'!$A$88,$BA$205^A34,IF(A34='Données projet'!$A$88,'Données projet'!$B$88,BD33+BC34-BL33)))</f>
        <v>104.32692308947377</v>
      </c>
      <c r="BE34" s="13">
        <f>BD34*VLOOKUP('Données projet'!$B$11,Paramètres!$A$1:$I$89,3,0)*VLOOKUP('Données projet'!$B$11,Paramètres!$A$1:$I$89,5,0)</f>
        <v>87.88500001057271</v>
      </c>
      <c r="BF34" s="13">
        <f t="shared" si="37"/>
        <v>24.05443410147458</v>
      </c>
      <c r="BG34" s="20">
        <f t="shared" si="7"/>
        <v>194.96118107848235</v>
      </c>
      <c r="BH34" s="59">
        <f t="shared" si="8"/>
        <v>488.29451441181567</v>
      </c>
      <c r="BI34" s="59">
        <f ca="1">AVERAGE(OFFSET($BH$3,0,0,'Données projet'!$E$11+1,1))-AVERAGE(OFFSET($H$3,0,0,'Données projet'!$E$11+1,1))</f>
        <v>179.55753939285887</v>
      </c>
      <c r="BJ34" s="59">
        <f t="shared" si="38"/>
        <v>147.29214162149162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282.48461538461538</v>
      </c>
      <c r="L35" s="12">
        <f>VLOOKUP(A35,'Données projet'!$A$35:$I$55,9,0)</f>
        <v>16.509890109890112</v>
      </c>
      <c r="M35" s="12">
        <f t="array" ref="M35">INDEX(L:L,MIN(IF(ISNUMBER(L35:L231),ROW(L35:L231),"")))</f>
        <v>16.509890109890112</v>
      </c>
      <c r="N35" s="13">
        <f>IF('Données projet'!$A$36&gt;35,N34+M35-V34,IF(A35&lt;'Données projet'!$A$36,$K$205^A35,IF(A35='Données projet'!$A$36,'Données projet'!$B$36,N34+M35-V34)))</f>
        <v>282.48461538461532</v>
      </c>
      <c r="O35" s="13">
        <f>N35*VLOOKUP('Données projet'!$B$9,Paramètres!$A$1:$I$89,3,0)*VLOOKUP('Données projet'!$B$9,Paramètres!$A$1:$I$89,5,0)</f>
        <v>168.92579999999998</v>
      </c>
      <c r="P35" s="13">
        <f t="shared" si="33"/>
        <v>42.849349834036097</v>
      </c>
      <c r="Q35" s="20">
        <f t="shared" ref="Q35:Q66" si="53">(O35+P35)*0.475*44/12</f>
        <v>368.84171929427953</v>
      </c>
      <c r="R35" s="59">
        <f t="shared" si="0"/>
        <v>662.17505262761279</v>
      </c>
      <c r="S35" s="59">
        <f ca="1">AVERAGE(OFFSET($R$3,0,0,'Données projet'!$E$9+1,1))-AVERAGE(OFFSET($H$3,0,0,'Données projet'!$E$9+1,1))</f>
        <v>195.14508560011791</v>
      </c>
      <c r="T35" s="59">
        <f t="shared" si="34"/>
        <v>285.1531413455931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63.899999999999991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0.25200000000000006</v>
      </c>
      <c r="Y35" s="16">
        <f>IF(ISNA(VLOOKUP(A35,'Données projet'!$A$35:$I$55,7,0)),0%,VLOOKUP(A35,'Données projet'!$A$35:$I$55,7,0))</f>
        <v>0.44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33.371831150683619</v>
      </c>
      <c r="AB35" s="21">
        <f>EXP(-LN(2)/2)*AB34+(1-EXP(-LN(2)/2))/(LN(2)/2)*V35*Y35*VLOOKUP('Données projet'!$B$9,Paramètres!$A$1:$I$89,3,0)*0.475*44/12</f>
        <v>20.631260910518144</v>
      </c>
      <c r="AC35" s="22">
        <f t="shared" si="3"/>
        <v>54.003092061201762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>
        <f>VLOOKUP(A35,'Données projet'!$A$61:$I$81,2,0)</f>
        <v>282.48461538461538</v>
      </c>
      <c r="AG35" s="12">
        <f>VLOOKUP(A35,'Données projet'!$A$61:$I$81,9,0)</f>
        <v>16.509890109890112</v>
      </c>
      <c r="AH35" s="12">
        <f t="array" ref="AH35">INDEX(AG:AG,MIN(IF(ISNUMBER(AG35:AG231),ROW(AG35:AG231),"")))</f>
        <v>16.509890109890112</v>
      </c>
      <c r="AI35" s="13">
        <f>IF('Données projet'!$A$62&gt;35,AI34+AH35-AQ34,IF(A35&lt;'Données projet'!$A$62,$AF$205^A35,IF(A35='Données projet'!$A$62,'Données projet'!$B$62,AI34+AH35-AQ34)))</f>
        <v>282.48461538461532</v>
      </c>
      <c r="AJ35" s="13">
        <f>AI35*VLOOKUP('Données projet'!$B$10,Paramètres!$A$1:$I$89,3,0)*VLOOKUP('Données projet'!$B$10,Paramètres!$A$1:$I$89,5,0)</f>
        <v>168.92579999999998</v>
      </c>
      <c r="AK35" s="13">
        <f t="shared" si="35"/>
        <v>42.849349834036097</v>
      </c>
      <c r="AL35" s="20">
        <f t="shared" si="4"/>
        <v>368.84171929427953</v>
      </c>
      <c r="AM35" s="59">
        <f t="shared" si="5"/>
        <v>662.17505262761279</v>
      </c>
      <c r="AN35" s="59">
        <f ca="1">AVERAGE(OFFSET($AM$3,0,0,'Données projet'!$E$10+1,1))-AVERAGE(OFFSET($H$3,0,0,'Données projet'!$E$10+1,1))</f>
        <v>195.14508560011791</v>
      </c>
      <c r="AO35" s="59">
        <f t="shared" si="36"/>
        <v>285.1531413455931</v>
      </c>
      <c r="AP35" s="15">
        <f>IF(ISNA(VLOOKUP(A35,'Données projet'!$A$61:$I$81,3,0)),0,VLOOKUP(A35,'Données projet'!$A$61:$I$81,3,0))</f>
        <v>4</v>
      </c>
      <c r="AQ35" s="15">
        <f>IF(ISNA(VLOOKUP(A35,'Données projet'!$A$61:$I$81,4,0)),0,VLOOKUP(A35,'Données projet'!$A$61:$I$81,4,0))</f>
        <v>63.899999999999991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0.25200000000000006</v>
      </c>
      <c r="AT35" s="16">
        <f>IF(ISNA(VLOOKUP(A35,'Données projet'!$A$61:$I$81,7,0)),0%,VLOOKUP(A35,'Données projet'!$A$61:$I$81,7,0))</f>
        <v>0.44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33.371831150683619</v>
      </c>
      <c r="AW35" s="21">
        <f>EXP(-LN(2)/2)*AW34+(1-EXP(-LN(2)/2))/(LN(2)/2)*AQ35*AT35*VLOOKUP('Données projet'!$B$10,Paramètres!$A$1:$I$89,3,0)*0.475*44/12</f>
        <v>20.631260910518144</v>
      </c>
      <c r="AX35" s="21">
        <f t="shared" si="6"/>
        <v>54.003092061201762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3.3653846157894738</v>
      </c>
      <c r="BD35" s="12">
        <f>IF('Données projet'!$A$88&gt;35,BD34+BC35-BL34,IF(A35&lt;'Données projet'!$A$88,$BA$205^A35,IF(A35='Données projet'!$A$88,'Données projet'!$B$88,BD34+BC35-BL34)))</f>
        <v>107.69230770526325</v>
      </c>
      <c r="BE35" s="13">
        <f>BD35*VLOOKUP('Données projet'!$B$11,Paramètres!$A$1:$I$89,3,0)*VLOOKUP('Données projet'!$B$11,Paramètres!$A$1:$I$89,5,0)</f>
        <v>90.720000010913765</v>
      </c>
      <c r="BF35" s="13">
        <f t="shared" si="37"/>
        <v>24.738791048771784</v>
      </c>
      <c r="BG35" s="20">
        <f t="shared" si="7"/>
        <v>201.09072776228564</v>
      </c>
      <c r="BH35" s="59">
        <f t="shared" si="8"/>
        <v>494.42406109561898</v>
      </c>
      <c r="BI35" s="59">
        <f ca="1">AVERAGE(OFFSET($BH$3,0,0,'Données projet'!$E$11+1,1))-AVERAGE(OFFSET($H$3,0,0,'Données projet'!$E$11+1,1))</f>
        <v>179.55753939285887</v>
      </c>
      <c r="BJ35" s="59">
        <f t="shared" si="38"/>
        <v>147.29214162149162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14.915976331360945</v>
      </c>
      <c r="N36" s="13">
        <f>IF('Données projet'!$A$36&gt;35,N35+M36-V35,IF(A36&lt;'Données projet'!$A$36,$K$205^A36,IF(A36='Données projet'!$A$36,'Données projet'!$B$36,N35+M36-V35)))</f>
        <v>233.50059171597627</v>
      </c>
      <c r="O36" s="13">
        <f>N36*VLOOKUP('Données projet'!$B$9,Paramètres!$A$1:$I$89,3,0)*VLOOKUP('Données projet'!$B$9,Paramètres!$A$1:$I$89,5,0)</f>
        <v>139.63335384615382</v>
      </c>
      <c r="P36" s="13">
        <f t="shared" si="33"/>
        <v>36.212999194991433</v>
      </c>
      <c r="Q36" s="20">
        <f t="shared" si="53"/>
        <v>306.2657315466613</v>
      </c>
      <c r="R36" s="59">
        <f t="shared" si="0"/>
        <v>599.59906487999456</v>
      </c>
      <c r="S36" s="59">
        <f ca="1">AVERAGE(OFFSET($R$3,0,0,'Données projet'!$E$9+1,1))-AVERAGE(OFFSET($H$3,0,0,'Données projet'!$E$9+1,1))</f>
        <v>195.14508560011791</v>
      </c>
      <c r="T36" s="59">
        <f t="shared" si="34"/>
        <v>285.1531413455931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32.459276672919849</v>
      </c>
      <c r="AB36" s="21">
        <f>EXP(-LN(2)/2)*AB35+(1-EXP(-LN(2)/2))/(LN(2)/2)*V36*Y36*VLOOKUP('Données projet'!$B$9,Paramètres!$A$1:$I$89,3,0)*0.475*44/12</f>
        <v>14.588504494256325</v>
      </c>
      <c r="AC36" s="22">
        <f t="shared" si="3"/>
        <v>47.047781167176176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14.915976331360945</v>
      </c>
      <c r="AI36" s="13">
        <f>IF('Données projet'!$A$62&gt;35,AI35+AH36-AQ35,IF(A36&lt;'Données projet'!$A$62,$AF$205^A36,IF(A36='Données projet'!$A$62,'Données projet'!$B$62,AI35+AH36-AQ35)))</f>
        <v>233.50059171597627</v>
      </c>
      <c r="AJ36" s="13">
        <f>AI36*VLOOKUP('Données projet'!$B$10,Paramètres!$A$1:$I$89,3,0)*VLOOKUP('Données projet'!$B$10,Paramètres!$A$1:$I$89,5,0)</f>
        <v>139.63335384615382</v>
      </c>
      <c r="AK36" s="13">
        <f t="shared" si="35"/>
        <v>36.212999194991433</v>
      </c>
      <c r="AL36" s="20">
        <f t="shared" si="4"/>
        <v>306.2657315466613</v>
      </c>
      <c r="AM36" s="59">
        <f t="shared" si="5"/>
        <v>599.59906487999456</v>
      </c>
      <c r="AN36" s="59">
        <f ca="1">AVERAGE(OFFSET($AM$3,0,0,'Données projet'!$E$10+1,1))-AVERAGE(OFFSET($H$3,0,0,'Données projet'!$E$10+1,1))</f>
        <v>195.14508560011791</v>
      </c>
      <c r="AO36" s="59">
        <f t="shared" si="36"/>
        <v>285.1531413455931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32.459276672919849</v>
      </c>
      <c r="AW36" s="21">
        <f>EXP(-LN(2)/2)*AW35+(1-EXP(-LN(2)/2))/(LN(2)/2)*AQ36*AT36*VLOOKUP('Données projet'!$B$10,Paramètres!$A$1:$I$89,3,0)*0.475*44/12</f>
        <v>14.588504494256325</v>
      </c>
      <c r="AX36" s="21">
        <f t="shared" si="6"/>
        <v>47.047781167176176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3.3653846157894738</v>
      </c>
      <c r="BD36" s="12">
        <f>IF('Données projet'!$A$88&gt;35,BD35+BC36-BL35,IF(A36&lt;'Données projet'!$A$88,$BA$205^A36,IF(A36='Données projet'!$A$88,'Données projet'!$B$88,BD35+BC36-BL35)))</f>
        <v>111.05769232105273</v>
      </c>
      <c r="BE36" s="13">
        <f>BD36*VLOOKUP('Données projet'!$B$11,Paramètres!$A$1:$I$89,3,0)*VLOOKUP('Données projet'!$B$11,Paramètres!$A$1:$I$89,5,0)</f>
        <v>93.555000011254833</v>
      </c>
      <c r="BF36" s="13">
        <f t="shared" si="37"/>
        <v>25.420662742324954</v>
      </c>
      <c r="BG36" s="20">
        <f t="shared" si="7"/>
        <v>207.21594596248477</v>
      </c>
      <c r="BH36" s="59">
        <f t="shared" si="8"/>
        <v>500.54927929581811</v>
      </c>
      <c r="BI36" s="59">
        <f ca="1">AVERAGE(OFFSET($BH$3,0,0,'Données projet'!$E$11+1,1))-AVERAGE(OFFSET($H$3,0,0,'Données projet'!$E$11+1,1))</f>
        <v>179.55753939285887</v>
      </c>
      <c r="BJ36" s="59">
        <f t="shared" si="38"/>
        <v>147.29214162149162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14.915976331360945</v>
      </c>
      <c r="N37" s="13">
        <f>IF('Données projet'!$A$36&gt;35,N36+M37-V36,IF(A37&lt;'Données projet'!$A$36,$K$205^A37,IF(A37='Données projet'!$A$36,'Données projet'!$B$36,N36+M37-V36)))</f>
        <v>248.41656804733722</v>
      </c>
      <c r="O37" s="13">
        <f>N37*VLOOKUP('Données projet'!$B$9,Paramètres!$A$1:$I$89,3,0)*VLOOKUP('Données projet'!$B$9,Paramètres!$A$1:$I$89,5,0)</f>
        <v>148.55310769230766</v>
      </c>
      <c r="P37" s="13">
        <f t="shared" si="33"/>
        <v>38.249588893085004</v>
      </c>
      <c r="Q37" s="20">
        <f t="shared" si="53"/>
        <v>325.34802988622556</v>
      </c>
      <c r="R37" s="59">
        <f t="shared" si="0"/>
        <v>618.68136321955888</v>
      </c>
      <c r="S37" s="59">
        <f ca="1">AVERAGE(OFFSET($R$3,0,0,'Données projet'!$E$9+1,1))-AVERAGE(OFFSET($H$3,0,0,'Données projet'!$E$9+1,1))</f>
        <v>195.14508560011791</v>
      </c>
      <c r="T37" s="59">
        <f t="shared" si="34"/>
        <v>285.1531413455931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31.571676045339682</v>
      </c>
      <c r="AB37" s="21">
        <f>EXP(-LN(2)/2)*AB36+(1-EXP(-LN(2)/2))/(LN(2)/2)*V37*Y37*VLOOKUP('Données projet'!$B$9,Paramètres!$A$1:$I$89,3,0)*0.475*44/12</f>
        <v>10.315630455259074</v>
      </c>
      <c r="AC37" s="22">
        <f t="shared" si="3"/>
        <v>41.887306500598754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14.915976331360945</v>
      </c>
      <c r="AI37" s="13">
        <f>IF('Données projet'!$A$62&gt;35,AI36+AH37-AQ36,IF(A37&lt;'Données projet'!$A$62,$AF$205^A37,IF(A37='Données projet'!$A$62,'Données projet'!$B$62,AI36+AH37-AQ36)))</f>
        <v>248.41656804733722</v>
      </c>
      <c r="AJ37" s="13">
        <f>AI37*VLOOKUP('Données projet'!$B$10,Paramètres!$A$1:$I$89,3,0)*VLOOKUP('Données projet'!$B$10,Paramètres!$A$1:$I$89,5,0)</f>
        <v>148.55310769230766</v>
      </c>
      <c r="AK37" s="13">
        <f t="shared" si="35"/>
        <v>38.249588893085004</v>
      </c>
      <c r="AL37" s="20">
        <f t="shared" si="4"/>
        <v>325.34802988622556</v>
      </c>
      <c r="AM37" s="59">
        <f t="shared" si="5"/>
        <v>618.68136321955888</v>
      </c>
      <c r="AN37" s="59">
        <f ca="1">AVERAGE(OFFSET($AM$3,0,0,'Données projet'!$E$10+1,1))-AVERAGE(OFFSET($H$3,0,0,'Données projet'!$E$10+1,1))</f>
        <v>195.14508560011791</v>
      </c>
      <c r="AO37" s="59">
        <f t="shared" si="36"/>
        <v>285.1531413455931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31.571676045339682</v>
      </c>
      <c r="AW37" s="21">
        <f>EXP(-LN(2)/2)*AW36+(1-EXP(-LN(2)/2))/(LN(2)/2)*AQ37*AT37*VLOOKUP('Données projet'!$B$10,Paramètres!$A$1:$I$89,3,0)*0.475*44/12</f>
        <v>10.315630455259074</v>
      </c>
      <c r="AX37" s="21">
        <f t="shared" si="6"/>
        <v>41.887306500598754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3.3653846157894738</v>
      </c>
      <c r="BD37" s="12">
        <f>IF('Données projet'!$A$88&gt;35,BD36+BC37-BL36,IF(A37&lt;'Données projet'!$A$88,$BA$205^A37,IF(A37='Données projet'!$A$88,'Données projet'!$B$88,BD36+BC37-BL36)))</f>
        <v>114.42307693684221</v>
      </c>
      <c r="BE37" s="13">
        <f>BD37*VLOOKUP('Données projet'!$B$11,Paramètres!$A$1:$I$89,3,0)*VLOOKUP('Données projet'!$B$11,Paramètres!$A$1:$I$89,5,0)</f>
        <v>96.390000011595887</v>
      </c>
      <c r="BF37" s="13">
        <f t="shared" si="37"/>
        <v>26.1001331369743</v>
      </c>
      <c r="BG37" s="20">
        <f t="shared" si="7"/>
        <v>213.33698190042639</v>
      </c>
      <c r="BH37" s="59">
        <f t="shared" si="8"/>
        <v>506.67031523375971</v>
      </c>
      <c r="BI37" s="59">
        <f ca="1">AVERAGE(OFFSET($BH$3,0,0,'Données projet'!$E$11+1,1))-AVERAGE(OFFSET($H$3,0,0,'Données projet'!$E$11+1,1))</f>
        <v>179.55753939285887</v>
      </c>
      <c r="BJ37" s="59">
        <f t="shared" si="38"/>
        <v>147.29214162149162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14.915976331360945</v>
      </c>
      <c r="N38" s="13">
        <f>IF('Données projet'!$A$36&gt;35,N37+M38-V37,IF(A38&lt;'Données projet'!$A$36,$K$205^A38,IF(A38='Données projet'!$A$36,'Données projet'!$B$36,N37+M38-V37)))</f>
        <v>263.33254437869817</v>
      </c>
      <c r="O38" s="13">
        <f>N38*VLOOKUP('Données projet'!$B$9,Paramètres!$A$1:$I$89,3,0)*VLOOKUP('Données projet'!$B$9,Paramètres!$A$1:$I$89,5,0)</f>
        <v>157.47286153846153</v>
      </c>
      <c r="P38" s="13">
        <f t="shared" si="33"/>
        <v>40.271985193404134</v>
      </c>
      <c r="Q38" s="20">
        <f t="shared" si="53"/>
        <v>344.40560805799936</v>
      </c>
      <c r="R38" s="59">
        <f t="shared" si="0"/>
        <v>637.73894139133267</v>
      </c>
      <c r="S38" s="59">
        <f ca="1">AVERAGE(OFFSET($R$3,0,0,'Données projet'!$E$9+1,1))-AVERAGE(OFFSET($H$3,0,0,'Données projet'!$E$9+1,1))</f>
        <v>195.14508560011791</v>
      </c>
      <c r="T38" s="59">
        <f t="shared" si="34"/>
        <v>285.1531413455931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30.708346903597583</v>
      </c>
      <c r="AB38" s="21">
        <f>EXP(-LN(2)/2)*AB37+(1-EXP(-LN(2)/2))/(LN(2)/2)*V38*Y38*VLOOKUP('Données projet'!$B$9,Paramètres!$A$1:$I$89,3,0)*0.475*44/12</f>
        <v>7.2942522471281643</v>
      </c>
      <c r="AC38" s="22">
        <f t="shared" si="3"/>
        <v>38.00259915072575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14.915976331360945</v>
      </c>
      <c r="AI38" s="13">
        <f>IF('Données projet'!$A$62&gt;35,AI37+AH38-AQ37,IF(A38&lt;'Données projet'!$A$62,$AF$205^A38,IF(A38='Données projet'!$A$62,'Données projet'!$B$62,AI37+AH38-AQ37)))</f>
        <v>263.33254437869817</v>
      </c>
      <c r="AJ38" s="13">
        <f>AI38*VLOOKUP('Données projet'!$B$10,Paramètres!$A$1:$I$89,3,0)*VLOOKUP('Données projet'!$B$10,Paramètres!$A$1:$I$89,5,0)</f>
        <v>157.47286153846153</v>
      </c>
      <c r="AK38" s="13">
        <f t="shared" si="35"/>
        <v>40.271985193404134</v>
      </c>
      <c r="AL38" s="20">
        <f t="shared" si="4"/>
        <v>344.40560805799936</v>
      </c>
      <c r="AM38" s="59">
        <f t="shared" si="5"/>
        <v>637.73894139133267</v>
      </c>
      <c r="AN38" s="59">
        <f ca="1">AVERAGE(OFFSET($AM$3,0,0,'Données projet'!$E$10+1,1))-AVERAGE(OFFSET($H$3,0,0,'Données projet'!$E$10+1,1))</f>
        <v>195.14508560011791</v>
      </c>
      <c r="AO38" s="59">
        <f t="shared" si="36"/>
        <v>285.1531413455931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30.708346903597583</v>
      </c>
      <c r="AW38" s="21">
        <f>EXP(-LN(2)/2)*AW37+(1-EXP(-LN(2)/2))/(LN(2)/2)*AQ38*AT38*VLOOKUP('Données projet'!$B$10,Paramètres!$A$1:$I$89,3,0)*0.475*44/12</f>
        <v>7.2942522471281643</v>
      </c>
      <c r="AX38" s="21">
        <f t="shared" si="6"/>
        <v>38.00259915072575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3.3653846157894738</v>
      </c>
      <c r="BD38" s="12">
        <f>IF('Données projet'!$A$88&gt;35,BD37+BC38-BL37,IF(A38&lt;'Données projet'!$A$88,$BA$205^A38,IF(A38='Données projet'!$A$88,'Données projet'!$B$88,BD37+BC38-BL37)))</f>
        <v>117.78846155263169</v>
      </c>
      <c r="BE38" s="13">
        <f>BD38*VLOOKUP('Données projet'!$B$11,Paramètres!$A$1:$I$89,3,0)*VLOOKUP('Données projet'!$B$11,Paramètres!$A$1:$I$89,5,0)</f>
        <v>99.225000011936942</v>
      </c>
      <c r="BF38" s="13">
        <f t="shared" si="37"/>
        <v>26.777280968274631</v>
      </c>
      <c r="BG38" s="20">
        <f t="shared" si="7"/>
        <v>219.45397270720181</v>
      </c>
      <c r="BH38" s="59">
        <f t="shared" si="8"/>
        <v>512.7873060405351</v>
      </c>
      <c r="BI38" s="59">
        <f ca="1">AVERAGE(OFFSET($BH$3,0,0,'Données projet'!$E$11+1,1))-AVERAGE(OFFSET($H$3,0,0,'Données projet'!$E$11+1,1))</f>
        <v>179.55753939285887</v>
      </c>
      <c r="BJ38" s="59">
        <f t="shared" si="38"/>
        <v>147.29214162149162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14.915976331360945</v>
      </c>
      <c r="N39" s="13">
        <f>IF('Données projet'!$A$36&gt;35,N38+M39-V38,IF(A39&lt;'Données projet'!$A$36,$K$205^A39,IF(A39='Données projet'!$A$36,'Données projet'!$B$36,N38+M39-V38)))</f>
        <v>278.2485207100591</v>
      </c>
      <c r="O39" s="13">
        <f>N39*VLOOKUP('Données projet'!$B$9,Paramètres!$A$1:$I$89,3,0)*VLOOKUP('Données projet'!$B$9,Paramètres!$A$1:$I$89,5,0)</f>
        <v>166.39261538461537</v>
      </c>
      <c r="P39" s="13">
        <f t="shared" si="33"/>
        <v>42.281083666900145</v>
      </c>
      <c r="Q39" s="20">
        <f t="shared" si="53"/>
        <v>363.44002584805617</v>
      </c>
      <c r="R39" s="59">
        <f t="shared" si="0"/>
        <v>656.77335918138942</v>
      </c>
      <c r="S39" s="59">
        <f ca="1">AVERAGE(OFFSET($R$3,0,0,'Données projet'!$E$9+1,1))-AVERAGE(OFFSET($H$3,0,0,'Données projet'!$E$9+1,1))</f>
        <v>195.14508560011791</v>
      </c>
      <c r="T39" s="59">
        <f t="shared" si="34"/>
        <v>285.1531413455931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29.868625542636927</v>
      </c>
      <c r="AB39" s="21">
        <f>EXP(-LN(2)/2)*AB38+(1-EXP(-LN(2)/2))/(LN(2)/2)*V39*Y39*VLOOKUP('Données projet'!$B$9,Paramètres!$A$1:$I$89,3,0)*0.475*44/12</f>
        <v>5.1578152276295377</v>
      </c>
      <c r="AC39" s="22">
        <f t="shared" si="3"/>
        <v>35.026440770266461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14.915976331360945</v>
      </c>
      <c r="AI39" s="13">
        <f>IF('Données projet'!$A$62&gt;35,AI38+AH39-AQ38,IF(A39&lt;'Données projet'!$A$62,$AF$205^A39,IF(A39='Données projet'!$A$62,'Données projet'!$B$62,AI38+AH39-AQ38)))</f>
        <v>278.2485207100591</v>
      </c>
      <c r="AJ39" s="13">
        <f>AI39*VLOOKUP('Données projet'!$B$10,Paramètres!$A$1:$I$89,3,0)*VLOOKUP('Données projet'!$B$10,Paramètres!$A$1:$I$89,5,0)</f>
        <v>166.39261538461537</v>
      </c>
      <c r="AK39" s="13">
        <f t="shared" si="35"/>
        <v>42.281083666900145</v>
      </c>
      <c r="AL39" s="20">
        <f t="shared" si="4"/>
        <v>363.44002584805617</v>
      </c>
      <c r="AM39" s="59">
        <f t="shared" si="5"/>
        <v>656.77335918138942</v>
      </c>
      <c r="AN39" s="59">
        <f ca="1">AVERAGE(OFFSET($AM$3,0,0,'Données projet'!$E$10+1,1))-AVERAGE(OFFSET($H$3,0,0,'Données projet'!$E$10+1,1))</f>
        <v>195.14508560011791</v>
      </c>
      <c r="AO39" s="59">
        <f t="shared" si="36"/>
        <v>285.1531413455931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29.868625542636927</v>
      </c>
      <c r="AW39" s="21">
        <f>EXP(-LN(2)/2)*AW38+(1-EXP(-LN(2)/2))/(LN(2)/2)*AQ39*AT39*VLOOKUP('Données projet'!$B$10,Paramètres!$A$1:$I$89,3,0)*0.475*44/12</f>
        <v>5.1578152276295377</v>
      </c>
      <c r="AX39" s="21">
        <f t="shared" si="6"/>
        <v>35.026440770266461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3.3653846157894738</v>
      </c>
      <c r="BD39" s="12">
        <f>IF('Données projet'!$A$88&gt;35,BD38+BC39-BL38,IF(A39&lt;'Données projet'!$A$88,$BA$205^A39,IF(A39='Données projet'!$A$88,'Données projet'!$B$88,BD38+BC39-BL38)))</f>
        <v>121.15384616842117</v>
      </c>
      <c r="BE39" s="13">
        <f>BD39*VLOOKUP('Données projet'!$B$11,Paramètres!$A$1:$I$89,3,0)*VLOOKUP('Données projet'!$B$11,Paramètres!$A$1:$I$89,5,0)</f>
        <v>102.060000012278</v>
      </c>
      <c r="BF39" s="13">
        <f t="shared" si="37"/>
        <v>27.452180216704949</v>
      </c>
      <c r="BG39" s="20">
        <f t="shared" si="7"/>
        <v>225.56704723214526</v>
      </c>
      <c r="BH39" s="59">
        <f t="shared" si="8"/>
        <v>518.9003805654786</v>
      </c>
      <c r="BI39" s="59">
        <f ca="1">AVERAGE(OFFSET($BH$3,0,0,'Données projet'!$E$11+1,1))-AVERAGE(OFFSET($H$3,0,0,'Données projet'!$E$11+1,1))</f>
        <v>179.55753939285887</v>
      </c>
      <c r="BJ39" s="59">
        <f t="shared" si="38"/>
        <v>147.29214162149162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14.915976331360945</v>
      </c>
      <c r="N40" s="13">
        <f>IF('Données projet'!$A$36&gt;35,N39+M40-V39,IF(A40&lt;'Données projet'!$A$36,$K$205^A40,IF(A40='Données projet'!$A$36,'Données projet'!$B$36,N39+M40-V39)))</f>
        <v>293.16449704142002</v>
      </c>
      <c r="O40" s="13">
        <f>N40*VLOOKUP('Données projet'!$B$9,Paramètres!$A$1:$I$89,3,0)*VLOOKUP('Données projet'!$B$9,Paramètres!$A$1:$I$89,5,0)</f>
        <v>175.31236923076921</v>
      </c>
      <c r="P40" s="13">
        <f t="shared" si="33"/>
        <v>44.277678444488799</v>
      </c>
      <c r="Q40" s="20">
        <f t="shared" si="53"/>
        <v>382.45266636774096</v>
      </c>
      <c r="R40" s="59">
        <f t="shared" si="0"/>
        <v>675.78599970107427</v>
      </c>
      <c r="S40" s="59">
        <f ca="1">AVERAGE(OFFSET($R$3,0,0,'Données projet'!$E$9+1,1))-AVERAGE(OFFSET($H$3,0,0,'Données projet'!$E$9+1,1))</f>
        <v>195.14508560011791</v>
      </c>
      <c r="T40" s="59">
        <f t="shared" si="34"/>
        <v>285.1531413455931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29.05186640645077</v>
      </c>
      <c r="AB40" s="21">
        <f>EXP(-LN(2)/2)*AB39+(1-EXP(-LN(2)/2))/(LN(2)/2)*V40*Y40*VLOOKUP('Données projet'!$B$9,Paramètres!$A$1:$I$89,3,0)*0.475*44/12</f>
        <v>3.6471261235640826</v>
      </c>
      <c r="AC40" s="22">
        <f t="shared" si="3"/>
        <v>32.698992530014856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14.915976331360945</v>
      </c>
      <c r="AI40" s="13">
        <f>IF('Données projet'!$A$62&gt;35,AI39+AH40-AQ39,IF(A40&lt;'Données projet'!$A$62,$AF$205^A40,IF(A40='Données projet'!$A$62,'Données projet'!$B$62,AI39+AH40-AQ39)))</f>
        <v>293.16449704142002</v>
      </c>
      <c r="AJ40" s="13">
        <f>AI40*VLOOKUP('Données projet'!$B$10,Paramètres!$A$1:$I$89,3,0)*VLOOKUP('Données projet'!$B$10,Paramètres!$A$1:$I$89,5,0)</f>
        <v>175.31236923076921</v>
      </c>
      <c r="AK40" s="13">
        <f t="shared" si="35"/>
        <v>44.277678444488799</v>
      </c>
      <c r="AL40" s="20">
        <f t="shared" si="4"/>
        <v>382.45266636774096</v>
      </c>
      <c r="AM40" s="59">
        <f t="shared" si="5"/>
        <v>675.78599970107427</v>
      </c>
      <c r="AN40" s="59">
        <f ca="1">AVERAGE(OFFSET($AM$3,0,0,'Données projet'!$E$10+1,1))-AVERAGE(OFFSET($H$3,0,0,'Données projet'!$E$10+1,1))</f>
        <v>195.14508560011791</v>
      </c>
      <c r="AO40" s="59">
        <f t="shared" si="36"/>
        <v>285.1531413455931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29.05186640645077</v>
      </c>
      <c r="AW40" s="21">
        <f>EXP(-LN(2)/2)*AW39+(1-EXP(-LN(2)/2))/(LN(2)/2)*AQ40*AT40*VLOOKUP('Données projet'!$B$10,Paramètres!$A$1:$I$89,3,0)*0.475*44/12</f>
        <v>3.6471261235640826</v>
      </c>
      <c r="AX40" s="21">
        <f t="shared" si="6"/>
        <v>32.698992530014856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3.3653846157894738</v>
      </c>
      <c r="BD40" s="12">
        <f>IF('Données projet'!$A$88&gt;35,BD39+BC40-BL39,IF(A40&lt;'Données projet'!$A$88,$BA$205^A40,IF(A40='Données projet'!$A$88,'Données projet'!$B$88,BD39+BC40-BL39)))</f>
        <v>124.51923078421065</v>
      </c>
      <c r="BE40" s="13">
        <f>BD40*VLOOKUP('Données projet'!$B$11,Paramètres!$A$1:$I$89,3,0)*VLOOKUP('Données projet'!$B$11,Paramètres!$A$1:$I$89,5,0)</f>
        <v>104.89500001261906</v>
      </c>
      <c r="BF40" s="13">
        <f t="shared" si="37"/>
        <v>28.124900518848829</v>
      </c>
      <c r="BG40" s="20">
        <f t="shared" si="7"/>
        <v>231.67632675897323</v>
      </c>
      <c r="BH40" s="59">
        <f t="shared" si="8"/>
        <v>525.0096600923066</v>
      </c>
      <c r="BI40" s="59">
        <f ca="1">AVERAGE(OFFSET($BH$3,0,0,'Données projet'!$E$11+1,1))-AVERAGE(OFFSET($H$3,0,0,'Données projet'!$E$11+1,1))</f>
        <v>179.55753939285887</v>
      </c>
      <c r="BJ40" s="59">
        <f t="shared" si="38"/>
        <v>147.29214162149162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14.915976331360945</v>
      </c>
      <c r="N41" s="13">
        <f>IF('Données projet'!$A$36&gt;35,N40+M41-V40,IF(A41&lt;'Données projet'!$A$36,$K$205^A41,IF(A41='Données projet'!$A$36,'Données projet'!$B$36,N40+M41-V40)))</f>
        <v>308.08047337278094</v>
      </c>
      <c r="O41" s="13">
        <f>N41*VLOOKUP('Données projet'!$B$9,Paramètres!$A$1:$I$89,3,0)*VLOOKUP('Données projet'!$B$9,Paramètres!$A$1:$I$89,5,0)</f>
        <v>184.23212307692302</v>
      </c>
      <c r="P41" s="13">
        <f t="shared" si="33"/>
        <v>46.262478283039961</v>
      </c>
      <c r="Q41" s="20">
        <f t="shared" si="53"/>
        <v>401.44476403526886</v>
      </c>
      <c r="R41" s="59">
        <f t="shared" si="0"/>
        <v>694.77809736860218</v>
      </c>
      <c r="S41" s="59">
        <f ca="1">AVERAGE(OFFSET($R$3,0,0,'Données projet'!$E$9+1,1))-AVERAGE(OFFSET($H$3,0,0,'Données projet'!$E$9+1,1))</f>
        <v>195.14508560011791</v>
      </c>
      <c r="T41" s="59">
        <f t="shared" si="34"/>
        <v>285.1531413455931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28.257441591795118</v>
      </c>
      <c r="AB41" s="21">
        <f>EXP(-LN(2)/2)*AB40+(1-EXP(-LN(2)/2))/(LN(2)/2)*V41*Y41*VLOOKUP('Données projet'!$B$9,Paramètres!$A$1:$I$89,3,0)*0.475*44/12</f>
        <v>2.5789076138147693</v>
      </c>
      <c r="AC41" s="22">
        <f t="shared" si="3"/>
        <v>30.836349205609888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14.915976331360945</v>
      </c>
      <c r="AI41" s="13">
        <f>IF('Données projet'!$A$62&gt;35,AI40+AH41-AQ40,IF(A41&lt;'Données projet'!$A$62,$AF$205^A41,IF(A41='Données projet'!$A$62,'Données projet'!$B$62,AI40+AH41-AQ40)))</f>
        <v>308.08047337278094</v>
      </c>
      <c r="AJ41" s="13">
        <f>AI41*VLOOKUP('Données projet'!$B$10,Paramètres!$A$1:$I$89,3,0)*VLOOKUP('Données projet'!$B$10,Paramètres!$A$1:$I$89,5,0)</f>
        <v>184.23212307692302</v>
      </c>
      <c r="AK41" s="13">
        <f t="shared" si="35"/>
        <v>46.262478283039961</v>
      </c>
      <c r="AL41" s="20">
        <f t="shared" si="4"/>
        <v>401.44476403526886</v>
      </c>
      <c r="AM41" s="59">
        <f t="shared" si="5"/>
        <v>694.77809736860218</v>
      </c>
      <c r="AN41" s="59">
        <f ca="1">AVERAGE(OFFSET($AM$3,0,0,'Données projet'!$E$10+1,1))-AVERAGE(OFFSET($H$3,0,0,'Données projet'!$E$10+1,1))</f>
        <v>195.14508560011791</v>
      </c>
      <c r="AO41" s="59">
        <f t="shared" si="36"/>
        <v>285.1531413455931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28.257441591795118</v>
      </c>
      <c r="AW41" s="21">
        <f>EXP(-LN(2)/2)*AW40+(1-EXP(-LN(2)/2))/(LN(2)/2)*AQ41*AT41*VLOOKUP('Données projet'!$B$10,Paramètres!$A$1:$I$89,3,0)*0.475*44/12</f>
        <v>2.5789076138147693</v>
      </c>
      <c r="AX41" s="21">
        <f t="shared" si="6"/>
        <v>30.836349205609888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>
        <f>VLOOKUP(A41,'Données projet'!$A$87:$I$107,2,0)</f>
        <v>127.8846154</v>
      </c>
      <c r="BB41" s="12">
        <f>VLOOKUP(A41,'Données projet'!$A$87:$I$107,9,0)</f>
        <v>3.3653846157894738</v>
      </c>
      <c r="BC41" s="12">
        <f t="array" ref="BC41">INDEX(BB:BB,MIN(IF(ISNUMBER(BB41:BB237),ROW(BB41:BB237),"")))</f>
        <v>3.3653846157894738</v>
      </c>
      <c r="BD41" s="12">
        <f>IF('Données projet'!$A$88&gt;35,BD40+BC41-BL40,IF(A41&lt;'Données projet'!$A$88,$BA$205^A41,IF(A41='Données projet'!$A$88,'Données projet'!$B$88,BD40+BC41-BL40)))</f>
        <v>127.88461540000013</v>
      </c>
      <c r="BE41" s="13">
        <f>BD41*VLOOKUP('Données projet'!$B$11,Paramètres!$A$1:$I$89,3,0)*VLOOKUP('Données projet'!$B$11,Paramètres!$A$1:$I$89,5,0)</f>
        <v>107.73000001296012</v>
      </c>
      <c r="BF41" s="13">
        <f t="shared" si="37"/>
        <v>28.795507532873035</v>
      </c>
      <c r="BG41" s="20">
        <f t="shared" si="7"/>
        <v>237.78192564232609</v>
      </c>
      <c r="BH41" s="59">
        <f t="shared" si="8"/>
        <v>531.11525897565934</v>
      </c>
      <c r="BI41" s="59">
        <f ca="1">AVERAGE(OFFSET($BH$3,0,0,'Données projet'!$E$11+1,1))-AVERAGE(OFFSET($H$3,0,0,'Données projet'!$E$11+1,1))</f>
        <v>179.55753939285887</v>
      </c>
      <c r="BJ41" s="59">
        <f t="shared" si="38"/>
        <v>147.29214162149162</v>
      </c>
      <c r="BK41" s="15">
        <f>IF(ISNA(VLOOKUP(A41,'Données projet'!$A$87:$I$107,3,0)),0,VLOOKUP(A41,'Données projet'!$A$87:$I$107,3,0))</f>
        <v>1</v>
      </c>
      <c r="BL41" s="15">
        <f>IF(ISNA(VLOOKUP(A41,'Données projet'!$A$87:$I$107,4,0)),0,VLOOKUP(A41,'Données projet'!$A$87:$I$107,4,0))</f>
        <v>62.551282049999998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14.915976331360945</v>
      </c>
      <c r="N42" s="13">
        <f>IF('Données projet'!$A$36&gt;35,N41+M42-V41,IF(A42&lt;'Données projet'!$A$36,$K$205^A42,IF(A42='Données projet'!$A$36,'Données projet'!$B$36,N41+M42-V41)))</f>
        <v>322.99644970414187</v>
      </c>
      <c r="O42" s="13">
        <f>N42*VLOOKUP('Données projet'!$B$9,Paramètres!$A$1:$I$89,3,0)*VLOOKUP('Données projet'!$B$9,Paramètres!$A$1:$I$89,5,0)</f>
        <v>193.15187692307686</v>
      </c>
      <c r="P42" s="13">
        <f t="shared" si="33"/>
        <v>48.23611943173325</v>
      </c>
      <c r="Q42" s="20">
        <f t="shared" si="53"/>
        <v>420.41742698462758</v>
      </c>
      <c r="R42" s="59">
        <f t="shared" si="0"/>
        <v>713.75076031796084</v>
      </c>
      <c r="S42" s="59">
        <f ca="1">AVERAGE(OFFSET($R$3,0,0,'Données projet'!$E$9+1,1))-AVERAGE(OFFSET($H$3,0,0,'Données projet'!$E$9+1,1))</f>
        <v>195.14508560011791</v>
      </c>
      <c r="T42" s="59">
        <f t="shared" si="34"/>
        <v>285.1531413455931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27.484740365473211</v>
      </c>
      <c r="AB42" s="21">
        <f>EXP(-LN(2)/2)*AB41+(1-EXP(-LN(2)/2))/(LN(2)/2)*V42*Y42*VLOOKUP('Données projet'!$B$9,Paramètres!$A$1:$I$89,3,0)*0.475*44/12</f>
        <v>1.8235630617820415</v>
      </c>
      <c r="AC42" s="22">
        <f t="shared" si="3"/>
        <v>29.308303427255254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14.915976331360945</v>
      </c>
      <c r="AI42" s="13">
        <f>IF('Données projet'!$A$62&gt;35,AI41+AH42-AQ41,IF(A42&lt;'Données projet'!$A$62,$AF$205^A42,IF(A42='Données projet'!$A$62,'Données projet'!$B$62,AI41+AH42-AQ41)))</f>
        <v>322.99644970414187</v>
      </c>
      <c r="AJ42" s="13">
        <f>AI42*VLOOKUP('Données projet'!$B$10,Paramètres!$A$1:$I$89,3,0)*VLOOKUP('Données projet'!$B$10,Paramètres!$A$1:$I$89,5,0)</f>
        <v>193.15187692307686</v>
      </c>
      <c r="AK42" s="13">
        <f t="shared" si="35"/>
        <v>48.23611943173325</v>
      </c>
      <c r="AL42" s="20">
        <f t="shared" si="4"/>
        <v>420.41742698462758</v>
      </c>
      <c r="AM42" s="59">
        <f t="shared" si="5"/>
        <v>713.75076031796084</v>
      </c>
      <c r="AN42" s="59">
        <f ca="1">AVERAGE(OFFSET($AM$3,0,0,'Données projet'!$E$10+1,1))-AVERAGE(OFFSET($H$3,0,0,'Données projet'!$E$10+1,1))</f>
        <v>195.14508560011791</v>
      </c>
      <c r="AO42" s="59">
        <f t="shared" si="36"/>
        <v>285.1531413455931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27.484740365473211</v>
      </c>
      <c r="AW42" s="21">
        <f>EXP(-LN(2)/2)*AW41+(1-EXP(-LN(2)/2))/(LN(2)/2)*AQ42*AT42*VLOOKUP('Données projet'!$B$10,Paramètres!$A$1:$I$89,3,0)*0.475*44/12</f>
        <v>1.8235630617820415</v>
      </c>
      <c r="AX42" s="21">
        <f t="shared" si="6"/>
        <v>29.308303427255254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6.9880952357142849</v>
      </c>
      <c r="BD42" s="12">
        <f>IF('Données projet'!$A$88&gt;35,BD41+BC42-BL41,IF(A42&lt;'Données projet'!$A$88,$BA$205^A42,IF(A42='Données projet'!$A$88,'Données projet'!$B$88,BD41+BC42-BL41)))</f>
        <v>72.321428585714415</v>
      </c>
      <c r="BE42" s="13">
        <f>BD42*VLOOKUP('Données projet'!$B$11,Paramètres!$A$1:$I$89,3,0)*VLOOKUP('Données projet'!$B$11,Paramètres!$A$1:$I$89,5,0)</f>
        <v>60.923571440605826</v>
      </c>
      <c r="BF42" s="13">
        <f t="shared" si="37"/>
        <v>17.401568847015476</v>
      </c>
      <c r="BG42" s="20">
        <f t="shared" si="7"/>
        <v>136.41628600094043</v>
      </c>
      <c r="BH42" s="59">
        <f t="shared" si="8"/>
        <v>429.74961933427375</v>
      </c>
      <c r="BI42" s="59">
        <f ca="1">AVERAGE(OFFSET($BH$3,0,0,'Données projet'!$E$11+1,1))-AVERAGE(OFFSET($H$3,0,0,'Données projet'!$E$11+1,1))</f>
        <v>179.55753939285887</v>
      </c>
      <c r="BJ42" s="59">
        <f t="shared" si="38"/>
        <v>147.29214162149162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14.915976331360945</v>
      </c>
      <c r="N43" s="13">
        <f>IF('Données projet'!$A$36&gt;35,N42+M43-V42,IF(A43&lt;'Données projet'!$A$36,$K$205^A43,IF(A43='Données projet'!$A$36,'Données projet'!$B$36,N42+M43-V42)))</f>
        <v>337.91242603550279</v>
      </c>
      <c r="O43" s="13">
        <f>N43*VLOOKUP('Données projet'!$B$9,Paramètres!$A$1:$I$89,3,0)*VLOOKUP('Données projet'!$B$9,Paramètres!$A$1:$I$89,5,0)</f>
        <v>202.07163076923067</v>
      </c>
      <c r="P43" s="13">
        <f t="shared" si="33"/>
        <v>50.19917605450815</v>
      </c>
      <c r="Q43" s="20">
        <f t="shared" si="53"/>
        <v>439.37165521801171</v>
      </c>
      <c r="R43" s="59">
        <f t="shared" si="0"/>
        <v>732.70498855134497</v>
      </c>
      <c r="S43" s="59">
        <f ca="1">AVERAGE(OFFSET($R$3,0,0,'Données projet'!$E$9+1,1))-AVERAGE(OFFSET($H$3,0,0,'Données projet'!$E$9+1,1))</f>
        <v>195.14508560011791</v>
      </c>
      <c r="T43" s="59">
        <f t="shared" si="34"/>
        <v>285.1531413455931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26.733168694819668</v>
      </c>
      <c r="AB43" s="21">
        <f>EXP(-LN(2)/2)*AB42+(1-EXP(-LN(2)/2))/(LN(2)/2)*V43*Y43*VLOOKUP('Données projet'!$B$9,Paramètres!$A$1:$I$89,3,0)*0.475*44/12</f>
        <v>1.2894538069073849</v>
      </c>
      <c r="AC43" s="22">
        <f t="shared" si="3"/>
        <v>28.022622501727053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14.915976331360945</v>
      </c>
      <c r="AI43" s="13">
        <f>IF('Données projet'!$A$62&gt;35,AI42+AH43-AQ42,IF(A43&lt;'Données projet'!$A$62,$AF$205^A43,IF(A43='Données projet'!$A$62,'Données projet'!$B$62,AI42+AH43-AQ42)))</f>
        <v>337.91242603550279</v>
      </c>
      <c r="AJ43" s="13">
        <f>AI43*VLOOKUP('Données projet'!$B$10,Paramètres!$A$1:$I$89,3,0)*VLOOKUP('Données projet'!$B$10,Paramètres!$A$1:$I$89,5,0)</f>
        <v>202.07163076923067</v>
      </c>
      <c r="AK43" s="13">
        <f t="shared" si="35"/>
        <v>50.19917605450815</v>
      </c>
      <c r="AL43" s="20">
        <f t="shared" si="4"/>
        <v>439.37165521801171</v>
      </c>
      <c r="AM43" s="59">
        <f t="shared" si="5"/>
        <v>732.70498855134497</v>
      </c>
      <c r="AN43" s="59">
        <f ca="1">AVERAGE(OFFSET($AM$3,0,0,'Données projet'!$E$10+1,1))-AVERAGE(OFFSET($H$3,0,0,'Données projet'!$E$10+1,1))</f>
        <v>195.14508560011791</v>
      </c>
      <c r="AO43" s="59">
        <f t="shared" si="36"/>
        <v>285.1531413455931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26.733168694819668</v>
      </c>
      <c r="AW43" s="21">
        <f>EXP(-LN(2)/2)*AW42+(1-EXP(-LN(2)/2))/(LN(2)/2)*AQ43*AT43*VLOOKUP('Données projet'!$B$10,Paramètres!$A$1:$I$89,3,0)*0.475*44/12</f>
        <v>1.2894538069073849</v>
      </c>
      <c r="AX43" s="21">
        <f t="shared" si="6"/>
        <v>28.022622501727053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6.9880952357142849</v>
      </c>
      <c r="BD43" s="12">
        <f>IF('Données projet'!$A$88&gt;35,BD42+BC43-BL42,IF(A43&lt;'Données projet'!$A$88,$BA$205^A43,IF(A43='Données projet'!$A$88,'Données projet'!$B$88,BD42+BC43-BL42)))</f>
        <v>79.309523821428698</v>
      </c>
      <c r="BE43" s="13">
        <f>BD43*VLOOKUP('Données projet'!$B$11,Paramètres!$A$1:$I$89,3,0)*VLOOKUP('Données projet'!$B$11,Paramètres!$A$1:$I$89,5,0)</f>
        <v>66.810342867171542</v>
      </c>
      <c r="BF43" s="13">
        <f t="shared" si="37"/>
        <v>18.879216145099846</v>
      </c>
      <c r="BG43" s="20">
        <f t="shared" si="7"/>
        <v>149.24264861303934</v>
      </c>
      <c r="BH43" s="59">
        <f t="shared" si="8"/>
        <v>442.57598194637262</v>
      </c>
      <c r="BI43" s="59">
        <f ca="1">AVERAGE(OFFSET($BH$3,0,0,'Données projet'!$E$11+1,1))-AVERAGE(OFFSET($H$3,0,0,'Données projet'!$E$11+1,1))</f>
        <v>179.55753939285887</v>
      </c>
      <c r="BJ43" s="59">
        <f t="shared" si="38"/>
        <v>147.29214162149162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14.915976331360945</v>
      </c>
      <c r="N44" s="13">
        <f>IF('Données projet'!$A$36&gt;35,N43+M44-V43,IF(A44&lt;'Données projet'!$A$36,$K$205^A44,IF(A44='Données projet'!$A$36,'Données projet'!$B$36,N43+M44-V43)))</f>
        <v>352.82840236686371</v>
      </c>
      <c r="O44" s="13">
        <f>N44*VLOOKUP('Données projet'!$B$9,Paramètres!$A$1:$I$89,3,0)*VLOOKUP('Données projet'!$B$9,Paramètres!$A$1:$I$89,5,0)</f>
        <v>210.99138461538453</v>
      </c>
      <c r="P44" s="13">
        <f t="shared" si="33"/>
        <v>52.152168760305798</v>
      </c>
      <c r="Q44" s="20">
        <f t="shared" si="53"/>
        <v>458.30835546266059</v>
      </c>
      <c r="R44" s="59">
        <f t="shared" si="0"/>
        <v>751.6416887959939</v>
      </c>
      <c r="S44" s="59">
        <f ca="1">AVERAGE(OFFSET($R$3,0,0,'Données projet'!$E$9+1,1))-AVERAGE(OFFSET($H$3,0,0,'Données projet'!$E$9+1,1))</f>
        <v>195.14508560011791</v>
      </c>
      <c r="T44" s="59">
        <f t="shared" si="34"/>
        <v>285.1531413455931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26.002148791023583</v>
      </c>
      <c r="AB44" s="21">
        <f>EXP(-LN(2)/2)*AB43+(1-EXP(-LN(2)/2))/(LN(2)/2)*V44*Y44*VLOOKUP('Données projet'!$B$9,Paramètres!$A$1:$I$89,3,0)*0.475*44/12</f>
        <v>0.91178153089102099</v>
      </c>
      <c r="AC44" s="22">
        <f t="shared" si="3"/>
        <v>26.913930321914602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14.915976331360945</v>
      </c>
      <c r="AI44" s="13">
        <f>IF('Données projet'!$A$62&gt;35,AI43+AH44-AQ43,IF(A44&lt;'Données projet'!$A$62,$AF$205^A44,IF(A44='Données projet'!$A$62,'Données projet'!$B$62,AI43+AH44-AQ43)))</f>
        <v>352.82840236686371</v>
      </c>
      <c r="AJ44" s="13">
        <f>AI44*VLOOKUP('Données projet'!$B$10,Paramètres!$A$1:$I$89,3,0)*VLOOKUP('Données projet'!$B$10,Paramètres!$A$1:$I$89,5,0)</f>
        <v>210.99138461538453</v>
      </c>
      <c r="AK44" s="13">
        <f t="shared" si="35"/>
        <v>52.152168760305798</v>
      </c>
      <c r="AL44" s="20">
        <f t="shared" si="4"/>
        <v>458.30835546266059</v>
      </c>
      <c r="AM44" s="59">
        <f t="shared" si="5"/>
        <v>751.6416887959939</v>
      </c>
      <c r="AN44" s="59">
        <f ca="1">AVERAGE(OFFSET($AM$3,0,0,'Données projet'!$E$10+1,1))-AVERAGE(OFFSET($H$3,0,0,'Données projet'!$E$10+1,1))</f>
        <v>195.14508560011791</v>
      </c>
      <c r="AO44" s="59">
        <f t="shared" si="36"/>
        <v>285.1531413455931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26.002148791023583</v>
      </c>
      <c r="AW44" s="21">
        <f>EXP(-LN(2)/2)*AW43+(1-EXP(-LN(2)/2))/(LN(2)/2)*AQ44*AT44*VLOOKUP('Données projet'!$B$10,Paramètres!$A$1:$I$89,3,0)*0.475*44/12</f>
        <v>0.91178153089102099</v>
      </c>
      <c r="AX44" s="21">
        <f t="shared" si="6"/>
        <v>26.913930321914602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6.9880952357142849</v>
      </c>
      <c r="BD44" s="12">
        <f>IF('Données projet'!$A$88&gt;35,BD43+BC44-BL43,IF(A44&lt;'Données projet'!$A$88,$BA$205^A44,IF(A44='Données projet'!$A$88,'Données projet'!$B$88,BD43+BC44-BL43)))</f>
        <v>86.297619057142981</v>
      </c>
      <c r="BE44" s="13">
        <f>BD44*VLOOKUP('Données projet'!$B$11,Paramètres!$A$1:$I$89,3,0)*VLOOKUP('Données projet'!$B$11,Paramètres!$A$1:$I$89,5,0)</f>
        <v>72.697114293737258</v>
      </c>
      <c r="BF44" s="13">
        <f t="shared" si="37"/>
        <v>20.341765243261612</v>
      </c>
      <c r="BG44" s="20">
        <f t="shared" si="7"/>
        <v>162.04271519360637</v>
      </c>
      <c r="BH44" s="59">
        <f t="shared" si="8"/>
        <v>455.37604852693971</v>
      </c>
      <c r="BI44" s="59">
        <f ca="1">AVERAGE(OFFSET($BH$3,0,0,'Données projet'!$E$11+1,1))-AVERAGE(OFFSET($H$3,0,0,'Données projet'!$E$11+1,1))</f>
        <v>179.55753939285887</v>
      </c>
      <c r="BJ44" s="59">
        <f t="shared" si="38"/>
        <v>147.29214162149162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14.915976331360945</v>
      </c>
      <c r="N45" s="13">
        <f>IF('Données projet'!$A$36&gt;35,N44+M45-V44,IF(A45&lt;'Données projet'!$A$36,$K$205^A45,IF(A45='Données projet'!$A$36,'Données projet'!$B$36,N44+M45-V44)))</f>
        <v>367.74437869822464</v>
      </c>
      <c r="O45" s="13">
        <f>N45*VLOOKUP('Données projet'!$B$9,Paramètres!$A$1:$I$89,3,0)*VLOOKUP('Données projet'!$B$9,Paramètres!$A$1:$I$89,5,0)</f>
        <v>219.91113846153834</v>
      </c>
      <c r="P45" s="13">
        <f t="shared" si="33"/>
        <v>54.095571650167813</v>
      </c>
      <c r="Q45" s="20">
        <f t="shared" si="53"/>
        <v>477.2283534445549</v>
      </c>
      <c r="R45" s="59">
        <f t="shared" si="0"/>
        <v>770.56168677788821</v>
      </c>
      <c r="S45" s="59">
        <f ca="1">AVERAGE(OFFSET($R$3,0,0,'Données projet'!$E$9+1,1))-AVERAGE(OFFSET($H$3,0,0,'Données projet'!$E$9+1,1))</f>
        <v>195.14508560011791</v>
      </c>
      <c r="T45" s="59">
        <f t="shared" si="34"/>
        <v>285.1531413455931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25.291118664939468</v>
      </c>
      <c r="AB45" s="21">
        <f>EXP(-LN(2)/2)*AB44+(1-EXP(-LN(2)/2))/(LN(2)/2)*V45*Y45*VLOOKUP('Données projet'!$B$9,Paramètres!$A$1:$I$89,3,0)*0.475*44/12</f>
        <v>0.64472690345369255</v>
      </c>
      <c r="AC45" s="22">
        <f t="shared" si="3"/>
        <v>25.935845568393159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14.915976331360945</v>
      </c>
      <c r="AI45" s="13">
        <f>IF('Données projet'!$A$62&gt;35,AI44+AH45-AQ44,IF(A45&lt;'Données projet'!$A$62,$AF$205^A45,IF(A45='Données projet'!$A$62,'Données projet'!$B$62,AI44+AH45-AQ44)))</f>
        <v>367.74437869822464</v>
      </c>
      <c r="AJ45" s="13">
        <f>AI45*VLOOKUP('Données projet'!$B$10,Paramètres!$A$1:$I$89,3,0)*VLOOKUP('Données projet'!$B$10,Paramètres!$A$1:$I$89,5,0)</f>
        <v>219.91113846153834</v>
      </c>
      <c r="AK45" s="13">
        <f t="shared" si="35"/>
        <v>54.095571650167813</v>
      </c>
      <c r="AL45" s="20">
        <f t="shared" si="4"/>
        <v>477.2283534445549</v>
      </c>
      <c r="AM45" s="59">
        <f t="shared" si="5"/>
        <v>770.56168677788821</v>
      </c>
      <c r="AN45" s="59">
        <f ca="1">AVERAGE(OFFSET($AM$3,0,0,'Données projet'!$E$10+1,1))-AVERAGE(OFFSET($H$3,0,0,'Données projet'!$E$10+1,1))</f>
        <v>195.14508560011791</v>
      </c>
      <c r="AO45" s="59">
        <f t="shared" si="36"/>
        <v>285.1531413455931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25.291118664939468</v>
      </c>
      <c r="AW45" s="21">
        <f>EXP(-LN(2)/2)*AW44+(1-EXP(-LN(2)/2))/(LN(2)/2)*AQ45*AT45*VLOOKUP('Données projet'!$B$10,Paramètres!$A$1:$I$89,3,0)*0.475*44/12</f>
        <v>0.64472690345369255</v>
      </c>
      <c r="AX45" s="21">
        <f t="shared" si="6"/>
        <v>25.935845568393159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6.9880952357142849</v>
      </c>
      <c r="BD45" s="12">
        <f>IF('Données projet'!$A$88&gt;35,BD44+BC45-BL44,IF(A45&lt;'Données projet'!$A$88,$BA$205^A45,IF(A45='Données projet'!$A$88,'Données projet'!$B$88,BD44+BC45-BL44)))</f>
        <v>93.285714292857264</v>
      </c>
      <c r="BE45" s="13">
        <f>BD45*VLOOKUP('Données projet'!$B$11,Paramètres!$A$1:$I$89,3,0)*VLOOKUP('Données projet'!$B$11,Paramètres!$A$1:$I$89,5,0)</f>
        <v>78.583885720302973</v>
      </c>
      <c r="BF45" s="13">
        <f t="shared" si="37"/>
        <v>21.790577741317922</v>
      </c>
      <c r="BG45" s="20">
        <f t="shared" si="7"/>
        <v>174.81885719565639</v>
      </c>
      <c r="BH45" s="59">
        <f t="shared" si="8"/>
        <v>468.15219052898971</v>
      </c>
      <c r="BI45" s="59">
        <f ca="1">AVERAGE(OFFSET($BH$3,0,0,'Données projet'!$E$11+1,1))-AVERAGE(OFFSET($H$3,0,0,'Données projet'!$E$11+1,1))</f>
        <v>179.55753939285887</v>
      </c>
      <c r="BJ45" s="59">
        <f t="shared" si="38"/>
        <v>147.29214162149162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14.915976331360945</v>
      </c>
      <c r="N46" s="13">
        <f>IF('Données projet'!$A$36&gt;35,N45+M46-V45,IF(A46&lt;'Données projet'!$A$36,$K$205^A46,IF(A46='Données projet'!$A$36,'Données projet'!$B$36,N45+M46-V45)))</f>
        <v>382.66035502958556</v>
      </c>
      <c r="O46" s="13">
        <f>N46*VLOOKUP('Données projet'!$B$9,Paramètres!$A$1:$I$89,3,0)*VLOOKUP('Données projet'!$B$9,Paramètres!$A$1:$I$89,5,0)</f>
        <v>228.83089230769221</v>
      </c>
      <c r="P46" s="13">
        <f t="shared" si="33"/>
        <v>56.029818188799702</v>
      </c>
      <c r="Q46" s="20">
        <f t="shared" si="53"/>
        <v>496.13240411472333</v>
      </c>
      <c r="R46" s="59">
        <f t="shared" si="0"/>
        <v>789.46573744805664</v>
      </c>
      <c r="S46" s="59">
        <f ca="1">AVERAGE(OFFSET($R$3,0,0,'Données projet'!$E$9+1,1))-AVERAGE(OFFSET($H$3,0,0,'Données projet'!$E$9+1,1))</f>
        <v>195.14508560011791</v>
      </c>
      <c r="T46" s="59">
        <f t="shared" si="34"/>
        <v>285.1531413455931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24.599531695044572</v>
      </c>
      <c r="AB46" s="21">
        <f>EXP(-LN(2)/2)*AB45+(1-EXP(-LN(2)/2))/(LN(2)/2)*V46*Y46*VLOOKUP('Données projet'!$B$9,Paramètres!$A$1:$I$89,3,0)*0.475*44/12</f>
        <v>0.45589076544551055</v>
      </c>
      <c r="AC46" s="22">
        <f t="shared" si="3"/>
        <v>25.055422460490082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14.915976331360945</v>
      </c>
      <c r="AI46" s="13">
        <f>IF('Données projet'!$A$62&gt;35,AI45+AH46-AQ45,IF(A46&lt;'Données projet'!$A$62,$AF$205^A46,IF(A46='Données projet'!$A$62,'Données projet'!$B$62,AI45+AH46-AQ45)))</f>
        <v>382.66035502958556</v>
      </c>
      <c r="AJ46" s="13">
        <f>AI46*VLOOKUP('Données projet'!$B$10,Paramètres!$A$1:$I$89,3,0)*VLOOKUP('Données projet'!$B$10,Paramètres!$A$1:$I$89,5,0)</f>
        <v>228.83089230769221</v>
      </c>
      <c r="AK46" s="13">
        <f t="shared" si="35"/>
        <v>56.029818188799702</v>
      </c>
      <c r="AL46" s="20">
        <f t="shared" si="4"/>
        <v>496.13240411472333</v>
      </c>
      <c r="AM46" s="59">
        <f t="shared" si="5"/>
        <v>789.46573744805664</v>
      </c>
      <c r="AN46" s="59">
        <f ca="1">AVERAGE(OFFSET($AM$3,0,0,'Données projet'!$E$10+1,1))-AVERAGE(OFFSET($H$3,0,0,'Données projet'!$E$10+1,1))</f>
        <v>195.14508560011791</v>
      </c>
      <c r="AO46" s="59">
        <f t="shared" si="36"/>
        <v>285.1531413455931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24.599531695044572</v>
      </c>
      <c r="AW46" s="21">
        <f>EXP(-LN(2)/2)*AW45+(1-EXP(-LN(2)/2))/(LN(2)/2)*AQ46*AT46*VLOOKUP('Données projet'!$B$10,Paramètres!$A$1:$I$89,3,0)*0.475*44/12</f>
        <v>0.45589076544551055</v>
      </c>
      <c r="AX46" s="21">
        <f t="shared" si="6"/>
        <v>25.055422460490082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6.9880952357142849</v>
      </c>
      <c r="BD46" s="12">
        <f>IF('Données projet'!$A$88&gt;35,BD45+BC46-BL45,IF(A46&lt;'Données projet'!$A$88,$BA$205^A46,IF(A46='Données projet'!$A$88,'Données projet'!$B$88,BD45+BC46-BL45)))</f>
        <v>100.27380952857155</v>
      </c>
      <c r="BE46" s="13">
        <f>BD46*VLOOKUP('Données projet'!$B$11,Paramètres!$A$1:$I$89,3,0)*VLOOKUP('Données projet'!$B$11,Paramètres!$A$1:$I$89,5,0)</f>
        <v>84.470657146868675</v>
      </c>
      <c r="BF46" s="13">
        <f t="shared" si="37"/>
        <v>23.226799665613161</v>
      </c>
      <c r="BG46" s="20">
        <f t="shared" si="7"/>
        <v>187.57307061507251</v>
      </c>
      <c r="BH46" s="59">
        <f t="shared" si="8"/>
        <v>480.9064039484058</v>
      </c>
      <c r="BI46" s="59">
        <f ca="1">AVERAGE(OFFSET($BH$3,0,0,'Données projet'!$E$11+1,1))-AVERAGE(OFFSET($H$3,0,0,'Données projet'!$E$11+1,1))</f>
        <v>179.55753939285887</v>
      </c>
      <c r="BJ46" s="59">
        <f t="shared" si="38"/>
        <v>147.29214162149162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14.915976331360945</v>
      </c>
      <c r="N47" s="13">
        <f>IF('Données projet'!$A$36&gt;35,N46+M47-V46,IF(A47&lt;'Données projet'!$A$36,$K$205^A47,IF(A47='Données projet'!$A$36,'Données projet'!$B$36,N46+M47-V46)))</f>
        <v>397.57633136094648</v>
      </c>
      <c r="O47" s="13">
        <f>N47*VLOOKUP('Données projet'!$B$9,Paramètres!$A$1:$I$89,3,0)*VLOOKUP('Données projet'!$B$9,Paramètres!$A$1:$I$89,5,0)</f>
        <v>237.75064615384602</v>
      </c>
      <c r="P47" s="13">
        <f t="shared" si="33"/>
        <v>57.955306134890677</v>
      </c>
      <c r="Q47" s="20">
        <f t="shared" si="53"/>
        <v>515.02120023621637</v>
      </c>
      <c r="R47" s="59">
        <f t="shared" si="0"/>
        <v>808.35453356954963</v>
      </c>
      <c r="S47" s="59">
        <f ca="1">AVERAGE(OFFSET($R$3,0,0,'Données projet'!$E$9+1,1))-AVERAGE(OFFSET($H$3,0,0,'Données projet'!$E$9+1,1))</f>
        <v>195.14508560011791</v>
      </c>
      <c r="T47" s="59">
        <f t="shared" si="34"/>
        <v>285.1531413455931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23.926856207210431</v>
      </c>
      <c r="AB47" s="21">
        <f>EXP(-LN(2)/2)*AB46+(1-EXP(-LN(2)/2))/(LN(2)/2)*V47*Y47*VLOOKUP('Données projet'!$B$9,Paramètres!$A$1:$I$89,3,0)*0.475*44/12</f>
        <v>0.32236345172684633</v>
      </c>
      <c r="AC47" s="22">
        <f t="shared" si="3"/>
        <v>24.249219658937278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14.915976331360945</v>
      </c>
      <c r="AI47" s="13">
        <f>IF('Données projet'!$A$62&gt;35,AI46+AH47-AQ46,IF(A47&lt;'Données projet'!$A$62,$AF$205^A47,IF(A47='Données projet'!$A$62,'Données projet'!$B$62,AI46+AH47-AQ46)))</f>
        <v>397.57633136094648</v>
      </c>
      <c r="AJ47" s="13">
        <f>AI47*VLOOKUP('Données projet'!$B$10,Paramètres!$A$1:$I$89,3,0)*VLOOKUP('Données projet'!$B$10,Paramètres!$A$1:$I$89,5,0)</f>
        <v>237.75064615384602</v>
      </c>
      <c r="AK47" s="13">
        <f t="shared" si="35"/>
        <v>57.955306134890677</v>
      </c>
      <c r="AL47" s="20">
        <f t="shared" si="4"/>
        <v>515.02120023621637</v>
      </c>
      <c r="AM47" s="59">
        <f t="shared" si="5"/>
        <v>808.35453356954963</v>
      </c>
      <c r="AN47" s="59">
        <f ca="1">AVERAGE(OFFSET($AM$3,0,0,'Données projet'!$E$10+1,1))-AVERAGE(OFFSET($H$3,0,0,'Données projet'!$E$10+1,1))</f>
        <v>195.14508560011791</v>
      </c>
      <c r="AO47" s="59">
        <f t="shared" si="36"/>
        <v>285.1531413455931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23.926856207210431</v>
      </c>
      <c r="AW47" s="21">
        <f>EXP(-LN(2)/2)*AW46+(1-EXP(-LN(2)/2))/(LN(2)/2)*AQ47*AT47*VLOOKUP('Données projet'!$B$10,Paramètres!$A$1:$I$89,3,0)*0.475*44/12</f>
        <v>0.32236345172684633</v>
      </c>
      <c r="AX47" s="21">
        <f t="shared" si="6"/>
        <v>24.249219658937278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6.9880952357142849</v>
      </c>
      <c r="BD47" s="12">
        <f>IF('Données projet'!$A$88&gt;35,BD46+BC47-BL46,IF(A47&lt;'Données projet'!$A$88,$BA$205^A47,IF(A47='Données projet'!$A$88,'Données projet'!$B$88,BD46+BC47-BL46)))</f>
        <v>107.26190476428583</v>
      </c>
      <c r="BE47" s="13">
        <f>BD47*VLOOKUP('Données projet'!$B$11,Paramètres!$A$1:$I$89,3,0)*VLOOKUP('Données projet'!$B$11,Paramètres!$A$1:$I$89,5,0)</f>
        <v>90.35742857343439</v>
      </c>
      <c r="BF47" s="13">
        <f t="shared" si="37"/>
        <v>24.651408263591811</v>
      </c>
      <c r="BG47" s="20">
        <f t="shared" si="7"/>
        <v>200.30705749115396</v>
      </c>
      <c r="BH47" s="59">
        <f t="shared" si="8"/>
        <v>493.64039082448727</v>
      </c>
      <c r="BI47" s="59">
        <f ca="1">AVERAGE(OFFSET($BH$3,0,0,'Données projet'!$E$11+1,1))-AVERAGE(OFFSET($H$3,0,0,'Données projet'!$E$11+1,1))</f>
        <v>179.55753939285887</v>
      </c>
      <c r="BJ47" s="59">
        <f t="shared" si="38"/>
        <v>147.29214162149162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412.49230769230769</v>
      </c>
      <c r="L48" s="12">
        <f>VLOOKUP(A48,'Données projet'!$A$35:$I$55,9,0)</f>
        <v>14.915976331360945</v>
      </c>
      <c r="M48" s="12">
        <f t="array" ref="M48">INDEX(L:L,MIN(IF(ISNUMBER(L48:L244),ROW(L48:L244),"")))</f>
        <v>14.915976331360945</v>
      </c>
      <c r="N48" s="13">
        <f>IF('Données projet'!$A$36&gt;35,N47+M48-V47,IF(A48&lt;'Données projet'!$A$36,$K$205^A48,IF(A48='Données projet'!$A$36,'Données projet'!$B$36,N47+M48-V47)))</f>
        <v>412.49230769230741</v>
      </c>
      <c r="O48" s="13">
        <f>N48*VLOOKUP('Données projet'!$B$9,Paramètres!$A$1:$I$89,3,0)*VLOOKUP('Données projet'!$B$9,Paramètres!$A$1:$I$89,5,0)</f>
        <v>246.67039999999983</v>
      </c>
      <c r="P48" s="13">
        <f t="shared" si="33"/>
        <v>59.872401710742935</v>
      </c>
      <c r="Q48" s="20">
        <f t="shared" si="53"/>
        <v>533.89537964621024</v>
      </c>
      <c r="R48" s="59">
        <f t="shared" si="0"/>
        <v>827.22871297954362</v>
      </c>
      <c r="S48" s="59">
        <f ca="1">AVERAGE(OFFSET($R$3,0,0,'Données projet'!$E$9+1,1))-AVERAGE(OFFSET($H$3,0,0,'Données projet'!$E$9+1,1))</f>
        <v>195.14508560011791</v>
      </c>
      <c r="T48" s="59">
        <f t="shared" si="34"/>
        <v>285.1531413455931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412.49230769230769</v>
      </c>
      <c r="W48" s="16">
        <f>IF(ISNA(VLOOKUP(A48,'Données projet'!$A$35:$I$55,5,0)),0%,VLOOKUP(A48,'Données projet'!$A$35:$I$55,5,0)*VLOOKUP('Données projet'!$B$9,Paramètres!$A$1:$I$89,7,0))</f>
        <v>0.315</v>
      </c>
      <c r="X48" s="16">
        <f>IF(ISNA(VLOOKUP(A48,'Données projet'!$A$35:$I$55,6,0)),0%,VLOOKUP(A48,'Données projet'!$A$35:$I$55,6,0)*VLOOKUP('Données projet'!$B$9,Paramètres!$A$1:$I$89,7,0))</f>
        <v>7.5600000000000001E-2</v>
      </c>
      <c r="Y48" s="16">
        <f>IF(ISNA(VLOOKUP(A48,'Données projet'!$A$35:$I$55,7,0)),0%,VLOOKUP(A48,'Données projet'!$A$35:$I$55,7,0))</f>
        <v>0.13200000000000001</v>
      </c>
      <c r="Z48" s="21">
        <f>EXP(-LN(2)/35)*Z47+(1-EXP(-LN(2)/35))/(LN(2)/35)*V48*W48*VLOOKUP('Données projet'!$B$9,Paramètres!$A$1:$I$89,3,0)*0.475*44/12</f>
        <v>103.07561822745187</v>
      </c>
      <c r="AA48" s="21">
        <f>EXP(-LN(2)/25)*AA47+(1-EXP(-LN(2)/25))/(LN(2)/25)*Calculateur!V48*Calculateur!X48*VLOOKUP('Données projet'!$B$9,Paramètres!$A$1:$I$89,3,0)*0.475*44/12</f>
        <v>47.913319924429757</v>
      </c>
      <c r="AB48" s="21">
        <f>EXP(-LN(2)/2)*AB47+(1-EXP(-LN(2)/2))/(LN(2)/2)*V48*Y48*VLOOKUP('Données projet'!$B$9,Paramètres!$A$1:$I$89,3,0)*0.475*44/12</f>
        <v>37.093986954260707</v>
      </c>
      <c r="AC48" s="22">
        <f t="shared" si="3"/>
        <v>188.08292510614234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412.49230769230769</v>
      </c>
      <c r="AG48" s="12">
        <f>VLOOKUP(A48,'Données projet'!$A$61:$I$81,9,0)</f>
        <v>14.915976331360945</v>
      </c>
      <c r="AH48" s="12">
        <f t="array" ref="AH48">INDEX(AG:AG,MIN(IF(ISNUMBER(AG48:AG244),ROW(AG48:AG244),"")))</f>
        <v>14.915976331360945</v>
      </c>
      <c r="AI48" s="13">
        <f>IF('Données projet'!$A$62&gt;35,AI47+AH48-AQ47,IF(A48&lt;'Données projet'!$A$62,$AF$205^A48,IF(A48='Données projet'!$A$62,'Données projet'!$B$62,AI47+AH48-AQ47)))</f>
        <v>412.49230769230741</v>
      </c>
      <c r="AJ48" s="13">
        <f>AI48*VLOOKUP('Données projet'!$B$10,Paramètres!$A$1:$I$89,3,0)*VLOOKUP('Données projet'!$B$10,Paramètres!$A$1:$I$89,5,0)</f>
        <v>246.67039999999983</v>
      </c>
      <c r="AK48" s="13">
        <f t="shared" si="35"/>
        <v>59.872401710742935</v>
      </c>
      <c r="AL48" s="20">
        <f t="shared" si="4"/>
        <v>533.89537964621024</v>
      </c>
      <c r="AM48" s="59">
        <f t="shared" si="5"/>
        <v>827.22871297954362</v>
      </c>
      <c r="AN48" s="59">
        <f ca="1">AVERAGE(OFFSET($AM$3,0,0,'Données projet'!$E$10+1,1))-AVERAGE(OFFSET($H$3,0,0,'Données projet'!$E$10+1,1))</f>
        <v>195.14508560011791</v>
      </c>
      <c r="AO48" s="59">
        <f t="shared" si="36"/>
        <v>285.1531413455931</v>
      </c>
      <c r="AP48" s="15">
        <f>IF(ISNA(VLOOKUP(A48,'Données projet'!$A$61:$I$81,3,0)),0,VLOOKUP(A48,'Données projet'!$A$61:$I$81,3,0))</f>
        <v>5</v>
      </c>
      <c r="AQ48" s="15">
        <f>IF(ISNA(VLOOKUP(A48,'Données projet'!$A$61:$I$81,4,0)),0,VLOOKUP(A48,'Données projet'!$A$61:$I$81,4,0))</f>
        <v>412.49230769230769</v>
      </c>
      <c r="AR48" s="16">
        <f>IF(ISNA(VLOOKUP(A48,'Données projet'!$A$61:$I$81,5,0)),0%,VLOOKUP(A48,'Données projet'!$A$61:$I$81,5,0)*VLOOKUP('Données projet'!$B$10,Paramètres!$A$1:$I$89,7,0))</f>
        <v>0.315</v>
      </c>
      <c r="AS48" s="16">
        <f>IF(ISNA(VLOOKUP(A48,'Données projet'!$A$61:$I$81,6,0)),0%,VLOOKUP(A48,'Données projet'!$A$61:$I$81,6,0)*VLOOKUP('Données projet'!$B$10,Paramètres!$A$1:$I$89,7,0))</f>
        <v>7.5600000000000001E-2</v>
      </c>
      <c r="AT48" s="16">
        <f>IF(ISNA(VLOOKUP(A48,'Données projet'!$A$61:$I$81,7,0)),0%,VLOOKUP(A48,'Données projet'!$A$61:$I$81,7,0))</f>
        <v>0.13200000000000001</v>
      </c>
      <c r="AU48" s="21">
        <f>EXP(-LN(2)/35)*AU47+(1-EXP(-LN(2)/35))/(LN(2)/35)*AQ48*AR48*VLOOKUP('Données projet'!$B$10,Paramètres!$A$1:$I$89,3,0)*0.475*44/12</f>
        <v>103.07561822745187</v>
      </c>
      <c r="AV48" s="21">
        <f>EXP(-LN(2)/25)*AV47+(1-EXP(-LN(2)/25))/(LN(2)/25)*Calculateur!AQ48*Calculateur!AS48*VLOOKUP('Données projet'!$B$10,Paramètres!$A$1:$I$89,3,0)*0.475*44/12</f>
        <v>47.913319924429757</v>
      </c>
      <c r="AW48" s="21">
        <f>EXP(-LN(2)/2)*AW47+(1-EXP(-LN(2)/2))/(LN(2)/2)*AQ48*AT48*VLOOKUP('Données projet'!$B$10,Paramètres!$A$1:$I$89,3,0)*0.475*44/12</f>
        <v>37.093986954260707</v>
      </c>
      <c r="AX48" s="21">
        <f t="shared" si="6"/>
        <v>188.08292510614234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>
        <f>VLOOKUP(A48,'Données projet'!$A$87:$I$107,2,0)</f>
        <v>114.25</v>
      </c>
      <c r="BB48" s="12">
        <f>VLOOKUP(A48,'Données projet'!$A$87:$I$107,9,0)</f>
        <v>6.9880952357142849</v>
      </c>
      <c r="BC48" s="12">
        <f t="array" ref="BC48">INDEX(BB:BB,MIN(IF(ISNUMBER(BB48:BB244),ROW(BB48:BB244),"")))</f>
        <v>6.9880952357142849</v>
      </c>
      <c r="BD48" s="12">
        <f>IF('Données projet'!$A$88&gt;35,BD47+BC48-BL47,IF(A48&lt;'Données projet'!$A$88,$BA$205^A48,IF(A48='Données projet'!$A$88,'Données projet'!$B$88,BD47+BC48-BL47)))</f>
        <v>114.25000000000011</v>
      </c>
      <c r="BE48" s="13">
        <f>BD48*VLOOKUP('Données projet'!$B$11,Paramètres!$A$1:$I$89,3,0)*VLOOKUP('Données projet'!$B$11,Paramètres!$A$1:$I$89,5,0)</f>
        <v>96.244200000000106</v>
      </c>
      <c r="BF48" s="13">
        <f t="shared" si="37"/>
        <v>26.065246246607959</v>
      </c>
      <c r="BG48" s="20">
        <f t="shared" si="7"/>
        <v>213.02228554617568</v>
      </c>
      <c r="BH48" s="59">
        <f t="shared" si="8"/>
        <v>506.355618879509</v>
      </c>
      <c r="BI48" s="59">
        <f ca="1">AVERAGE(OFFSET($BH$3,0,0,'Données projet'!$E$11+1,1))-AVERAGE(OFFSET($H$3,0,0,'Données projet'!$E$11+1,1))</f>
        <v>179.55753939285887</v>
      </c>
      <c r="BJ48" s="59">
        <f t="shared" si="38"/>
        <v>147.29214162149162</v>
      </c>
      <c r="BK48" s="15">
        <f>IF(ISNA(VLOOKUP(A48,'Données projet'!$A$87:$I$107,3,0)),0,VLOOKUP(A48,'Données projet'!$A$87:$I$107,3,0))</f>
        <v>2</v>
      </c>
      <c r="BL48" s="15">
        <f>IF(ISNA(VLOOKUP(A48,'Données projet'!$A$87:$I$107,4,0)),0,VLOOKUP(A48,'Données projet'!$A$87:$I$107,4,0))</f>
        <v>32.397435899999998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-2.8421709430404007E-13</v>
      </c>
      <c r="O49" s="13">
        <f>N49*VLOOKUP('Données projet'!$B$9,Paramètres!$A$1:$I$89,3,0)*VLOOKUP('Données projet'!$B$9,Paramètres!$A$1:$I$89,5,0)</f>
        <v>-1.69961822393816E-13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195.14508560011791</v>
      </c>
      <c r="T49" s="59">
        <f t="shared" si="34"/>
        <v>285.1531413455931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101.05436822393077</v>
      </c>
      <c r="AA49" s="21">
        <f>EXP(-LN(2)/25)*AA48+(1-EXP(-LN(2)/25))/(LN(2)/25)*Calculateur!V49*Calculateur!X49*VLOOKUP('Données projet'!$B$9,Paramètres!$A$1:$I$89,3,0)*0.475*44/12</f>
        <v>46.603127671444241</v>
      </c>
      <c r="AB49" s="21">
        <f>EXP(-LN(2)/2)*AB48+(1-EXP(-LN(2)/2))/(LN(2)/2)*V49*Y49*VLOOKUP('Données projet'!$B$9,Paramètres!$A$1:$I$89,3,0)*0.475*44/12</f>
        <v>26.229409716603076</v>
      </c>
      <c r="AC49" s="22">
        <f t="shared" si="3"/>
        <v>173.88690561197808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-2.8421709430404007E-13</v>
      </c>
      <c r="AJ49" s="13">
        <f>AI49*VLOOKUP('Données projet'!$B$10,Paramètres!$A$1:$I$89,3,0)*VLOOKUP('Données projet'!$B$10,Paramètres!$A$1:$I$89,5,0)</f>
        <v>-1.69961822393816E-13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195.14508560011791</v>
      </c>
      <c r="AO49" s="59">
        <f t="shared" si="36"/>
        <v>285.1531413455931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101.05436822393077</v>
      </c>
      <c r="AV49" s="21">
        <f>EXP(-LN(2)/25)*AV48+(1-EXP(-LN(2)/25))/(LN(2)/25)*Calculateur!AQ49*Calculateur!AS49*VLOOKUP('Données projet'!$B$10,Paramètres!$A$1:$I$89,3,0)*0.475*44/12</f>
        <v>46.603127671444241</v>
      </c>
      <c r="AW49" s="21">
        <f>EXP(-LN(2)/2)*AW48+(1-EXP(-LN(2)/2))/(LN(2)/2)*AQ49*AT49*VLOOKUP('Données projet'!$B$10,Paramètres!$A$1:$I$89,3,0)*0.475*44/12</f>
        <v>26.229409716603076</v>
      </c>
      <c r="AX49" s="21">
        <f t="shared" si="6"/>
        <v>173.88690561197808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7.0293040285714312</v>
      </c>
      <c r="BD49" s="12">
        <f>IF('Données projet'!$A$88&gt;35,BD48+BC49-BL48,IF(A49&lt;'Données projet'!$A$88,$BA$205^A49,IF(A49='Données projet'!$A$88,'Données projet'!$B$88,BD48+BC49-BL48)))</f>
        <v>88.88186812857154</v>
      </c>
      <c r="BE49" s="13">
        <f>BD49*VLOOKUP('Données projet'!$B$11,Paramètres!$A$1:$I$89,3,0)*VLOOKUP('Données projet'!$B$11,Paramètres!$A$1:$I$89,5,0)</f>
        <v>74.87408571150867</v>
      </c>
      <c r="BF49" s="13">
        <f t="shared" si="37"/>
        <v>20.879082328844198</v>
      </c>
      <c r="BG49" s="20">
        <f t="shared" si="7"/>
        <v>166.7701010036146</v>
      </c>
      <c r="BH49" s="59">
        <f t="shared" si="8"/>
        <v>460.10343433694788</v>
      </c>
      <c r="BI49" s="59">
        <f ca="1">AVERAGE(OFFSET($BH$3,0,0,'Données projet'!$E$11+1,1))-AVERAGE(OFFSET($H$3,0,0,'Données projet'!$E$11+1,1))</f>
        <v>179.55753939285887</v>
      </c>
      <c r="BJ49" s="59">
        <f t="shared" si="38"/>
        <v>147.29214162149162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-2.8421709430404007E-13</v>
      </c>
      <c r="O50" s="13">
        <f>N50*VLOOKUP('Données projet'!$B$9,Paramètres!$A$1:$I$89,3,0)*VLOOKUP('Données projet'!$B$9,Paramètres!$A$1:$I$89,5,0)</f>
        <v>-1.69961822393816E-13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195.14508560011791</v>
      </c>
      <c r="T50" s="59">
        <f t="shared" si="34"/>
        <v>285.1531413455931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99.072753700137937</v>
      </c>
      <c r="AA50" s="21">
        <f>EXP(-LN(2)/25)*AA49+(1-EXP(-LN(2)/25))/(LN(2)/25)*Calculateur!V50*Calculateur!X50*VLOOKUP('Données projet'!$B$9,Paramètres!$A$1:$I$89,3,0)*0.475*44/12</f>
        <v>45.328762694516627</v>
      </c>
      <c r="AB50" s="21">
        <f>EXP(-LN(2)/2)*AB49+(1-EXP(-LN(2)/2))/(LN(2)/2)*V50*Y50*VLOOKUP('Données projet'!$B$9,Paramètres!$A$1:$I$89,3,0)*0.475*44/12</f>
        <v>18.546993477130357</v>
      </c>
      <c r="AC50" s="22">
        <f t="shared" si="3"/>
        <v>162.94850987178489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-2.8421709430404007E-13</v>
      </c>
      <c r="AJ50" s="13">
        <f>AI50*VLOOKUP('Données projet'!$B$10,Paramètres!$A$1:$I$89,3,0)*VLOOKUP('Données projet'!$B$10,Paramètres!$A$1:$I$89,5,0)</f>
        <v>-1.69961822393816E-13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195.14508560011791</v>
      </c>
      <c r="AO50" s="59">
        <f t="shared" si="36"/>
        <v>285.1531413455931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99.072753700137937</v>
      </c>
      <c r="AV50" s="21">
        <f>EXP(-LN(2)/25)*AV49+(1-EXP(-LN(2)/25))/(LN(2)/25)*Calculateur!AQ50*Calculateur!AS50*VLOOKUP('Données projet'!$B$10,Paramètres!$A$1:$I$89,3,0)*0.475*44/12</f>
        <v>45.328762694516627</v>
      </c>
      <c r="AW50" s="21">
        <f>EXP(-LN(2)/2)*AW49+(1-EXP(-LN(2)/2))/(LN(2)/2)*AQ50*AT50*VLOOKUP('Données projet'!$B$10,Paramètres!$A$1:$I$89,3,0)*0.475*44/12</f>
        <v>18.546993477130357</v>
      </c>
      <c r="AX50" s="21">
        <f t="shared" si="6"/>
        <v>162.94850987178489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7.0293040285714312</v>
      </c>
      <c r="BD50" s="12">
        <f>IF('Données projet'!$A$88&gt;35,BD49+BC50-BL49,IF(A50&lt;'Données projet'!$A$88,$BA$205^A50,IF(A50='Données projet'!$A$88,'Données projet'!$B$88,BD49+BC50-BL49)))</f>
        <v>95.911172157142971</v>
      </c>
      <c r="BE50" s="13">
        <f>BD50*VLOOKUP('Données projet'!$B$11,Paramètres!$A$1:$I$89,3,0)*VLOOKUP('Données projet'!$B$11,Paramètres!$A$1:$I$89,5,0)</f>
        <v>80.795571425177243</v>
      </c>
      <c r="BF50" s="13">
        <f t="shared" si="37"/>
        <v>22.331593307803658</v>
      </c>
      <c r="BG50" s="20">
        <f t="shared" si="7"/>
        <v>179.61314524327506</v>
      </c>
      <c r="BH50" s="59">
        <f t="shared" si="8"/>
        <v>472.94647857660834</v>
      </c>
      <c r="BI50" s="59">
        <f ca="1">AVERAGE(OFFSET($BH$3,0,0,'Données projet'!$E$11+1,1))-AVERAGE(OFFSET($H$3,0,0,'Données projet'!$E$11+1,1))</f>
        <v>179.55753939285887</v>
      </c>
      <c r="BJ50" s="59">
        <f t="shared" si="38"/>
        <v>147.29214162149162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-2.8421709430404007E-13</v>
      </c>
      <c r="O51" s="13">
        <f>N51*VLOOKUP('Données projet'!$B$9,Paramètres!$A$1:$I$89,3,0)*VLOOKUP('Données projet'!$B$9,Paramètres!$A$1:$I$89,5,0)</f>
        <v>-1.69961822393816E-13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195.14508560011791</v>
      </c>
      <c r="T51" s="59">
        <f t="shared" si="34"/>
        <v>285.1531413455931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97.12999742849118</v>
      </c>
      <c r="AA51" s="21">
        <f>EXP(-LN(2)/25)*AA50+(1-EXP(-LN(2)/25))/(LN(2)/25)*Calculateur!V51*Calculateur!X51*VLOOKUP('Données projet'!$B$9,Paramètres!$A$1:$I$89,3,0)*0.475*44/12</f>
        <v>44.089245294899037</v>
      </c>
      <c r="AB51" s="21">
        <f>EXP(-LN(2)/2)*AB50+(1-EXP(-LN(2)/2))/(LN(2)/2)*V51*Y51*VLOOKUP('Données projet'!$B$9,Paramètres!$A$1:$I$89,3,0)*0.475*44/12</f>
        <v>13.11470485830154</v>
      </c>
      <c r="AC51" s="22">
        <f t="shared" si="3"/>
        <v>154.33394758169175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-2.8421709430404007E-13</v>
      </c>
      <c r="AJ51" s="13">
        <f>AI51*VLOOKUP('Données projet'!$B$10,Paramètres!$A$1:$I$89,3,0)*VLOOKUP('Données projet'!$B$10,Paramètres!$A$1:$I$89,5,0)</f>
        <v>-1.69961822393816E-13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195.14508560011791</v>
      </c>
      <c r="AO51" s="59">
        <f t="shared" si="36"/>
        <v>285.1531413455931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97.12999742849118</v>
      </c>
      <c r="AV51" s="21">
        <f>EXP(-LN(2)/25)*AV50+(1-EXP(-LN(2)/25))/(LN(2)/25)*Calculateur!AQ51*Calculateur!AS51*VLOOKUP('Données projet'!$B$10,Paramètres!$A$1:$I$89,3,0)*0.475*44/12</f>
        <v>44.089245294899037</v>
      </c>
      <c r="AW51" s="21">
        <f>EXP(-LN(2)/2)*AW50+(1-EXP(-LN(2)/2))/(LN(2)/2)*AQ51*AT51*VLOOKUP('Données projet'!$B$10,Paramètres!$A$1:$I$89,3,0)*0.475*44/12</f>
        <v>13.11470485830154</v>
      </c>
      <c r="AX51" s="21">
        <f t="shared" si="6"/>
        <v>154.33394758169175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7.0293040285714312</v>
      </c>
      <c r="BD51" s="12">
        <f>IF('Données projet'!$A$88&gt;35,BD50+BC51-BL50,IF(A51&lt;'Données projet'!$A$88,$BA$205^A51,IF(A51='Données projet'!$A$88,'Données projet'!$B$88,BD50+BC51-BL50)))</f>
        <v>102.9404761857144</v>
      </c>
      <c r="BE51" s="13">
        <f>BD51*VLOOKUP('Données projet'!$B$11,Paramètres!$A$1:$I$89,3,0)*VLOOKUP('Données projet'!$B$11,Paramètres!$A$1:$I$89,5,0)</f>
        <v>86.717057138845831</v>
      </c>
      <c r="BF51" s="13">
        <f t="shared" si="37"/>
        <v>23.771754064288437</v>
      </c>
      <c r="BG51" s="20">
        <f t="shared" si="7"/>
        <v>192.43467951212551</v>
      </c>
      <c r="BH51" s="59">
        <f t="shared" si="8"/>
        <v>485.76801284545883</v>
      </c>
      <c r="BI51" s="59">
        <f ca="1">AVERAGE(OFFSET($BH$3,0,0,'Données projet'!$E$11+1,1))-AVERAGE(OFFSET($H$3,0,0,'Données projet'!$E$11+1,1))</f>
        <v>179.55753939285887</v>
      </c>
      <c r="BJ51" s="59">
        <f t="shared" si="38"/>
        <v>147.29214162149162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-2.8421709430404007E-13</v>
      </c>
      <c r="O52" s="13">
        <f>N52*VLOOKUP('Données projet'!$B$9,Paramètres!$A$1:$I$89,3,0)*VLOOKUP('Données projet'!$B$9,Paramètres!$A$1:$I$89,5,0)</f>
        <v>-1.69961822393816E-13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195.14508560011791</v>
      </c>
      <c r="T52" s="59">
        <f t="shared" si="34"/>
        <v>285.1531413455931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95.22533742236709</v>
      </c>
      <c r="AA52" s="21">
        <f>EXP(-LN(2)/25)*AA51+(1-EXP(-LN(2)/25))/(LN(2)/25)*Calculateur!V52*Calculateur!X52*VLOOKUP('Données projet'!$B$9,Paramètres!$A$1:$I$89,3,0)*0.475*44/12</f>
        <v>42.883622563757378</v>
      </c>
      <c r="AB52" s="21">
        <f>EXP(-LN(2)/2)*AB51+(1-EXP(-LN(2)/2))/(LN(2)/2)*V52*Y52*VLOOKUP('Données projet'!$B$9,Paramètres!$A$1:$I$89,3,0)*0.475*44/12</f>
        <v>9.2734967385651785</v>
      </c>
      <c r="AC52" s="22">
        <f t="shared" si="3"/>
        <v>147.38245672468963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-2.8421709430404007E-13</v>
      </c>
      <c r="AJ52" s="13">
        <f>AI52*VLOOKUP('Données projet'!$B$10,Paramètres!$A$1:$I$89,3,0)*VLOOKUP('Données projet'!$B$10,Paramètres!$A$1:$I$89,5,0)</f>
        <v>-1.69961822393816E-13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195.14508560011791</v>
      </c>
      <c r="AO52" s="59">
        <f t="shared" si="36"/>
        <v>285.1531413455931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95.22533742236709</v>
      </c>
      <c r="AV52" s="21">
        <f>EXP(-LN(2)/25)*AV51+(1-EXP(-LN(2)/25))/(LN(2)/25)*Calculateur!AQ52*Calculateur!AS52*VLOOKUP('Données projet'!$B$10,Paramètres!$A$1:$I$89,3,0)*0.475*44/12</f>
        <v>42.883622563757378</v>
      </c>
      <c r="AW52" s="21">
        <f>EXP(-LN(2)/2)*AW51+(1-EXP(-LN(2)/2))/(LN(2)/2)*AQ52*AT52*VLOOKUP('Données projet'!$B$10,Paramètres!$A$1:$I$89,3,0)*0.475*44/12</f>
        <v>9.2734967385651785</v>
      </c>
      <c r="AX52" s="21">
        <f t="shared" si="6"/>
        <v>147.38245672468963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7.0293040285714312</v>
      </c>
      <c r="BD52" s="12">
        <f>IF('Données projet'!$A$88&gt;35,BD51+BC52-BL51,IF(A52&lt;'Données projet'!$A$88,$BA$205^A52,IF(A52='Données projet'!$A$88,'Données projet'!$B$88,BD51+BC52-BL51)))</f>
        <v>109.96978021428583</v>
      </c>
      <c r="BE52" s="13">
        <f>BD52*VLOOKUP('Données projet'!$B$11,Paramètres!$A$1:$I$89,3,0)*VLOOKUP('Données projet'!$B$11,Paramètres!$A$1:$I$89,5,0)</f>
        <v>92.638542852514391</v>
      </c>
      <c r="BF52" s="13">
        <f t="shared" si="37"/>
        <v>25.200503877049822</v>
      </c>
      <c r="BG52" s="20">
        <f t="shared" si="7"/>
        <v>205.2363397206577</v>
      </c>
      <c r="BH52" s="59">
        <f t="shared" si="8"/>
        <v>498.56967305399098</v>
      </c>
      <c r="BI52" s="59">
        <f ca="1">AVERAGE(OFFSET($BH$3,0,0,'Données projet'!$E$11+1,1))-AVERAGE(OFFSET($H$3,0,0,'Données projet'!$E$11+1,1))</f>
        <v>179.55753939285887</v>
      </c>
      <c r="BJ52" s="59">
        <f t="shared" si="38"/>
        <v>147.29214162149162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-2.8421709430404007E-13</v>
      </c>
      <c r="O53" s="13">
        <f>N53*VLOOKUP('Données projet'!$B$9,Paramètres!$A$1:$I$89,3,0)*VLOOKUP('Données projet'!$B$9,Paramètres!$A$1:$I$89,5,0)</f>
        <v>-1.69961822393816E-13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195.14508560011791</v>
      </c>
      <c r="T53" s="59">
        <f t="shared" si="34"/>
        <v>285.1531413455931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93.358026637235213</v>
      </c>
      <c r="AA53" s="21">
        <f>EXP(-LN(2)/25)*AA52+(1-EXP(-LN(2)/25))/(LN(2)/25)*Calculateur!V53*Calculateur!X53*VLOOKUP('Données projet'!$B$9,Paramètres!$A$1:$I$89,3,0)*0.475*44/12</f>
        <v>41.710967649599731</v>
      </c>
      <c r="AB53" s="21">
        <f>EXP(-LN(2)/2)*AB52+(1-EXP(-LN(2)/2))/(LN(2)/2)*V53*Y53*VLOOKUP('Données projet'!$B$9,Paramètres!$A$1:$I$89,3,0)*0.475*44/12</f>
        <v>6.5573524291507699</v>
      </c>
      <c r="AC53" s="22">
        <f t="shared" si="3"/>
        <v>141.6263467159857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-2.8421709430404007E-13</v>
      </c>
      <c r="AJ53" s="13">
        <f>AI53*VLOOKUP('Données projet'!$B$10,Paramètres!$A$1:$I$89,3,0)*VLOOKUP('Données projet'!$B$10,Paramètres!$A$1:$I$89,5,0)</f>
        <v>-1.69961822393816E-13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195.14508560011791</v>
      </c>
      <c r="AO53" s="59">
        <f t="shared" si="36"/>
        <v>285.1531413455931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93.358026637235213</v>
      </c>
      <c r="AV53" s="21">
        <f>EXP(-LN(2)/25)*AV52+(1-EXP(-LN(2)/25))/(LN(2)/25)*Calculateur!AQ53*Calculateur!AS53*VLOOKUP('Données projet'!$B$10,Paramètres!$A$1:$I$89,3,0)*0.475*44/12</f>
        <v>41.710967649599731</v>
      </c>
      <c r="AW53" s="21">
        <f>EXP(-LN(2)/2)*AW52+(1-EXP(-LN(2)/2))/(LN(2)/2)*AQ53*AT53*VLOOKUP('Données projet'!$B$10,Paramètres!$A$1:$I$89,3,0)*0.475*44/12</f>
        <v>6.5573524291507699</v>
      </c>
      <c r="AX53" s="21">
        <f t="shared" si="6"/>
        <v>141.6263467159857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7.0293040285714312</v>
      </c>
      <c r="BD53" s="12">
        <f>IF('Données projet'!$A$88&gt;35,BD52+BC53-BL52,IF(A53&lt;'Données projet'!$A$88,$BA$205^A53,IF(A53='Données projet'!$A$88,'Données projet'!$B$88,BD52+BC53-BL52)))</f>
        <v>116.99908424285726</v>
      </c>
      <c r="BE53" s="13">
        <f>BD53*VLOOKUP('Données projet'!$B$11,Paramètres!$A$1:$I$89,3,0)*VLOOKUP('Données projet'!$B$11,Paramètres!$A$1:$I$89,5,0)</f>
        <v>98.560028566182964</v>
      </c>
      <c r="BF53" s="13">
        <f t="shared" si="37"/>
        <v>26.618655158079122</v>
      </c>
      <c r="BG53" s="20">
        <f t="shared" si="7"/>
        <v>218.01954081975646</v>
      </c>
      <c r="BH53" s="59">
        <f t="shared" si="8"/>
        <v>511.35287415308977</v>
      </c>
      <c r="BI53" s="59">
        <f ca="1">AVERAGE(OFFSET($BH$3,0,0,'Données projet'!$E$11+1,1))-AVERAGE(OFFSET($H$3,0,0,'Données projet'!$E$11+1,1))</f>
        <v>179.55753939285887</v>
      </c>
      <c r="BJ53" s="59">
        <f t="shared" si="38"/>
        <v>147.29214162149162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-2.8421709430404007E-13</v>
      </c>
      <c r="O54" s="13">
        <f>N54*VLOOKUP('Données projet'!$B$9,Paramètres!$A$1:$I$89,3,0)*VLOOKUP('Données projet'!$B$9,Paramètres!$A$1:$I$89,5,0)</f>
        <v>-1.69961822393816E-13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195.14508560011791</v>
      </c>
      <c r="T54" s="59">
        <f t="shared" si="34"/>
        <v>285.1531413455931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91.527332677652652</v>
      </c>
      <c r="AA54" s="21">
        <f>EXP(-LN(2)/25)*AA53+(1-EXP(-LN(2)/25))/(LN(2)/25)*Calculateur!V54*Calculateur!X54*VLOOKUP('Données projet'!$B$9,Paramètres!$A$1:$I$89,3,0)*0.475*44/12</f>
        <v>40.570379045736971</v>
      </c>
      <c r="AB54" s="21">
        <f>EXP(-LN(2)/2)*AB53+(1-EXP(-LN(2)/2))/(LN(2)/2)*V54*Y54*VLOOKUP('Données projet'!$B$9,Paramètres!$A$1:$I$89,3,0)*0.475*44/12</f>
        <v>4.6367483692825893</v>
      </c>
      <c r="AC54" s="22">
        <f t="shared" si="3"/>
        <v>136.73446009267224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-2.8421709430404007E-13</v>
      </c>
      <c r="AJ54" s="13">
        <f>AI54*VLOOKUP('Données projet'!$B$10,Paramètres!$A$1:$I$89,3,0)*VLOOKUP('Données projet'!$B$10,Paramètres!$A$1:$I$89,5,0)</f>
        <v>-1.69961822393816E-13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195.14508560011791</v>
      </c>
      <c r="AO54" s="59">
        <f t="shared" si="36"/>
        <v>285.1531413455931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91.527332677652652</v>
      </c>
      <c r="AV54" s="21">
        <f>EXP(-LN(2)/25)*AV53+(1-EXP(-LN(2)/25))/(LN(2)/25)*Calculateur!AQ54*Calculateur!AS54*VLOOKUP('Données projet'!$B$10,Paramètres!$A$1:$I$89,3,0)*0.475*44/12</f>
        <v>40.570379045736971</v>
      </c>
      <c r="AW54" s="21">
        <f>EXP(-LN(2)/2)*AW53+(1-EXP(-LN(2)/2))/(LN(2)/2)*AQ54*AT54*VLOOKUP('Données projet'!$B$10,Paramètres!$A$1:$I$89,3,0)*0.475*44/12</f>
        <v>4.6367483692825893</v>
      </c>
      <c r="AX54" s="21">
        <f t="shared" si="6"/>
        <v>136.73446009267224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7.0293040285714312</v>
      </c>
      <c r="BD54" s="12">
        <f>IF('Données projet'!$A$88&gt;35,BD53+BC54-BL53,IF(A54&lt;'Données projet'!$A$88,$BA$205^A54,IF(A54='Données projet'!$A$88,'Données projet'!$B$88,BD53+BC54-BL53)))</f>
        <v>124.0283882714287</v>
      </c>
      <c r="BE54" s="13">
        <f>BD54*VLOOKUP('Données projet'!$B$11,Paramètres!$A$1:$I$89,3,0)*VLOOKUP('Données projet'!$B$11,Paramètres!$A$1:$I$89,5,0)</f>
        <v>104.48151427985154</v>
      </c>
      <c r="BF54" s="13">
        <f t="shared" si="37"/>
        <v>28.026917184571175</v>
      </c>
      <c r="BG54" s="20">
        <f t="shared" si="7"/>
        <v>230.78551813386949</v>
      </c>
      <c r="BH54" s="59">
        <f t="shared" si="8"/>
        <v>524.11885146720283</v>
      </c>
      <c r="BI54" s="59">
        <f ca="1">AVERAGE(OFFSET($BH$3,0,0,'Données projet'!$E$11+1,1))-AVERAGE(OFFSET($H$3,0,0,'Données projet'!$E$11+1,1))</f>
        <v>179.55753939285887</v>
      </c>
      <c r="BJ54" s="59">
        <f t="shared" si="38"/>
        <v>147.29214162149162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-2.8421709430404007E-13</v>
      </c>
      <c r="O55" s="13">
        <f>N55*VLOOKUP('Données projet'!$B$9,Paramètres!$A$1:$I$89,3,0)*VLOOKUP('Données projet'!$B$9,Paramètres!$A$1:$I$89,5,0)</f>
        <v>-1.69961822393816E-13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195.14508560011791</v>
      </c>
      <c r="T55" s="59">
        <f t="shared" si="34"/>
        <v>285.1531413455931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89.732537510004434</v>
      </c>
      <c r="AA55" s="21">
        <f>EXP(-LN(2)/25)*AA54+(1-EXP(-LN(2)/25))/(LN(2)/25)*Calculateur!V55*Calculateur!X55*VLOOKUP('Données projet'!$B$9,Paramètres!$A$1:$I$89,3,0)*0.475*44/12</f>
        <v>39.460979897227787</v>
      </c>
      <c r="AB55" s="21">
        <f>EXP(-LN(2)/2)*AB54+(1-EXP(-LN(2)/2))/(LN(2)/2)*V55*Y55*VLOOKUP('Données projet'!$B$9,Paramètres!$A$1:$I$89,3,0)*0.475*44/12</f>
        <v>3.2786762145753849</v>
      </c>
      <c r="AC55" s="22">
        <f t="shared" si="3"/>
        <v>132.47219362180761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-2.8421709430404007E-13</v>
      </c>
      <c r="AJ55" s="13">
        <f>AI55*VLOOKUP('Données projet'!$B$10,Paramètres!$A$1:$I$89,3,0)*VLOOKUP('Données projet'!$B$10,Paramètres!$A$1:$I$89,5,0)</f>
        <v>-1.69961822393816E-13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195.14508560011791</v>
      </c>
      <c r="AO55" s="59">
        <f t="shared" si="36"/>
        <v>285.1531413455931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89.732537510004434</v>
      </c>
      <c r="AV55" s="21">
        <f>EXP(-LN(2)/25)*AV54+(1-EXP(-LN(2)/25))/(LN(2)/25)*Calculateur!AQ55*Calculateur!AS55*VLOOKUP('Données projet'!$B$10,Paramètres!$A$1:$I$89,3,0)*0.475*44/12</f>
        <v>39.460979897227787</v>
      </c>
      <c r="AW55" s="21">
        <f>EXP(-LN(2)/2)*AW54+(1-EXP(-LN(2)/2))/(LN(2)/2)*AQ55*AT55*VLOOKUP('Données projet'!$B$10,Paramètres!$A$1:$I$89,3,0)*0.475*44/12</f>
        <v>3.2786762145753849</v>
      </c>
      <c r="AX55" s="21">
        <f t="shared" si="6"/>
        <v>132.47219362180761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>
        <f>VLOOKUP(A55,'Données projet'!$A$87:$I$107,2,0)</f>
        <v>131.05769230000001</v>
      </c>
      <c r="BB55" s="12">
        <f>VLOOKUP(A55,'Données projet'!$A$87:$I$107,9,0)</f>
        <v>7.0293040285714312</v>
      </c>
      <c r="BC55" s="12">
        <f t="array" ref="BC55">INDEX(BB:BB,MIN(IF(ISNUMBER(BB55:BB251),ROW(BB55:BB251),"")))</f>
        <v>7.0293040285714312</v>
      </c>
      <c r="BD55" s="12">
        <f>IF('Données projet'!$A$88&gt;35,BD54+BC55-BL54,IF(A55&lt;'Données projet'!$A$88,$BA$205^A55,IF(A55='Données projet'!$A$88,'Données projet'!$B$88,BD54+BC55-BL54)))</f>
        <v>131.05769230000013</v>
      </c>
      <c r="BE55" s="13">
        <f>BD55*VLOOKUP('Données projet'!$B$11,Paramètres!$A$1:$I$89,3,0)*VLOOKUP('Données projet'!$B$11,Paramètres!$A$1:$I$89,5,0)</f>
        <v>110.40299999352013</v>
      </c>
      <c r="BF55" s="13">
        <f t="shared" si="37"/>
        <v>29.425914296293374</v>
      </c>
      <c r="BG55" s="20">
        <f t="shared" si="7"/>
        <v>243.53535905475849</v>
      </c>
      <c r="BH55" s="59">
        <f t="shared" si="8"/>
        <v>536.86869238809186</v>
      </c>
      <c r="BI55" s="59">
        <f ca="1">AVERAGE(OFFSET($BH$3,0,0,'Données projet'!$E$11+1,1))-AVERAGE(OFFSET($H$3,0,0,'Données projet'!$E$11+1,1))</f>
        <v>179.55753939285887</v>
      </c>
      <c r="BJ55" s="59">
        <f t="shared" si="38"/>
        <v>147.29214162149162</v>
      </c>
      <c r="BK55" s="15">
        <f>IF(ISNA(VLOOKUP(A55,'Données projet'!$A$87:$I$107,3,0)),0,VLOOKUP(A55,'Données projet'!$A$87:$I$107,3,0))</f>
        <v>3</v>
      </c>
      <c r="BL55" s="15">
        <f>IF(ISNA(VLOOKUP(A55,'Données projet'!$A$87:$I$107,4,0)),0,VLOOKUP(A55,'Données projet'!$A$87:$I$107,4,0))</f>
        <v>32.94230769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-2.8421709430404007E-13</v>
      </c>
      <c r="O56" s="13">
        <f>N56*VLOOKUP('Données projet'!$B$9,Paramètres!$A$1:$I$89,3,0)*VLOOKUP('Données projet'!$B$9,Paramètres!$A$1:$I$89,5,0)</f>
        <v>-1.69961822393816E-13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195.14508560011791</v>
      </c>
      <c r="T56" s="59">
        <f t="shared" si="34"/>
        <v>285.1531413455931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87.972937180876841</v>
      </c>
      <c r="AA56" s="21">
        <f>EXP(-LN(2)/25)*AA55+(1-EXP(-LN(2)/25))/(LN(2)/25)*Calculateur!V56*Calculateur!X56*VLOOKUP('Données projet'!$B$9,Paramètres!$A$1:$I$89,3,0)*0.475*44/12</f>
        <v>38.381917326775351</v>
      </c>
      <c r="AB56" s="21">
        <f>EXP(-LN(2)/2)*AB55+(1-EXP(-LN(2)/2))/(LN(2)/2)*V56*Y56*VLOOKUP('Données projet'!$B$9,Paramètres!$A$1:$I$89,3,0)*0.475*44/12</f>
        <v>2.3183741846412946</v>
      </c>
      <c r="AC56" s="22">
        <f t="shared" si="3"/>
        <v>128.67322869229349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-2.8421709430404007E-13</v>
      </c>
      <c r="AJ56" s="13">
        <f>AI56*VLOOKUP('Données projet'!$B$10,Paramètres!$A$1:$I$89,3,0)*VLOOKUP('Données projet'!$B$10,Paramètres!$A$1:$I$89,5,0)</f>
        <v>-1.69961822393816E-13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195.14508560011791</v>
      </c>
      <c r="AO56" s="59">
        <f t="shared" si="36"/>
        <v>285.1531413455931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87.972937180876841</v>
      </c>
      <c r="AV56" s="21">
        <f>EXP(-LN(2)/25)*AV55+(1-EXP(-LN(2)/25))/(LN(2)/25)*Calculateur!AQ56*Calculateur!AS56*VLOOKUP('Données projet'!$B$10,Paramètres!$A$1:$I$89,3,0)*0.475*44/12</f>
        <v>38.381917326775351</v>
      </c>
      <c r="AW56" s="21">
        <f>EXP(-LN(2)/2)*AW55+(1-EXP(-LN(2)/2))/(LN(2)/2)*AQ56*AT56*VLOOKUP('Données projet'!$B$10,Paramètres!$A$1:$I$89,3,0)*0.475*44/12</f>
        <v>2.3183741846412946</v>
      </c>
      <c r="AX56" s="21">
        <f t="shared" si="6"/>
        <v>128.67322869229349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6.8846153842857154</v>
      </c>
      <c r="BD56" s="12">
        <f>IF('Données projet'!$A$88&gt;35,BD55+BC56-BL55,IF(A56&lt;'Données projet'!$A$88,$BA$205^A56,IF(A56='Données projet'!$A$88,'Données projet'!$B$88,BD55+BC56-BL55)))</f>
        <v>104.99999999428584</v>
      </c>
      <c r="BE56" s="13">
        <f>BD56*VLOOKUP('Données projet'!$B$11,Paramètres!$A$1:$I$89,3,0)*VLOOKUP('Données projet'!$B$11,Paramètres!$A$1:$I$89,5,0)</f>
        <v>88.451999995186398</v>
      </c>
      <c r="BF56" s="13">
        <f t="shared" si="37"/>
        <v>24.191508525780684</v>
      </c>
      <c r="BG56" s="20">
        <f t="shared" si="7"/>
        <v>196.18744400735099</v>
      </c>
      <c r="BH56" s="59">
        <f t="shared" si="8"/>
        <v>489.52077734068428</v>
      </c>
      <c r="BI56" s="59">
        <f ca="1">AVERAGE(OFFSET($BH$3,0,0,'Données projet'!$E$11+1,1))-AVERAGE(OFFSET($H$3,0,0,'Données projet'!$E$11+1,1))</f>
        <v>179.55753939285887</v>
      </c>
      <c r="BJ56" s="59">
        <f t="shared" si="38"/>
        <v>147.29214162149162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-2.8421709430404007E-13</v>
      </c>
      <c r="O57" s="13">
        <f>N57*VLOOKUP('Données projet'!$B$9,Paramètres!$A$1:$I$89,3,0)*VLOOKUP('Données projet'!$B$9,Paramètres!$A$1:$I$89,5,0)</f>
        <v>-1.69961822393816E-13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195.14508560011791</v>
      </c>
      <c r="T57" s="59">
        <f t="shared" si="34"/>
        <v>285.1531413455931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86.247841540953218</v>
      </c>
      <c r="AA57" s="21">
        <f>EXP(-LN(2)/25)*AA56+(1-EXP(-LN(2)/25))/(LN(2)/25)*Calculateur!V57*Calculateur!X57*VLOOKUP('Données projet'!$B$9,Paramètres!$A$1:$I$89,3,0)*0.475*44/12</f>
        <v>37.332361779057372</v>
      </c>
      <c r="AB57" s="21">
        <f>EXP(-LN(2)/2)*AB56+(1-EXP(-LN(2)/2))/(LN(2)/2)*V57*Y57*VLOOKUP('Données projet'!$B$9,Paramètres!$A$1:$I$89,3,0)*0.475*44/12</f>
        <v>1.6393381072876925</v>
      </c>
      <c r="AC57" s="22">
        <f t="shared" si="3"/>
        <v>125.21954142729828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-2.8421709430404007E-13</v>
      </c>
      <c r="AJ57" s="13">
        <f>AI57*VLOOKUP('Données projet'!$B$10,Paramètres!$A$1:$I$89,3,0)*VLOOKUP('Données projet'!$B$10,Paramètres!$A$1:$I$89,5,0)</f>
        <v>-1.69961822393816E-13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195.14508560011791</v>
      </c>
      <c r="AO57" s="59">
        <f t="shared" si="36"/>
        <v>285.1531413455931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86.247841540953218</v>
      </c>
      <c r="AV57" s="21">
        <f>EXP(-LN(2)/25)*AV56+(1-EXP(-LN(2)/25))/(LN(2)/25)*Calculateur!AQ57*Calculateur!AS57*VLOOKUP('Données projet'!$B$10,Paramètres!$A$1:$I$89,3,0)*0.475*44/12</f>
        <v>37.332361779057372</v>
      </c>
      <c r="AW57" s="21">
        <f>EXP(-LN(2)/2)*AW56+(1-EXP(-LN(2)/2))/(LN(2)/2)*AQ57*AT57*VLOOKUP('Données projet'!$B$10,Paramètres!$A$1:$I$89,3,0)*0.475*44/12</f>
        <v>1.6393381072876925</v>
      </c>
      <c r="AX57" s="21">
        <f t="shared" si="6"/>
        <v>125.21954142729828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6.8846153842857154</v>
      </c>
      <c r="BD57" s="12">
        <f>IF('Données projet'!$A$88&gt;35,BD56+BC57-BL56,IF(A57&lt;'Données projet'!$A$88,$BA$205^A57,IF(A57='Données projet'!$A$88,'Données projet'!$B$88,BD56+BC57-BL56)))</f>
        <v>111.88461537857155</v>
      </c>
      <c r="BE57" s="13">
        <f>BD57*VLOOKUP('Données projet'!$B$11,Paramètres!$A$1:$I$89,3,0)*VLOOKUP('Données projet'!$B$11,Paramètres!$A$1:$I$89,5,0)</f>
        <v>94.251599994908688</v>
      </c>
      <c r="BF57" s="13">
        <f t="shared" si="37"/>
        <v>25.587837733871826</v>
      </c>
      <c r="BG57" s="20">
        <f t="shared" si="7"/>
        <v>208.72035404429269</v>
      </c>
      <c r="BH57" s="59">
        <f t="shared" si="8"/>
        <v>502.05368737762603</v>
      </c>
      <c r="BI57" s="59">
        <f ca="1">AVERAGE(OFFSET($BH$3,0,0,'Données projet'!$E$11+1,1))-AVERAGE(OFFSET($H$3,0,0,'Données projet'!$E$11+1,1))</f>
        <v>179.55753939285887</v>
      </c>
      <c r="BJ57" s="59">
        <f t="shared" si="38"/>
        <v>147.29214162149162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-2.8421709430404007E-13</v>
      </c>
      <c r="O58" s="13">
        <f>N58*VLOOKUP('Données projet'!$B$9,Paramètres!$A$1:$I$89,3,0)*VLOOKUP('Données projet'!$B$9,Paramètres!$A$1:$I$89,5,0)</f>
        <v>-1.69961822393816E-13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195.14508560011791</v>
      </c>
      <c r="T58" s="59">
        <f t="shared" si="34"/>
        <v>285.1531413455931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84.556573974324053</v>
      </c>
      <c r="AA58" s="21">
        <f>EXP(-LN(2)/25)*AA57+(1-EXP(-LN(2)/25))/(LN(2)/25)*Calculateur!V58*Calculateur!X58*VLOOKUP('Données projet'!$B$9,Paramètres!$A$1:$I$89,3,0)*0.475*44/12</f>
        <v>36.311506382985463</v>
      </c>
      <c r="AB58" s="21">
        <f>EXP(-LN(2)/2)*AB57+(1-EXP(-LN(2)/2))/(LN(2)/2)*V58*Y58*VLOOKUP('Données projet'!$B$9,Paramètres!$A$1:$I$89,3,0)*0.475*44/12</f>
        <v>1.1591870923206473</v>
      </c>
      <c r="AC58" s="22">
        <f t="shared" si="3"/>
        <v>122.02726744963016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-2.8421709430404007E-13</v>
      </c>
      <c r="AJ58" s="13">
        <f>AI58*VLOOKUP('Données projet'!$B$10,Paramètres!$A$1:$I$89,3,0)*VLOOKUP('Données projet'!$B$10,Paramètres!$A$1:$I$89,5,0)</f>
        <v>-1.69961822393816E-13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195.14508560011791</v>
      </c>
      <c r="AO58" s="59">
        <f t="shared" si="36"/>
        <v>285.1531413455931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84.556573974324053</v>
      </c>
      <c r="AV58" s="21">
        <f>EXP(-LN(2)/25)*AV57+(1-EXP(-LN(2)/25))/(LN(2)/25)*Calculateur!AQ58*Calculateur!AS58*VLOOKUP('Données projet'!$B$10,Paramètres!$A$1:$I$89,3,0)*0.475*44/12</f>
        <v>36.311506382985463</v>
      </c>
      <c r="AW58" s="21">
        <f>EXP(-LN(2)/2)*AW57+(1-EXP(-LN(2)/2))/(LN(2)/2)*AQ58*AT58*VLOOKUP('Données projet'!$B$10,Paramètres!$A$1:$I$89,3,0)*0.475*44/12</f>
        <v>1.1591870923206473</v>
      </c>
      <c r="AX58" s="21">
        <f t="shared" si="6"/>
        <v>122.02726744963016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6.8846153842857154</v>
      </c>
      <c r="BD58" s="12">
        <f>IF('Données projet'!$A$88&gt;35,BD57+BC58-BL57,IF(A58&lt;'Données projet'!$A$88,$BA$205^A58,IF(A58='Données projet'!$A$88,'Données projet'!$B$88,BD57+BC58-BL57)))</f>
        <v>118.76923076285726</v>
      </c>
      <c r="BE58" s="13">
        <f>BD58*VLOOKUP('Données projet'!$B$11,Paramètres!$A$1:$I$89,3,0)*VLOOKUP('Données projet'!$B$11,Paramètres!$A$1:$I$89,5,0)</f>
        <v>100.05119999463096</v>
      </c>
      <c r="BF58" s="13">
        <f t="shared" si="37"/>
        <v>26.974194877638709</v>
      </c>
      <c r="BG58" s="20">
        <f t="shared" si="7"/>
        <v>221.23589606920302</v>
      </c>
      <c r="BH58" s="59">
        <f t="shared" si="8"/>
        <v>514.56922940253639</v>
      </c>
      <c r="BI58" s="59">
        <f ca="1">AVERAGE(OFFSET($BH$3,0,0,'Données projet'!$E$11+1,1))-AVERAGE(OFFSET($H$3,0,0,'Données projet'!$E$11+1,1))</f>
        <v>179.55753939285887</v>
      </c>
      <c r="BJ58" s="59">
        <f t="shared" si="38"/>
        <v>147.29214162149162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-2.8421709430404007E-13</v>
      </c>
      <c r="O59" s="13">
        <f>N59*VLOOKUP('Données projet'!$B$9,Paramètres!$A$1:$I$89,3,0)*VLOOKUP('Données projet'!$B$9,Paramètres!$A$1:$I$89,5,0)</f>
        <v>-1.69961822393816E-13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195.14508560011791</v>
      </c>
      <c r="T59" s="59">
        <f t="shared" si="34"/>
        <v>285.1531413455931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82.898471133105133</v>
      </c>
      <c r="AA59" s="21">
        <f>EXP(-LN(2)/25)*AA58+(1-EXP(-LN(2)/25))/(LN(2)/25)*Calculateur!V59*Calculateur!X59*VLOOKUP('Données projet'!$B$9,Paramètres!$A$1:$I$89,3,0)*0.475*44/12</f>
        <v>35.318566331403595</v>
      </c>
      <c r="AB59" s="21">
        <f>EXP(-LN(2)/2)*AB58+(1-EXP(-LN(2)/2))/(LN(2)/2)*V59*Y59*VLOOKUP('Données projet'!$B$9,Paramètres!$A$1:$I$89,3,0)*0.475*44/12</f>
        <v>0.81966905364384623</v>
      </c>
      <c r="AC59" s="22">
        <f t="shared" si="3"/>
        <v>119.03670651815258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-2.8421709430404007E-13</v>
      </c>
      <c r="AJ59" s="13">
        <f>AI59*VLOOKUP('Données projet'!$B$10,Paramètres!$A$1:$I$89,3,0)*VLOOKUP('Données projet'!$B$10,Paramètres!$A$1:$I$89,5,0)</f>
        <v>-1.69961822393816E-13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195.14508560011791</v>
      </c>
      <c r="AO59" s="59">
        <f t="shared" si="36"/>
        <v>285.1531413455931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82.898471133105133</v>
      </c>
      <c r="AV59" s="21">
        <f>EXP(-LN(2)/25)*AV58+(1-EXP(-LN(2)/25))/(LN(2)/25)*Calculateur!AQ59*Calculateur!AS59*VLOOKUP('Données projet'!$B$10,Paramètres!$A$1:$I$89,3,0)*0.475*44/12</f>
        <v>35.318566331403595</v>
      </c>
      <c r="AW59" s="21">
        <f>EXP(-LN(2)/2)*AW58+(1-EXP(-LN(2)/2))/(LN(2)/2)*AQ59*AT59*VLOOKUP('Données projet'!$B$10,Paramètres!$A$1:$I$89,3,0)*0.475*44/12</f>
        <v>0.81966905364384623</v>
      </c>
      <c r="AX59" s="21">
        <f t="shared" si="6"/>
        <v>119.03670651815258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6.8846153842857154</v>
      </c>
      <c r="BD59" s="12">
        <f>IF('Données projet'!$A$88&gt;35,BD58+BC59-BL58,IF(A59&lt;'Données projet'!$A$88,$BA$205^A59,IF(A59='Données projet'!$A$88,'Données projet'!$B$88,BD58+BC59-BL58)))</f>
        <v>125.65384614714297</v>
      </c>
      <c r="BE59" s="13">
        <f>BD59*VLOOKUP('Données projet'!$B$11,Paramètres!$A$1:$I$89,3,0)*VLOOKUP('Données projet'!$B$11,Paramètres!$A$1:$I$89,5,0)</f>
        <v>105.85079999435325</v>
      </c>
      <c r="BF59" s="13">
        <f t="shared" si="37"/>
        <v>28.351223854687955</v>
      </c>
      <c r="BG59" s="20">
        <f t="shared" si="7"/>
        <v>233.73519153708011</v>
      </c>
      <c r="BH59" s="59">
        <f t="shared" si="8"/>
        <v>527.0685248704134</v>
      </c>
      <c r="BI59" s="59">
        <f ca="1">AVERAGE(OFFSET($BH$3,0,0,'Données projet'!$E$11+1,1))-AVERAGE(OFFSET($H$3,0,0,'Données projet'!$E$11+1,1))</f>
        <v>179.55753939285887</v>
      </c>
      <c r="BJ59" s="59">
        <f t="shared" si="38"/>
        <v>147.29214162149162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-2.8421709430404007E-13</v>
      </c>
      <c r="O60" s="13">
        <f>N60*VLOOKUP('Données projet'!$B$9,Paramètres!$A$1:$I$89,3,0)*VLOOKUP('Données projet'!$B$9,Paramètres!$A$1:$I$89,5,0)</f>
        <v>-1.69961822393816E-13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195.14508560011791</v>
      </c>
      <c r="T60" s="59">
        <f t="shared" si="34"/>
        <v>285.1531413455931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81.272882677259645</v>
      </c>
      <c r="AA60" s="21">
        <f>EXP(-LN(2)/25)*AA59+(1-EXP(-LN(2)/25))/(LN(2)/25)*Calculateur!V60*Calculateur!X60*VLOOKUP('Données projet'!$B$9,Paramètres!$A$1:$I$89,3,0)*0.475*44/12</f>
        <v>34.352778277748683</v>
      </c>
      <c r="AB60" s="21">
        <f>EXP(-LN(2)/2)*AB59+(1-EXP(-LN(2)/2))/(LN(2)/2)*V60*Y60*VLOOKUP('Données projet'!$B$9,Paramètres!$A$1:$I$89,3,0)*0.475*44/12</f>
        <v>0.57959354616032366</v>
      </c>
      <c r="AC60" s="22">
        <f t="shared" si="3"/>
        <v>116.20525450116865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-2.8421709430404007E-13</v>
      </c>
      <c r="AJ60" s="13">
        <f>AI60*VLOOKUP('Données projet'!$B$10,Paramètres!$A$1:$I$89,3,0)*VLOOKUP('Données projet'!$B$10,Paramètres!$A$1:$I$89,5,0)</f>
        <v>-1.69961822393816E-13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195.14508560011791</v>
      </c>
      <c r="AO60" s="59">
        <f t="shared" si="36"/>
        <v>285.1531413455931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81.272882677259645</v>
      </c>
      <c r="AV60" s="21">
        <f>EXP(-LN(2)/25)*AV59+(1-EXP(-LN(2)/25))/(LN(2)/25)*Calculateur!AQ60*Calculateur!AS60*VLOOKUP('Données projet'!$B$10,Paramètres!$A$1:$I$89,3,0)*0.475*44/12</f>
        <v>34.352778277748683</v>
      </c>
      <c r="AW60" s="21">
        <f>EXP(-LN(2)/2)*AW59+(1-EXP(-LN(2)/2))/(LN(2)/2)*AQ60*AT60*VLOOKUP('Données projet'!$B$10,Paramètres!$A$1:$I$89,3,0)*0.475*44/12</f>
        <v>0.57959354616032366</v>
      </c>
      <c r="AX60" s="21">
        <f t="shared" si="6"/>
        <v>116.20525450116865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6.8846153842857154</v>
      </c>
      <c r="BD60" s="12">
        <f>IF('Données projet'!$A$88&gt;35,BD59+BC60-BL59,IF(A60&lt;'Données projet'!$A$88,$BA$205^A60,IF(A60='Données projet'!$A$88,'Données projet'!$B$88,BD59+BC60-BL59)))</f>
        <v>132.53846153142868</v>
      </c>
      <c r="BE60" s="13">
        <f>BD60*VLOOKUP('Données projet'!$B$11,Paramètres!$A$1:$I$89,3,0)*VLOOKUP('Données projet'!$B$11,Paramètres!$A$1:$I$89,5,0)</f>
        <v>111.65039999407553</v>
      </c>
      <c r="BF60" s="13">
        <f t="shared" si="37"/>
        <v>29.719494018880518</v>
      </c>
      <c r="BG60" s="20">
        <f t="shared" si="7"/>
        <v>246.21923207256509</v>
      </c>
      <c r="BH60" s="59">
        <f t="shared" si="8"/>
        <v>539.55256540589835</v>
      </c>
      <c r="BI60" s="59">
        <f ca="1">AVERAGE(OFFSET($BH$3,0,0,'Données projet'!$E$11+1,1))-AVERAGE(OFFSET($H$3,0,0,'Données projet'!$E$11+1,1))</f>
        <v>179.55753939285887</v>
      </c>
      <c r="BJ60" s="59">
        <f t="shared" si="38"/>
        <v>147.29214162149162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-2.8421709430404007E-13</v>
      </c>
      <c r="O61" s="13">
        <f>N61*VLOOKUP('Données projet'!$B$9,Paramètres!$A$1:$I$89,3,0)*VLOOKUP('Données projet'!$B$9,Paramètres!$A$1:$I$89,5,0)</f>
        <v>-1.69961822393816E-13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195.14508560011791</v>
      </c>
      <c r="T61" s="59">
        <f t="shared" si="34"/>
        <v>285.1531413455931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79.679171019522229</v>
      </c>
      <c r="AA61" s="21">
        <f>EXP(-LN(2)/25)*AA60+(1-EXP(-LN(2)/25))/(LN(2)/25)*Calculateur!V61*Calculateur!X61*VLOOKUP('Données projet'!$B$9,Paramètres!$A$1:$I$89,3,0)*0.475*44/12</f>
        <v>33.413399749209553</v>
      </c>
      <c r="AB61" s="21">
        <f>EXP(-LN(2)/2)*AB60+(1-EXP(-LN(2)/2))/(LN(2)/2)*V61*Y61*VLOOKUP('Données projet'!$B$9,Paramètres!$A$1:$I$89,3,0)*0.475*44/12</f>
        <v>0.40983452682192312</v>
      </c>
      <c r="AC61" s="22">
        <f t="shared" si="3"/>
        <v>113.5024052955537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-2.8421709430404007E-13</v>
      </c>
      <c r="AJ61" s="13">
        <f>AI61*VLOOKUP('Données projet'!$B$10,Paramètres!$A$1:$I$89,3,0)*VLOOKUP('Données projet'!$B$10,Paramètres!$A$1:$I$89,5,0)</f>
        <v>-1.69961822393816E-13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195.14508560011791</v>
      </c>
      <c r="AO61" s="59">
        <f t="shared" si="36"/>
        <v>285.1531413455931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79.679171019522229</v>
      </c>
      <c r="AV61" s="21">
        <f>EXP(-LN(2)/25)*AV60+(1-EXP(-LN(2)/25))/(LN(2)/25)*Calculateur!AQ61*Calculateur!AS61*VLOOKUP('Données projet'!$B$10,Paramètres!$A$1:$I$89,3,0)*0.475*44/12</f>
        <v>33.413399749209553</v>
      </c>
      <c r="AW61" s="21">
        <f>EXP(-LN(2)/2)*AW60+(1-EXP(-LN(2)/2))/(LN(2)/2)*AQ61*AT61*VLOOKUP('Données projet'!$B$10,Paramètres!$A$1:$I$89,3,0)*0.475*44/12</f>
        <v>0.40983452682192312</v>
      </c>
      <c r="AX61" s="21">
        <f t="shared" si="6"/>
        <v>113.5024052955537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6.8846153842857154</v>
      </c>
      <c r="BD61" s="12">
        <f>IF('Données projet'!$A$88&gt;35,BD60+BC61-BL60,IF(A61&lt;'Données projet'!$A$88,$BA$205^A61,IF(A61='Données projet'!$A$88,'Données projet'!$B$88,BD60+BC61-BL60)))</f>
        <v>139.4230769157144</v>
      </c>
      <c r="BE61" s="13">
        <f>BD61*VLOOKUP('Données projet'!$B$11,Paramètres!$A$1:$I$89,3,0)*VLOOKUP('Données projet'!$B$11,Paramètres!$A$1:$I$89,5,0)</f>
        <v>117.44999999379782</v>
      </c>
      <c r="BF61" s="13">
        <f t="shared" si="37"/>
        <v>31.079512233878667</v>
      </c>
      <c r="BG61" s="20">
        <f t="shared" si="7"/>
        <v>258.6889004632032</v>
      </c>
      <c r="BH61" s="59">
        <f t="shared" si="8"/>
        <v>552.02223379653651</v>
      </c>
      <c r="BI61" s="59">
        <f ca="1">AVERAGE(OFFSET($BH$3,0,0,'Données projet'!$E$11+1,1))-AVERAGE(OFFSET($H$3,0,0,'Données projet'!$E$11+1,1))</f>
        <v>179.55753939285887</v>
      </c>
      <c r="BJ61" s="59">
        <f t="shared" si="38"/>
        <v>147.29214162149162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-2.8421709430404007E-13</v>
      </c>
      <c r="O62" s="13">
        <f>N62*VLOOKUP('Données projet'!$B$9,Paramètres!$A$1:$I$89,3,0)*VLOOKUP('Données projet'!$B$9,Paramètres!$A$1:$I$89,5,0)</f>
        <v>-1.69961822393816E-13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195.14508560011791</v>
      </c>
      <c r="T62" s="59">
        <f t="shared" si="34"/>
        <v>285.1531413455931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78.116711075324915</v>
      </c>
      <c r="AA62" s="21">
        <f>EXP(-LN(2)/25)*AA61+(1-EXP(-LN(2)/25))/(LN(2)/25)*Calculateur!V62*Calculateur!X62*VLOOKUP('Données projet'!$B$9,Paramètres!$A$1:$I$89,3,0)*0.475*44/12</f>
        <v>32.499708575933091</v>
      </c>
      <c r="AB62" s="21">
        <f>EXP(-LN(2)/2)*AB61+(1-EXP(-LN(2)/2))/(LN(2)/2)*V62*Y62*VLOOKUP('Données projet'!$B$9,Paramètres!$A$1:$I$89,3,0)*0.475*44/12</f>
        <v>0.28979677308016183</v>
      </c>
      <c r="AC62" s="22">
        <f t="shared" si="3"/>
        <v>110.90621642433817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-2.8421709430404007E-13</v>
      </c>
      <c r="AJ62" s="13">
        <f>AI62*VLOOKUP('Données projet'!$B$10,Paramètres!$A$1:$I$89,3,0)*VLOOKUP('Données projet'!$B$10,Paramètres!$A$1:$I$89,5,0)</f>
        <v>-1.69961822393816E-13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195.14508560011791</v>
      </c>
      <c r="AO62" s="59">
        <f t="shared" si="36"/>
        <v>285.1531413455931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78.116711075324915</v>
      </c>
      <c r="AV62" s="21">
        <f>EXP(-LN(2)/25)*AV61+(1-EXP(-LN(2)/25))/(LN(2)/25)*Calculateur!AQ62*Calculateur!AS62*VLOOKUP('Données projet'!$B$10,Paramètres!$A$1:$I$89,3,0)*0.475*44/12</f>
        <v>32.499708575933091</v>
      </c>
      <c r="AW62" s="21">
        <f>EXP(-LN(2)/2)*AW61+(1-EXP(-LN(2)/2))/(LN(2)/2)*AQ62*AT62*VLOOKUP('Données projet'!$B$10,Paramètres!$A$1:$I$89,3,0)*0.475*44/12</f>
        <v>0.28979677308016183</v>
      </c>
      <c r="AX62" s="21">
        <f t="shared" si="6"/>
        <v>110.90621642433817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>
        <f>VLOOKUP(A62,'Données projet'!$A$87:$I$107,2,0)</f>
        <v>146.30769230000001</v>
      </c>
      <c r="BB62" s="12">
        <f>VLOOKUP(A62,'Données projet'!$A$87:$I$107,9,0)</f>
        <v>6.8846153842857154</v>
      </c>
      <c r="BC62" s="12">
        <f t="array" ref="BC62">INDEX(BB:BB,MIN(IF(ISNUMBER(BB62:BB258),ROW(BB62:BB258),"")))</f>
        <v>6.8846153842857154</v>
      </c>
      <c r="BD62" s="12">
        <f>IF('Données projet'!$A$88&gt;35,BD61+BC62-BL61,IF(A62&lt;'Données projet'!$A$88,$BA$205^A62,IF(A62='Données projet'!$A$88,'Données projet'!$B$88,BD61+BC62-BL61)))</f>
        <v>146.30769230000013</v>
      </c>
      <c r="BE62" s="13">
        <f>BD62*VLOOKUP('Données projet'!$B$11,Paramètres!$A$1:$I$89,3,0)*VLOOKUP('Données projet'!$B$11,Paramètres!$A$1:$I$89,5,0)</f>
        <v>123.24959999352012</v>
      </c>
      <c r="BF62" s="13">
        <f t="shared" si="37"/>
        <v>32.4317324783079</v>
      </c>
      <c r="BG62" s="20">
        <f t="shared" si="7"/>
        <v>271.14498738843383</v>
      </c>
      <c r="BH62" s="59">
        <f t="shared" si="8"/>
        <v>564.4783207217672</v>
      </c>
      <c r="BI62" s="59">
        <f ca="1">AVERAGE(OFFSET($BH$3,0,0,'Données projet'!$E$11+1,1))-AVERAGE(OFFSET($H$3,0,0,'Données projet'!$E$11+1,1))</f>
        <v>179.55753939285887</v>
      </c>
      <c r="BJ62" s="59">
        <f t="shared" si="38"/>
        <v>147.29214162149162</v>
      </c>
      <c r="BK62" s="15">
        <f>IF(ISNA(VLOOKUP(A62,'Données projet'!$A$87:$I$107,3,0)),0,VLOOKUP(A62,'Données projet'!$A$87:$I$107,3,0))</f>
        <v>4</v>
      </c>
      <c r="BL62" s="15">
        <f>IF(ISNA(VLOOKUP(A62,'Données projet'!$A$87:$I$107,4,0)),0,VLOOKUP(A62,'Données projet'!$A$87:$I$107,4,0))</f>
        <v>30.320512820000001</v>
      </c>
      <c r="BM62" s="16">
        <f>IF(ISNA(VLOOKUP(A62,'Données projet'!$A$87:$I$107,5,0)),0%,VLOOKUP(A62,'Données projet'!$A$87:$I$107,5,0)*VLOOKUP('Données projet'!$B$11,Paramètres!$A$1:$I$89,7,0))</f>
        <v>0.30099999999999999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8.4990132544994683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8.4990132544994683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-2.8421709430404007E-13</v>
      </c>
      <c r="O63" s="13">
        <f>N63*VLOOKUP('Données projet'!$B$9,Paramètres!$A$1:$I$89,3,0)*VLOOKUP('Données projet'!$B$9,Paramètres!$A$1:$I$89,5,0)</f>
        <v>-1.69961822393816E-13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195.14508560011791</v>
      </c>
      <c r="T63" s="59">
        <f t="shared" si="34"/>
        <v>285.1531413455931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76.584890017626847</v>
      </c>
      <c r="AA63" s="21">
        <f>EXP(-LN(2)/25)*AA62+(1-EXP(-LN(2)/25))/(LN(2)/25)*Calculateur!V63*Calculateur!X63*VLOOKUP('Données projet'!$B$9,Paramètres!$A$1:$I$89,3,0)*0.475*44/12</f>
        <v>31.611002335838805</v>
      </c>
      <c r="AB63" s="21">
        <f>EXP(-LN(2)/2)*AB62+(1-EXP(-LN(2)/2))/(LN(2)/2)*V63*Y63*VLOOKUP('Données projet'!$B$9,Paramètres!$A$1:$I$89,3,0)*0.475*44/12</f>
        <v>0.20491726341096156</v>
      </c>
      <c r="AC63" s="22">
        <f t="shared" si="3"/>
        <v>108.40080961687661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-2.8421709430404007E-13</v>
      </c>
      <c r="AJ63" s="13">
        <f>AI63*VLOOKUP('Données projet'!$B$10,Paramètres!$A$1:$I$89,3,0)*VLOOKUP('Données projet'!$B$10,Paramètres!$A$1:$I$89,5,0)</f>
        <v>-1.69961822393816E-13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195.14508560011791</v>
      </c>
      <c r="AO63" s="59">
        <f t="shared" si="36"/>
        <v>285.1531413455931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76.584890017626847</v>
      </c>
      <c r="AV63" s="21">
        <f>EXP(-LN(2)/25)*AV62+(1-EXP(-LN(2)/25))/(LN(2)/25)*Calculateur!AQ63*Calculateur!AS63*VLOOKUP('Données projet'!$B$10,Paramètres!$A$1:$I$89,3,0)*0.475*44/12</f>
        <v>31.611002335838805</v>
      </c>
      <c r="AW63" s="21">
        <f>EXP(-LN(2)/2)*AW62+(1-EXP(-LN(2)/2))/(LN(2)/2)*AQ63*AT63*VLOOKUP('Données projet'!$B$10,Paramètres!$A$1:$I$89,3,0)*0.475*44/12</f>
        <v>0.20491726341096156</v>
      </c>
      <c r="AX63" s="21">
        <f t="shared" si="6"/>
        <v>108.40080961687661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6.7419871775000004</v>
      </c>
      <c r="BD63" s="12">
        <f>IF('Données projet'!$A$88&gt;35,BD62+BC63-BL62,IF(A63&lt;'Données projet'!$A$88,$BA$205^A63,IF(A63='Données projet'!$A$88,'Données projet'!$B$88,BD62+BC63-BL62)))</f>
        <v>122.72916665750012</v>
      </c>
      <c r="BE63" s="13">
        <f>BD63*VLOOKUP('Données projet'!$B$11,Paramètres!$A$1:$I$89,3,0)*VLOOKUP('Données projet'!$B$11,Paramètres!$A$1:$I$89,5,0)</f>
        <v>103.38704999227811</v>
      </c>
      <c r="BF63" s="13">
        <f t="shared" si="37"/>
        <v>27.767344552331803</v>
      </c>
      <c r="BG63" s="20">
        <f t="shared" si="7"/>
        <v>228.42723716519558</v>
      </c>
      <c r="BH63" s="59">
        <f t="shared" si="8"/>
        <v>521.76057049852886</v>
      </c>
      <c r="BI63" s="59">
        <f ca="1">AVERAGE(OFFSET($BH$3,0,0,'Données projet'!$E$11+1,1))-AVERAGE(OFFSET($H$3,0,0,'Données projet'!$E$11+1,1))</f>
        <v>179.55753939285887</v>
      </c>
      <c r="BJ63" s="59">
        <f t="shared" si="38"/>
        <v>147.29214162149162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8.3323527884649522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8.3323527884649522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-2.8421709430404007E-13</v>
      </c>
      <c r="O64" s="13">
        <f>N64*VLOOKUP('Données projet'!$B$9,Paramètres!$A$1:$I$89,3,0)*VLOOKUP('Données projet'!$B$9,Paramètres!$A$1:$I$89,5,0)</f>
        <v>-1.69961822393816E-13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195.14508560011791</v>
      </c>
      <c r="T64" s="59">
        <f t="shared" si="34"/>
        <v>285.1531413455931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75.083107036551652</v>
      </c>
      <c r="AA64" s="21">
        <f>EXP(-LN(2)/25)*AA63+(1-EXP(-LN(2)/25))/(LN(2)/25)*Calculateur!V64*Calculateur!X64*VLOOKUP('Données projet'!$B$9,Paramètres!$A$1:$I$89,3,0)*0.475*44/12</f>
        <v>30.746597814614926</v>
      </c>
      <c r="AB64" s="21">
        <f>EXP(-LN(2)/2)*AB63+(1-EXP(-LN(2)/2))/(LN(2)/2)*V64*Y64*VLOOKUP('Données projet'!$B$9,Paramètres!$A$1:$I$89,3,0)*0.475*44/12</f>
        <v>0.14489838654008091</v>
      </c>
      <c r="AC64" s="22">
        <f t="shared" si="3"/>
        <v>105.97460323770666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-2.8421709430404007E-13</v>
      </c>
      <c r="AJ64" s="13">
        <f>AI64*VLOOKUP('Données projet'!$B$10,Paramètres!$A$1:$I$89,3,0)*VLOOKUP('Données projet'!$B$10,Paramètres!$A$1:$I$89,5,0)</f>
        <v>-1.69961822393816E-13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195.14508560011791</v>
      </c>
      <c r="AO64" s="59">
        <f t="shared" si="36"/>
        <v>285.1531413455931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75.083107036551652</v>
      </c>
      <c r="AV64" s="21">
        <f>EXP(-LN(2)/25)*AV63+(1-EXP(-LN(2)/25))/(LN(2)/25)*Calculateur!AQ64*Calculateur!AS64*VLOOKUP('Données projet'!$B$10,Paramètres!$A$1:$I$89,3,0)*0.475*44/12</f>
        <v>30.746597814614926</v>
      </c>
      <c r="AW64" s="21">
        <f>EXP(-LN(2)/2)*AW63+(1-EXP(-LN(2)/2))/(LN(2)/2)*AQ64*AT64*VLOOKUP('Données projet'!$B$10,Paramètres!$A$1:$I$89,3,0)*0.475*44/12</f>
        <v>0.14489838654008091</v>
      </c>
      <c r="AX64" s="21">
        <f t="shared" si="6"/>
        <v>105.97460323770666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6.7419871775000004</v>
      </c>
      <c r="BD64" s="12">
        <f>IF('Données projet'!$A$88&gt;35,BD63+BC64-BL63,IF(A64&lt;'Données projet'!$A$88,$BA$205^A64,IF(A64='Données projet'!$A$88,'Données projet'!$B$88,BD63+BC64-BL63)))</f>
        <v>129.47115383500011</v>
      </c>
      <c r="BE64" s="13">
        <f>BD64*VLOOKUP('Données projet'!$B$11,Paramètres!$A$1:$I$89,3,0)*VLOOKUP('Données projet'!$B$11,Paramètres!$A$1:$I$89,5,0)</f>
        <v>109.06649999060409</v>
      </c>
      <c r="BF64" s="13">
        <f t="shared" si="37"/>
        <v>29.110935714997556</v>
      </c>
      <c r="BG64" s="20">
        <f t="shared" si="7"/>
        <v>240.65903385392286</v>
      </c>
      <c r="BH64" s="59">
        <f t="shared" si="8"/>
        <v>533.99236718725615</v>
      </c>
      <c r="BI64" s="59">
        <f ca="1">AVERAGE(OFFSET($BH$3,0,0,'Données projet'!$E$11+1,1))-AVERAGE(OFFSET($H$3,0,0,'Données projet'!$E$11+1,1))</f>
        <v>179.55753939285887</v>
      </c>
      <c r="BJ64" s="59">
        <f t="shared" si="38"/>
        <v>147.29214162149162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8.1689604325165259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8.1689604325165259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-2.8421709430404007E-13</v>
      </c>
      <c r="O65" s="13">
        <f>N65*VLOOKUP('Données projet'!$B$9,Paramètres!$A$1:$I$89,3,0)*VLOOKUP('Données projet'!$B$9,Paramètres!$A$1:$I$89,5,0)</f>
        <v>-1.69961822393816E-13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195.14508560011791</v>
      </c>
      <c r="T65" s="59">
        <f t="shared" si="34"/>
        <v>285.1531413455931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73.610773103738168</v>
      </c>
      <c r="AA65" s="21">
        <f>EXP(-LN(2)/25)*AA64+(1-EXP(-LN(2)/25))/(LN(2)/25)*Calculateur!V65*Calculateur!X65*VLOOKUP('Données projet'!$B$9,Paramètres!$A$1:$I$89,3,0)*0.475*44/12</f>
        <v>29.905830480480976</v>
      </c>
      <c r="AB65" s="21">
        <f>EXP(-LN(2)/2)*AB64+(1-EXP(-LN(2)/2))/(LN(2)/2)*V65*Y65*VLOOKUP('Données projet'!$B$9,Paramètres!$A$1:$I$89,3,0)*0.475*44/12</f>
        <v>0.10245863170548078</v>
      </c>
      <c r="AC65" s="22">
        <f t="shared" si="3"/>
        <v>103.61906221592461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-2.8421709430404007E-13</v>
      </c>
      <c r="AJ65" s="13">
        <f>AI65*VLOOKUP('Données projet'!$B$10,Paramètres!$A$1:$I$89,3,0)*VLOOKUP('Données projet'!$B$10,Paramètres!$A$1:$I$89,5,0)</f>
        <v>-1.69961822393816E-13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195.14508560011791</v>
      </c>
      <c r="AO65" s="59">
        <f t="shared" si="36"/>
        <v>285.1531413455931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73.610773103738168</v>
      </c>
      <c r="AV65" s="21">
        <f>EXP(-LN(2)/25)*AV64+(1-EXP(-LN(2)/25))/(LN(2)/25)*Calculateur!AQ65*Calculateur!AS65*VLOOKUP('Données projet'!$B$10,Paramètres!$A$1:$I$89,3,0)*0.475*44/12</f>
        <v>29.905830480480976</v>
      </c>
      <c r="AW65" s="21">
        <f>EXP(-LN(2)/2)*AW64+(1-EXP(-LN(2)/2))/(LN(2)/2)*AQ65*AT65*VLOOKUP('Données projet'!$B$10,Paramètres!$A$1:$I$89,3,0)*0.475*44/12</f>
        <v>0.10245863170548078</v>
      </c>
      <c r="AX65" s="21">
        <f t="shared" si="6"/>
        <v>103.61906221592461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6.7419871775000004</v>
      </c>
      <c r="BD65" s="12">
        <f>IF('Données projet'!$A$88&gt;35,BD64+BC65-BL64,IF(A65&lt;'Données projet'!$A$88,$BA$205^A65,IF(A65='Données projet'!$A$88,'Données projet'!$B$88,BD64+BC65-BL64)))</f>
        <v>136.2131410125001</v>
      </c>
      <c r="BE65" s="13">
        <f>BD65*VLOOKUP('Données projet'!$B$11,Paramètres!$A$1:$I$89,3,0)*VLOOKUP('Données projet'!$B$11,Paramètres!$A$1:$I$89,5,0)</f>
        <v>114.74594998893009</v>
      </c>
      <c r="BF65" s="13">
        <f t="shared" si="37"/>
        <v>30.446403685244928</v>
      </c>
      <c r="BG65" s="20">
        <f t="shared" si="7"/>
        <v>252.87668264918815</v>
      </c>
      <c r="BH65" s="59">
        <f t="shared" si="8"/>
        <v>546.21001598252144</v>
      </c>
      <c r="BI65" s="59">
        <f ca="1">AVERAGE(OFFSET($BH$3,0,0,'Données projet'!$E$11+1,1))-AVERAGE(OFFSET($H$3,0,0,'Données projet'!$E$11+1,1))</f>
        <v>179.55753939285887</v>
      </c>
      <c r="BJ65" s="59">
        <f t="shared" si="38"/>
        <v>147.29214162149162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8.008772101008752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8.008772101008752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-2.8421709430404007E-13</v>
      </c>
      <c r="O66" s="13">
        <f>N66*VLOOKUP('Données projet'!$B$9,Paramètres!$A$1:$I$89,3,0)*VLOOKUP('Données projet'!$B$9,Paramètres!$A$1:$I$89,5,0)</f>
        <v>-1.69961822393816E-13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195.14508560011791</v>
      </c>
      <c r="T66" s="59">
        <f t="shared" si="34"/>
        <v>285.1531413455931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72.167310741312136</v>
      </c>
      <c r="AA66" s="21">
        <f>EXP(-LN(2)/25)*AA65+(1-EXP(-LN(2)/25))/(LN(2)/25)*Calculateur!V66*Calculateur!X66*VLOOKUP('Données projet'!$B$9,Paramètres!$A$1:$I$89,3,0)*0.475*44/12</f>
        <v>29.088053973312949</v>
      </c>
      <c r="AB66" s="21">
        <f>EXP(-LN(2)/2)*AB65+(1-EXP(-LN(2)/2))/(LN(2)/2)*V66*Y66*VLOOKUP('Données projet'!$B$9,Paramètres!$A$1:$I$89,3,0)*0.475*44/12</f>
        <v>7.2449193270040457E-2</v>
      </c>
      <c r="AC66" s="22">
        <f t="shared" si="3"/>
        <v>101.32781390789513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-2.8421709430404007E-13</v>
      </c>
      <c r="AJ66" s="13">
        <f>AI66*VLOOKUP('Données projet'!$B$10,Paramètres!$A$1:$I$89,3,0)*VLOOKUP('Données projet'!$B$10,Paramètres!$A$1:$I$89,5,0)</f>
        <v>-1.69961822393816E-13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195.14508560011791</v>
      </c>
      <c r="AO66" s="59">
        <f t="shared" si="36"/>
        <v>285.1531413455931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72.167310741312136</v>
      </c>
      <c r="AV66" s="21">
        <f>EXP(-LN(2)/25)*AV65+(1-EXP(-LN(2)/25))/(LN(2)/25)*Calculateur!AQ66*Calculateur!AS66*VLOOKUP('Données projet'!$B$10,Paramètres!$A$1:$I$89,3,0)*0.475*44/12</f>
        <v>29.088053973312949</v>
      </c>
      <c r="AW66" s="21">
        <f>EXP(-LN(2)/2)*AW65+(1-EXP(-LN(2)/2))/(LN(2)/2)*AQ66*AT66*VLOOKUP('Données projet'!$B$10,Paramètres!$A$1:$I$89,3,0)*0.475*44/12</f>
        <v>7.2449193270040457E-2</v>
      </c>
      <c r="AX66" s="21">
        <f t="shared" si="6"/>
        <v>101.32781390789513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6.7419871775000004</v>
      </c>
      <c r="BD66" s="12">
        <f>IF('Données projet'!$A$88&gt;35,BD65+BC66-BL65,IF(A66&lt;'Données projet'!$A$88,$BA$205^A66,IF(A66='Données projet'!$A$88,'Données projet'!$B$88,BD65+BC66-BL65)))</f>
        <v>142.9551281900001</v>
      </c>
      <c r="BE66" s="13">
        <f>BD66*VLOOKUP('Données projet'!$B$11,Paramètres!$A$1:$I$89,3,0)*VLOOKUP('Données projet'!$B$11,Paramètres!$A$1:$I$89,5,0)</f>
        <v>120.4253999872561</v>
      </c>
      <c r="BF66" s="13">
        <f t="shared" si="37"/>
        <v>31.774196411776643</v>
      </c>
      <c r="BG66" s="20">
        <f t="shared" si="7"/>
        <v>265.08096372831534</v>
      </c>
      <c r="BH66" s="59">
        <f t="shared" si="8"/>
        <v>558.41429706164865</v>
      </c>
      <c r="BI66" s="59">
        <f ca="1">AVERAGE(OFFSET($BH$3,0,0,'Données projet'!$E$11+1,1))-AVERAGE(OFFSET($H$3,0,0,'Données projet'!$E$11+1,1))</f>
        <v>179.55753939285887</v>
      </c>
      <c r="BJ66" s="59">
        <f t="shared" si="38"/>
        <v>147.29214162149162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7.8517249649766114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7.8517249649766114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-2.8421709430404007E-13</v>
      </c>
      <c r="O67" s="13">
        <f>N67*VLOOKUP('Données projet'!$B$9,Paramètres!$A$1:$I$89,3,0)*VLOOKUP('Données projet'!$B$9,Paramètres!$A$1:$I$89,5,0)</f>
        <v>-1.69961822393816E-13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195.14508560011791</v>
      </c>
      <c r="T67" s="59">
        <f t="shared" si="34"/>
        <v>285.1531413455931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70.752153795388168</v>
      </c>
      <c r="AA67" s="21">
        <f>EXP(-LN(2)/25)*AA66+(1-EXP(-LN(2)/25))/(LN(2)/25)*Calculateur!V67*Calculateur!X67*VLOOKUP('Données projet'!$B$9,Paramètres!$A$1:$I$89,3,0)*0.475*44/12</f>
        <v>28.29263960773843</v>
      </c>
      <c r="AB67" s="21">
        <f>EXP(-LN(2)/2)*AB66+(1-EXP(-LN(2)/2))/(LN(2)/2)*V67*Y67*VLOOKUP('Données projet'!$B$9,Paramètres!$A$1:$I$89,3,0)*0.475*44/12</f>
        <v>5.122931585274039E-2</v>
      </c>
      <c r="AC67" s="22">
        <f t="shared" si="3"/>
        <v>99.096022718979327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-2.8421709430404007E-13</v>
      </c>
      <c r="AJ67" s="13">
        <f>AI67*VLOOKUP('Données projet'!$B$10,Paramètres!$A$1:$I$89,3,0)*VLOOKUP('Données projet'!$B$10,Paramètres!$A$1:$I$89,5,0)</f>
        <v>-1.69961822393816E-13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195.14508560011791</v>
      </c>
      <c r="AO67" s="59">
        <f t="shared" si="36"/>
        <v>285.1531413455931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70.752153795388168</v>
      </c>
      <c r="AV67" s="21">
        <f>EXP(-LN(2)/25)*AV66+(1-EXP(-LN(2)/25))/(LN(2)/25)*Calculateur!AQ67*Calculateur!AS67*VLOOKUP('Données projet'!$B$10,Paramètres!$A$1:$I$89,3,0)*0.475*44/12</f>
        <v>28.29263960773843</v>
      </c>
      <c r="AW67" s="21">
        <f>EXP(-LN(2)/2)*AW66+(1-EXP(-LN(2)/2))/(LN(2)/2)*AQ67*AT67*VLOOKUP('Données projet'!$B$10,Paramètres!$A$1:$I$89,3,0)*0.475*44/12</f>
        <v>5.122931585274039E-2</v>
      </c>
      <c r="AX67" s="21">
        <f t="shared" si="6"/>
        <v>99.096022718979327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6.7419871775000004</v>
      </c>
      <c r="BD67" s="12">
        <f>IF('Données projet'!$A$88&gt;35,BD66+BC67-BL66,IF(A67&lt;'Données projet'!$A$88,$BA$205^A67,IF(A67='Données projet'!$A$88,'Données projet'!$B$88,BD66+BC67-BL66)))</f>
        <v>149.69711536750009</v>
      </c>
      <c r="BE67" s="13">
        <f>BD67*VLOOKUP('Données projet'!$B$11,Paramètres!$A$1:$I$89,3,0)*VLOOKUP('Données projet'!$B$11,Paramètres!$A$1:$I$89,5,0)</f>
        <v>126.10484998558209</v>
      </c>
      <c r="BF67" s="13">
        <f t="shared" si="37"/>
        <v>33.094717203738426</v>
      </c>
      <c r="BG67" s="20">
        <f t="shared" si="7"/>
        <v>277.2725795213999</v>
      </c>
      <c r="BH67" s="59">
        <f t="shared" si="8"/>
        <v>570.60591285473322</v>
      </c>
      <c r="BI67" s="59">
        <f ca="1">AVERAGE(OFFSET($BH$3,0,0,'Données projet'!$E$11+1,1))-AVERAGE(OFFSET($H$3,0,0,'Données projet'!$E$11+1,1))</f>
        <v>179.55753939285887</v>
      </c>
      <c r="BJ67" s="59">
        <f t="shared" si="38"/>
        <v>147.29214162149162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7.6977574274927667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7.6977574274927667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-2.8421709430404007E-13</v>
      </c>
      <c r="O68" s="13">
        <f>N68*VLOOKUP('Données projet'!$B$9,Paramètres!$A$1:$I$89,3,0)*VLOOKUP('Données projet'!$B$9,Paramètres!$A$1:$I$89,5,0)</f>
        <v>-1.69961822393816E-13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195.14508560011791</v>
      </c>
      <c r="T68" s="59">
        <f t="shared" si="34"/>
        <v>285.1531413455931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69.364747214013263</v>
      </c>
      <c r="AA68" s="21">
        <f>EXP(-LN(2)/25)*AA67+(1-EXP(-LN(2)/25))/(LN(2)/25)*Calculateur!V68*Calculateur!X68*VLOOKUP('Données projet'!$B$9,Paramètres!$A$1:$I$89,3,0)*0.475*44/12</f>
        <v>27.518975889819568</v>
      </c>
      <c r="AB68" s="21">
        <f>EXP(-LN(2)/2)*AB67+(1-EXP(-LN(2)/2))/(LN(2)/2)*V68*Y68*VLOOKUP('Données projet'!$B$9,Paramètres!$A$1:$I$89,3,0)*0.475*44/12</f>
        <v>3.6224596635020229E-2</v>
      </c>
      <c r="AC68" s="22">
        <f t="shared" ref="AC68:AC131" si="57">SUM(Z68:AB68)</f>
        <v>96.919947700467858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-2.8421709430404007E-13</v>
      </c>
      <c r="AJ68" s="13">
        <f>AI68*VLOOKUP('Données projet'!$B$10,Paramètres!$A$1:$I$89,3,0)*VLOOKUP('Données projet'!$B$10,Paramètres!$A$1:$I$89,5,0)</f>
        <v>-1.69961822393816E-13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195.14508560011791</v>
      </c>
      <c r="AO68" s="59">
        <f t="shared" si="36"/>
        <v>285.1531413455931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69.364747214013263</v>
      </c>
      <c r="AV68" s="21">
        <f>EXP(-LN(2)/25)*AV67+(1-EXP(-LN(2)/25))/(LN(2)/25)*Calculateur!AQ68*Calculateur!AS68*VLOOKUP('Données projet'!$B$10,Paramètres!$A$1:$I$89,3,0)*0.475*44/12</f>
        <v>27.518975889819568</v>
      </c>
      <c r="AW68" s="21">
        <f>EXP(-LN(2)/2)*AW67+(1-EXP(-LN(2)/2))/(LN(2)/2)*AQ68*AT68*VLOOKUP('Données projet'!$B$10,Paramètres!$A$1:$I$89,3,0)*0.475*44/12</f>
        <v>3.6224596635020229E-2</v>
      </c>
      <c r="AX68" s="21">
        <f t="shared" ref="AX68:AX131" si="60">SUM(AU68:AW68)</f>
        <v>96.919947700467858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6.7419871775000004</v>
      </c>
      <c r="BD68" s="12">
        <f>IF('Données projet'!$A$88&gt;35,BD67+BC68-BL67,IF(A68&lt;'Données projet'!$A$88,$BA$205^A68,IF(A68='Données projet'!$A$88,'Données projet'!$B$88,BD67+BC68-BL67)))</f>
        <v>156.43910254500008</v>
      </c>
      <c r="BE68" s="13">
        <f>BD68*VLOOKUP('Données projet'!$B$11,Paramètres!$A$1:$I$89,3,0)*VLOOKUP('Données projet'!$B$11,Paramètres!$A$1:$I$89,5,0)</f>
        <v>131.78429998390808</v>
      </c>
      <c r="BF68" s="13">
        <f t="shared" si="37"/>
        <v>34.40833098852702</v>
      </c>
      <c r="BG68" s="20">
        <f t="shared" ref="BG68:BG131" si="61">(BE68+BF68)*0.475*44/12</f>
        <v>289.45216561032447</v>
      </c>
      <c r="BH68" s="59">
        <f t="shared" ref="BH68:BH131" si="62">BG68+(AY68+AZ68)*44/12</f>
        <v>582.78549894365779</v>
      </c>
      <c r="BI68" s="59">
        <f ca="1">AVERAGE(OFFSET($BH$3,0,0,'Données projet'!$E$11+1,1))-AVERAGE(OFFSET($H$3,0,0,'Données projet'!$E$11+1,1))</f>
        <v>179.55753939285887</v>
      </c>
      <c r="BJ68" s="59">
        <f t="shared" si="38"/>
        <v>147.29214162149162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7.5468090995080548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7.5468090995080548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-2.8421709430404007E-13</v>
      </c>
      <c r="O69" s="13">
        <f>N69*VLOOKUP('Données projet'!$B$9,Paramètres!$A$1:$I$89,3,0)*VLOOKUP('Données projet'!$B$9,Paramètres!$A$1:$I$89,5,0)</f>
        <v>-1.69961822393816E-13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195.14508560011791</v>
      </c>
      <c r="T69" s="59">
        <f t="shared" ref="T69:T132" si="88">$T$3</f>
        <v>285.1531413455931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68.004546829464658</v>
      </c>
      <c r="AA69" s="21">
        <f>EXP(-LN(2)/25)*AA68+(1-EXP(-LN(2)/25))/(LN(2)/25)*Calculateur!V69*Calculateur!X69*VLOOKUP('Données projet'!$B$9,Paramètres!$A$1:$I$89,3,0)*0.475*44/12</f>
        <v>26.766468046952404</v>
      </c>
      <c r="AB69" s="21">
        <f>EXP(-LN(2)/2)*AB68+(1-EXP(-LN(2)/2))/(LN(2)/2)*V69*Y69*VLOOKUP('Données projet'!$B$9,Paramètres!$A$1:$I$89,3,0)*0.475*44/12</f>
        <v>2.5614657926370195E-2</v>
      </c>
      <c r="AC69" s="22">
        <f t="shared" si="57"/>
        <v>94.796629534343438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-2.8421709430404007E-13</v>
      </c>
      <c r="AJ69" s="13">
        <f>AI69*VLOOKUP('Données projet'!$B$10,Paramètres!$A$1:$I$89,3,0)*VLOOKUP('Données projet'!$B$10,Paramètres!$A$1:$I$89,5,0)</f>
        <v>-1.69961822393816E-13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195.14508560011791</v>
      </c>
      <c r="AO69" s="59">
        <f t="shared" ref="AO69:AO132" si="90">$AO$3</f>
        <v>285.1531413455931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68.004546829464658</v>
      </c>
      <c r="AV69" s="21">
        <f>EXP(-LN(2)/25)*AV68+(1-EXP(-LN(2)/25))/(LN(2)/25)*Calculateur!AQ69*Calculateur!AS69*VLOOKUP('Données projet'!$B$10,Paramètres!$A$1:$I$89,3,0)*0.475*44/12</f>
        <v>26.766468046952404</v>
      </c>
      <c r="AW69" s="21">
        <f>EXP(-LN(2)/2)*AW68+(1-EXP(-LN(2)/2))/(LN(2)/2)*AQ69*AT69*VLOOKUP('Données projet'!$B$10,Paramètres!$A$1:$I$89,3,0)*0.475*44/12</f>
        <v>2.5614657926370195E-2</v>
      </c>
      <c r="AX69" s="21">
        <f t="shared" si="60"/>
        <v>94.796629534343438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6.7419871775000004</v>
      </c>
      <c r="BD69" s="12">
        <f>IF('Données projet'!$A$88&gt;35,BD68+BC69-BL68,IF(A69&lt;'Données projet'!$A$88,$BA$205^A69,IF(A69='Données projet'!$A$88,'Données projet'!$B$88,BD68+BC69-BL68)))</f>
        <v>163.18108972250008</v>
      </c>
      <c r="BE69" s="13">
        <f>BD69*VLOOKUP('Données projet'!$B$11,Paramètres!$A$1:$I$89,3,0)*VLOOKUP('Données projet'!$B$11,Paramètres!$A$1:$I$89,5,0)</f>
        <v>137.46374998223408</v>
      </c>
      <c r="BF69" s="13">
        <f t="shared" ref="BF69:BF132" si="91">EXP(-1.0587+0.8836*LN(BE69)+0.284)</f>
        <v>35.71536946040888</v>
      </c>
      <c r="BG69" s="20">
        <f t="shared" si="61"/>
        <v>301.62029969593647</v>
      </c>
      <c r="BH69" s="59">
        <f t="shared" si="62"/>
        <v>594.95363302926978</v>
      </c>
      <c r="BI69" s="59">
        <f ca="1">AVERAGE(OFFSET($BH$3,0,0,'Données projet'!$E$11+1,1))-AVERAGE(OFFSET($H$3,0,0,'Données projet'!$E$11+1,1))</f>
        <v>179.55753939285887</v>
      </c>
      <c r="BJ69" s="59">
        <f t="shared" ref="BJ69:BJ132" si="92">$BJ$3</f>
        <v>147.29214162149162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7.3988207761657341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7.3988207761657341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-2.8421709430404007E-13</v>
      </c>
      <c r="O70" s="13">
        <f>N70*VLOOKUP('Données projet'!$B$9,Paramètres!$A$1:$I$89,3,0)*VLOOKUP('Données projet'!$B$9,Paramètres!$A$1:$I$89,5,0)</f>
        <v>-1.69961822393816E-13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195.14508560011791</v>
      </c>
      <c r="T70" s="59">
        <f t="shared" si="88"/>
        <v>285.1531413455931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66.671019144816739</v>
      </c>
      <c r="AA70" s="21">
        <f>EXP(-LN(2)/25)*AA69+(1-EXP(-LN(2)/25))/(LN(2)/25)*Calculateur!V70*Calculateur!X70*VLOOKUP('Données projet'!$B$9,Paramètres!$A$1:$I$89,3,0)*0.475*44/12</f>
        <v>26.034537570621112</v>
      </c>
      <c r="AB70" s="21">
        <f>EXP(-LN(2)/2)*AB69+(1-EXP(-LN(2)/2))/(LN(2)/2)*V70*Y70*VLOOKUP('Données projet'!$B$9,Paramètres!$A$1:$I$89,3,0)*0.475*44/12</f>
        <v>1.8112298317510114E-2</v>
      </c>
      <c r="AC70" s="22">
        <f t="shared" si="57"/>
        <v>92.723669013755355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-2.8421709430404007E-13</v>
      </c>
      <c r="AJ70" s="13">
        <f>AI70*VLOOKUP('Données projet'!$B$10,Paramètres!$A$1:$I$89,3,0)*VLOOKUP('Données projet'!$B$10,Paramètres!$A$1:$I$89,5,0)</f>
        <v>-1.69961822393816E-13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195.14508560011791</v>
      </c>
      <c r="AO70" s="59">
        <f t="shared" si="90"/>
        <v>285.1531413455931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66.671019144816739</v>
      </c>
      <c r="AV70" s="21">
        <f>EXP(-LN(2)/25)*AV69+(1-EXP(-LN(2)/25))/(LN(2)/25)*Calculateur!AQ70*Calculateur!AS70*VLOOKUP('Données projet'!$B$10,Paramètres!$A$1:$I$89,3,0)*0.475*44/12</f>
        <v>26.034537570621112</v>
      </c>
      <c r="AW70" s="21">
        <f>EXP(-LN(2)/2)*AW69+(1-EXP(-LN(2)/2))/(LN(2)/2)*AQ70*AT70*VLOOKUP('Données projet'!$B$10,Paramètres!$A$1:$I$89,3,0)*0.475*44/12</f>
        <v>1.8112298317510114E-2</v>
      </c>
      <c r="AX70" s="21">
        <f t="shared" si="60"/>
        <v>92.723669013755355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>
        <f>VLOOKUP(A70,'Données projet'!$A$87:$I$107,2,0)</f>
        <v>169.92307690000001</v>
      </c>
      <c r="BB70" s="12">
        <f>VLOOKUP(A70,'Données projet'!$A$87:$I$107,9,0)</f>
        <v>6.7419871775000004</v>
      </c>
      <c r="BC70" s="12">
        <f t="array" ref="BC70">INDEX(BB:BB,MIN(IF(ISNUMBER(BB70:BB266),ROW(BB70:BB266),"")))</f>
        <v>6.7419871775000004</v>
      </c>
      <c r="BD70" s="12">
        <f>IF('Données projet'!$A$88&gt;35,BD69+BC70-BL69,IF(A70&lt;'Données projet'!$A$88,$BA$205^A70,IF(A70='Données projet'!$A$88,'Données projet'!$B$88,BD69+BC70-BL69)))</f>
        <v>169.92307690000007</v>
      </c>
      <c r="BE70" s="13">
        <f>BD70*VLOOKUP('Données projet'!$B$11,Paramètres!$A$1:$I$89,3,0)*VLOOKUP('Données projet'!$B$11,Paramètres!$A$1:$I$89,5,0)</f>
        <v>143.14319998056007</v>
      </c>
      <c r="BF70" s="13">
        <f t="shared" si="91"/>
        <v>37.016135354286845</v>
      </c>
      <c r="BG70" s="20">
        <f t="shared" si="61"/>
        <v>313.77750904152498</v>
      </c>
      <c r="BH70" s="59">
        <f t="shared" si="62"/>
        <v>607.11084237485829</v>
      </c>
      <c r="BI70" s="59">
        <f ca="1">AVERAGE(OFFSET($BH$3,0,0,'Données projet'!$E$11+1,1))-AVERAGE(OFFSET($H$3,0,0,'Données projet'!$E$11+1,1))</f>
        <v>179.55753939285887</v>
      </c>
      <c r="BJ70" s="59">
        <f t="shared" si="92"/>
        <v>147.29214162149162</v>
      </c>
      <c r="BK70" s="15">
        <f>IF(ISNA(VLOOKUP(A70,'Données projet'!$A$87:$I$107,3,0)),0,VLOOKUP(A70,'Données projet'!$A$87:$I$107,3,0))</f>
        <v>5</v>
      </c>
      <c r="BL70" s="15">
        <f>IF(ISNA(VLOOKUP(A70,'Données projet'!$A$87:$I$107,4,0)),0,VLOOKUP(A70,'Données projet'!$A$87:$I$107,4,0))</f>
        <v>30.314102559999998</v>
      </c>
      <c r="BM70" s="16">
        <f>IF(ISNA(VLOOKUP(A70,'Données projet'!$A$87:$I$107,5,0)),0%,VLOOKUP(A70,'Données projet'!$A$87:$I$107,5,0)*VLOOKUP('Données projet'!$B$11,Paramètres!$A$1:$I$89,7,0))</f>
        <v>0.30099999999999999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15.750950835518541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15.750950835518541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-2.8421709430404007E-13</v>
      </c>
      <c r="O71" s="13">
        <f>N71*VLOOKUP('Données projet'!$B$9,Paramètres!$A$1:$I$89,3,0)*VLOOKUP('Données projet'!$B$9,Paramètres!$A$1:$I$89,5,0)</f>
        <v>-1.69961822393816E-13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195.14508560011791</v>
      </c>
      <c r="T71" s="59">
        <f t="shared" si="88"/>
        <v>285.1531413455931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65.363641124693203</v>
      </c>
      <c r="AA71" s="21">
        <f>EXP(-LN(2)/25)*AA70+(1-EXP(-LN(2)/25))/(LN(2)/25)*Calculateur!V71*Calculateur!X71*VLOOKUP('Données projet'!$B$9,Paramètres!$A$1:$I$89,3,0)*0.475*44/12</f>
        <v>25.322621771655648</v>
      </c>
      <c r="AB71" s="21">
        <f>EXP(-LN(2)/2)*AB70+(1-EXP(-LN(2)/2))/(LN(2)/2)*V71*Y71*VLOOKUP('Données projet'!$B$9,Paramètres!$A$1:$I$89,3,0)*0.475*44/12</f>
        <v>1.2807328963185097E-2</v>
      </c>
      <c r="AC71" s="22">
        <f t="shared" si="57"/>
        <v>90.699070225312042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-2.8421709430404007E-13</v>
      </c>
      <c r="AJ71" s="13">
        <f>AI71*VLOOKUP('Données projet'!$B$10,Paramètres!$A$1:$I$89,3,0)*VLOOKUP('Données projet'!$B$10,Paramètres!$A$1:$I$89,5,0)</f>
        <v>-1.69961822393816E-13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195.14508560011791</v>
      </c>
      <c r="AO71" s="59">
        <f t="shared" si="90"/>
        <v>285.1531413455931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65.363641124693203</v>
      </c>
      <c r="AV71" s="21">
        <f>EXP(-LN(2)/25)*AV70+(1-EXP(-LN(2)/25))/(LN(2)/25)*Calculateur!AQ71*Calculateur!AS71*VLOOKUP('Données projet'!$B$10,Paramètres!$A$1:$I$89,3,0)*0.475*44/12</f>
        <v>25.322621771655648</v>
      </c>
      <c r="AW71" s="21">
        <f>EXP(-LN(2)/2)*AW70+(1-EXP(-LN(2)/2))/(LN(2)/2)*AQ71*AT71*VLOOKUP('Données projet'!$B$10,Paramètres!$A$1:$I$89,3,0)*0.475*44/12</f>
        <v>1.2807328963185097E-2</v>
      </c>
      <c r="AX71" s="21">
        <f t="shared" si="60"/>
        <v>90.699070225312042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6.6314102575000007</v>
      </c>
      <c r="BD71" s="12">
        <f>IF('Données projet'!$A$88&gt;35,BD70+BC71-BL70,IF(A71&lt;'Données projet'!$A$88,$BA$205^A71,IF(A71='Données projet'!$A$88,'Données projet'!$B$88,BD70+BC71-BL70)))</f>
        <v>146.24038459750005</v>
      </c>
      <c r="BE71" s="13">
        <f>BD71*VLOOKUP('Données projet'!$B$11,Paramètres!$A$1:$I$89,3,0)*VLOOKUP('Données projet'!$B$11,Paramètres!$A$1:$I$89,5,0)</f>
        <v>123.19289998493404</v>
      </c>
      <c r="BF71" s="13">
        <f t="shared" si="91"/>
        <v>32.418548845690871</v>
      </c>
      <c r="BG71" s="20">
        <f t="shared" si="61"/>
        <v>271.02327338000504</v>
      </c>
      <c r="BH71" s="59">
        <f t="shared" si="62"/>
        <v>564.35660671333835</v>
      </c>
      <c r="BI71" s="59">
        <f ca="1">AVERAGE(OFFSET($BH$3,0,0,'Données projet'!$E$11+1,1))-AVERAGE(OFFSET($H$3,0,0,'Données projet'!$E$11+1,1))</f>
        <v>179.55753939285887</v>
      </c>
      <c r="BJ71" s="59">
        <f t="shared" si="92"/>
        <v>147.29214162149162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15.442084296765406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15.442084296765406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-2.8421709430404007E-13</v>
      </c>
      <c r="O72" s="13">
        <f>N72*VLOOKUP('Données projet'!$B$9,Paramètres!$A$1:$I$89,3,0)*VLOOKUP('Données projet'!$B$9,Paramètres!$A$1:$I$89,5,0)</f>
        <v>-1.69961822393816E-13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195.14508560011791</v>
      </c>
      <c r="T72" s="59">
        <f t="shared" si="88"/>
        <v>285.1531413455931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64.081899990122423</v>
      </c>
      <c r="AA72" s="21">
        <f>EXP(-LN(2)/25)*AA71+(1-EXP(-LN(2)/25))/(LN(2)/25)*Calculateur!V72*Calculateur!X72*VLOOKUP('Données projet'!$B$9,Paramètres!$A$1:$I$89,3,0)*0.475*44/12</f>
        <v>24.630173347650921</v>
      </c>
      <c r="AB72" s="21">
        <f>EXP(-LN(2)/2)*AB71+(1-EXP(-LN(2)/2))/(LN(2)/2)*V72*Y72*VLOOKUP('Données projet'!$B$9,Paramètres!$A$1:$I$89,3,0)*0.475*44/12</f>
        <v>9.0561491587550572E-3</v>
      </c>
      <c r="AC72" s="22">
        <f t="shared" si="57"/>
        <v>88.721129486932099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-2.8421709430404007E-13</v>
      </c>
      <c r="AJ72" s="13">
        <f>AI72*VLOOKUP('Données projet'!$B$10,Paramètres!$A$1:$I$89,3,0)*VLOOKUP('Données projet'!$B$10,Paramètres!$A$1:$I$89,5,0)</f>
        <v>-1.69961822393816E-13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195.14508560011791</v>
      </c>
      <c r="AO72" s="59">
        <f t="shared" si="90"/>
        <v>285.1531413455931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64.081899990122423</v>
      </c>
      <c r="AV72" s="21">
        <f>EXP(-LN(2)/25)*AV71+(1-EXP(-LN(2)/25))/(LN(2)/25)*Calculateur!AQ72*Calculateur!AS72*VLOOKUP('Données projet'!$B$10,Paramètres!$A$1:$I$89,3,0)*0.475*44/12</f>
        <v>24.630173347650921</v>
      </c>
      <c r="AW72" s="21">
        <f>EXP(-LN(2)/2)*AW71+(1-EXP(-LN(2)/2))/(LN(2)/2)*AQ72*AT72*VLOOKUP('Données projet'!$B$10,Paramètres!$A$1:$I$89,3,0)*0.475*44/12</f>
        <v>9.0561491587550572E-3</v>
      </c>
      <c r="AX72" s="21">
        <f t="shared" si="60"/>
        <v>88.721129486932099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6.6314102575000007</v>
      </c>
      <c r="BD72" s="12">
        <f>IF('Données projet'!$A$88&gt;35,BD71+BC72-BL71,IF(A72&lt;'Données projet'!$A$88,$BA$205^A72,IF(A72='Données projet'!$A$88,'Données projet'!$B$88,BD71+BC72-BL71)))</f>
        <v>152.87179485500005</v>
      </c>
      <c r="BE72" s="13">
        <f>BD72*VLOOKUP('Données projet'!$B$11,Paramètres!$A$1:$I$89,3,0)*VLOOKUP('Données projet'!$B$11,Paramètres!$A$1:$I$89,5,0)</f>
        <v>128.77919998585207</v>
      </c>
      <c r="BF72" s="13">
        <f t="shared" si="91"/>
        <v>33.714113576355999</v>
      </c>
      <c r="BG72" s="20">
        <f t="shared" si="61"/>
        <v>283.00918778751242</v>
      </c>
      <c r="BH72" s="59">
        <f t="shared" si="62"/>
        <v>576.34252112084573</v>
      </c>
      <c r="BI72" s="59">
        <f ca="1">AVERAGE(OFFSET($BH$3,0,0,'Données projet'!$E$11+1,1))-AVERAGE(OFFSET($H$3,0,0,'Données projet'!$E$11+1,1))</f>
        <v>179.55753939285887</v>
      </c>
      <c r="BJ72" s="59">
        <f t="shared" si="92"/>
        <v>147.29214162149162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15.139274442447235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15.139274442447235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-2.8421709430404007E-13</v>
      </c>
      <c r="O73" s="13">
        <f>N73*VLOOKUP('Données projet'!$B$9,Paramètres!$A$1:$I$89,3,0)*VLOOKUP('Données projet'!$B$9,Paramètres!$A$1:$I$89,5,0)</f>
        <v>-1.69961822393816E-13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195.14508560011791</v>
      </c>
      <c r="T73" s="59">
        <f t="shared" si="88"/>
        <v>285.1531413455931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62.825293017415682</v>
      </c>
      <c r="AA73" s="21">
        <f>EXP(-LN(2)/25)*AA72+(1-EXP(-LN(2)/25))/(LN(2)/25)*Calculateur!V73*Calculateur!X73*VLOOKUP('Données projet'!$B$9,Paramètres!$A$1:$I$89,3,0)*0.475*44/12</f>
        <v>23.956659962214882</v>
      </c>
      <c r="AB73" s="21">
        <f>EXP(-LN(2)/2)*AB72+(1-EXP(-LN(2)/2))/(LN(2)/2)*V73*Y73*VLOOKUP('Données projet'!$B$9,Paramètres!$A$1:$I$89,3,0)*0.475*44/12</f>
        <v>6.4036644815925487E-3</v>
      </c>
      <c r="AC73" s="22">
        <f t="shared" si="57"/>
        <v>86.788356644112156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-2.8421709430404007E-13</v>
      </c>
      <c r="AJ73" s="13">
        <f>AI73*VLOOKUP('Données projet'!$B$10,Paramètres!$A$1:$I$89,3,0)*VLOOKUP('Données projet'!$B$10,Paramètres!$A$1:$I$89,5,0)</f>
        <v>-1.69961822393816E-13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195.14508560011791</v>
      </c>
      <c r="AO73" s="59">
        <f t="shared" si="90"/>
        <v>285.1531413455931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62.825293017415682</v>
      </c>
      <c r="AV73" s="21">
        <f>EXP(-LN(2)/25)*AV72+(1-EXP(-LN(2)/25))/(LN(2)/25)*Calculateur!AQ73*Calculateur!AS73*VLOOKUP('Données projet'!$B$10,Paramètres!$A$1:$I$89,3,0)*0.475*44/12</f>
        <v>23.956659962214882</v>
      </c>
      <c r="AW73" s="21">
        <f>EXP(-LN(2)/2)*AW72+(1-EXP(-LN(2)/2))/(LN(2)/2)*AQ73*AT73*VLOOKUP('Données projet'!$B$10,Paramètres!$A$1:$I$89,3,0)*0.475*44/12</f>
        <v>6.4036644815925487E-3</v>
      </c>
      <c r="AX73" s="21">
        <f t="shared" si="60"/>
        <v>86.788356644112156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6.6314102575000007</v>
      </c>
      <c r="BD73" s="12">
        <f>IF('Données projet'!$A$88&gt;35,BD72+BC73-BL72,IF(A73&lt;'Données projet'!$A$88,$BA$205^A73,IF(A73='Données projet'!$A$88,'Données projet'!$B$88,BD72+BC73-BL72)))</f>
        <v>159.50320511250004</v>
      </c>
      <c r="BE73" s="13">
        <f>BD73*VLOOKUP('Données projet'!$B$11,Paramètres!$A$1:$I$89,3,0)*VLOOKUP('Données projet'!$B$11,Paramètres!$A$1:$I$89,5,0)</f>
        <v>134.36549998677006</v>
      </c>
      <c r="BF73" s="13">
        <f t="shared" si="91"/>
        <v>35.003150932904163</v>
      </c>
      <c r="BG73" s="20">
        <f t="shared" si="61"/>
        <v>294.98373368509925</v>
      </c>
      <c r="BH73" s="59">
        <f t="shared" si="62"/>
        <v>588.31706701843257</v>
      </c>
      <c r="BI73" s="59">
        <f ca="1">AVERAGE(OFFSET($BH$3,0,0,'Données projet'!$E$11+1,1))-AVERAGE(OFFSET($H$3,0,0,'Données projet'!$E$11+1,1))</f>
        <v>179.55753939285887</v>
      </c>
      <c r="BJ73" s="59">
        <f t="shared" si="92"/>
        <v>147.29214162149162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14.842402504676468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14.842402504676468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-2.8421709430404007E-13</v>
      </c>
      <c r="O74" s="13">
        <f>N74*VLOOKUP('Données projet'!$B$9,Paramètres!$A$1:$I$89,3,0)*VLOOKUP('Données projet'!$B$9,Paramètres!$A$1:$I$89,5,0)</f>
        <v>-1.69961822393816E-13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195.14508560011791</v>
      </c>
      <c r="T74" s="59">
        <f t="shared" si="88"/>
        <v>285.1531413455931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61.593327340989148</v>
      </c>
      <c r="AA74" s="21">
        <f>EXP(-LN(2)/25)*AA73+(1-EXP(-LN(2)/25))/(LN(2)/25)*Calculateur!V74*Calculateur!X74*VLOOKUP('Données projet'!$B$9,Paramètres!$A$1:$I$89,3,0)*0.475*44/12</f>
        <v>23.301563835722124</v>
      </c>
      <c r="AB74" s="21">
        <f>EXP(-LN(2)/2)*AB73+(1-EXP(-LN(2)/2))/(LN(2)/2)*V74*Y74*VLOOKUP('Données projet'!$B$9,Paramètres!$A$1:$I$89,3,0)*0.475*44/12</f>
        <v>4.5280745793775286E-3</v>
      </c>
      <c r="AC74" s="22">
        <f t="shared" si="57"/>
        <v>84.899419251290652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-2.8421709430404007E-13</v>
      </c>
      <c r="AJ74" s="13">
        <f>AI74*VLOOKUP('Données projet'!$B$10,Paramètres!$A$1:$I$89,3,0)*VLOOKUP('Données projet'!$B$10,Paramètres!$A$1:$I$89,5,0)</f>
        <v>-1.69961822393816E-13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195.14508560011791</v>
      </c>
      <c r="AO74" s="59">
        <f t="shared" si="90"/>
        <v>285.1531413455931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61.593327340989148</v>
      </c>
      <c r="AV74" s="21">
        <f>EXP(-LN(2)/25)*AV73+(1-EXP(-LN(2)/25))/(LN(2)/25)*Calculateur!AQ74*Calculateur!AS74*VLOOKUP('Données projet'!$B$10,Paramètres!$A$1:$I$89,3,0)*0.475*44/12</f>
        <v>23.301563835722124</v>
      </c>
      <c r="AW74" s="21">
        <f>EXP(-LN(2)/2)*AW73+(1-EXP(-LN(2)/2))/(LN(2)/2)*AQ74*AT74*VLOOKUP('Données projet'!$B$10,Paramètres!$A$1:$I$89,3,0)*0.475*44/12</f>
        <v>4.5280745793775286E-3</v>
      </c>
      <c r="AX74" s="21">
        <f t="shared" si="60"/>
        <v>84.899419251290652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6.6314102575000007</v>
      </c>
      <c r="BD74" s="12">
        <f>IF('Données projet'!$A$88&gt;35,BD73+BC74-BL73,IF(A74&lt;'Données projet'!$A$88,$BA$205^A74,IF(A74='Données projet'!$A$88,'Données projet'!$B$88,BD73+BC74-BL73)))</f>
        <v>166.13461537000003</v>
      </c>
      <c r="BE74" s="13">
        <f>BD74*VLOOKUP('Données projet'!$B$11,Paramètres!$A$1:$I$89,3,0)*VLOOKUP('Données projet'!$B$11,Paramètres!$A$1:$I$89,5,0)</f>
        <v>139.95179998768805</v>
      </c>
      <c r="BF74" s="13">
        <f t="shared" si="91"/>
        <v>36.285963327753542</v>
      </c>
      <c r="BG74" s="20">
        <f t="shared" si="61"/>
        <v>306.94743777439413</v>
      </c>
      <c r="BH74" s="59">
        <f t="shared" si="62"/>
        <v>600.28077110772745</v>
      </c>
      <c r="BI74" s="59">
        <f ca="1">AVERAGE(OFFSET($BH$3,0,0,'Données projet'!$E$11+1,1))-AVERAGE(OFFSET($H$3,0,0,'Données projet'!$E$11+1,1))</f>
        <v>179.55753939285887</v>
      </c>
      <c r="BJ74" s="59">
        <f t="shared" si="92"/>
        <v>147.29214162149162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14.551352044531383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14.551352044531383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-2.8421709430404007E-13</v>
      </c>
      <c r="O75" s="13">
        <f>N75*VLOOKUP('Données projet'!$B$9,Paramètres!$A$1:$I$89,3,0)*VLOOKUP('Données projet'!$B$9,Paramètres!$A$1:$I$89,5,0)</f>
        <v>-1.69961822393816E-13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195.14508560011791</v>
      </c>
      <c r="T75" s="59">
        <f t="shared" si="88"/>
        <v>285.1531413455931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60.385519760052475</v>
      </c>
      <c r="AA75" s="21">
        <f>EXP(-LN(2)/25)*AA74+(1-EXP(-LN(2)/25))/(LN(2)/25)*Calculateur!V75*Calculateur!X75*VLOOKUP('Données projet'!$B$9,Paramètres!$A$1:$I$89,3,0)*0.475*44/12</f>
        <v>22.664381347258317</v>
      </c>
      <c r="AB75" s="21">
        <f>EXP(-LN(2)/2)*AB74+(1-EXP(-LN(2)/2))/(LN(2)/2)*V75*Y75*VLOOKUP('Données projet'!$B$9,Paramètres!$A$1:$I$89,3,0)*0.475*44/12</f>
        <v>3.2018322407962744E-3</v>
      </c>
      <c r="AC75" s="22">
        <f t="shared" si="57"/>
        <v>83.053102939551579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-2.8421709430404007E-13</v>
      </c>
      <c r="AJ75" s="13">
        <f>AI75*VLOOKUP('Données projet'!$B$10,Paramètres!$A$1:$I$89,3,0)*VLOOKUP('Données projet'!$B$10,Paramètres!$A$1:$I$89,5,0)</f>
        <v>-1.69961822393816E-13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195.14508560011791</v>
      </c>
      <c r="AO75" s="59">
        <f t="shared" si="90"/>
        <v>285.1531413455931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60.385519760052475</v>
      </c>
      <c r="AV75" s="21">
        <f>EXP(-LN(2)/25)*AV74+(1-EXP(-LN(2)/25))/(LN(2)/25)*Calculateur!AQ75*Calculateur!AS75*VLOOKUP('Données projet'!$B$10,Paramètres!$A$1:$I$89,3,0)*0.475*44/12</f>
        <v>22.664381347258317</v>
      </c>
      <c r="AW75" s="21">
        <f>EXP(-LN(2)/2)*AW74+(1-EXP(-LN(2)/2))/(LN(2)/2)*AQ75*AT75*VLOOKUP('Données projet'!$B$10,Paramètres!$A$1:$I$89,3,0)*0.475*44/12</f>
        <v>3.2018322407962744E-3</v>
      </c>
      <c r="AX75" s="21">
        <f t="shared" si="60"/>
        <v>83.053102939551579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6.6314102575000007</v>
      </c>
      <c r="BD75" s="12">
        <f>IF('Données projet'!$A$88&gt;35,BD74+BC75-BL74,IF(A75&lt;'Données projet'!$A$88,$BA$205^A75,IF(A75='Données projet'!$A$88,'Données projet'!$B$88,BD74+BC75-BL74)))</f>
        <v>172.76602562750003</v>
      </c>
      <c r="BE75" s="13">
        <f>BD75*VLOOKUP('Données projet'!$B$11,Paramètres!$A$1:$I$89,3,0)*VLOOKUP('Données projet'!$B$11,Paramètres!$A$1:$I$89,5,0)</f>
        <v>145.53809998860604</v>
      </c>
      <c r="BF75" s="13">
        <f t="shared" si="91"/>
        <v>37.562827664647187</v>
      </c>
      <c r="BG75" s="20">
        <f t="shared" si="61"/>
        <v>318.90078232941602</v>
      </c>
      <c r="BH75" s="59">
        <f t="shared" si="62"/>
        <v>612.23411566274933</v>
      </c>
      <c r="BI75" s="59">
        <f ca="1">AVERAGE(OFFSET($BH$3,0,0,'Données projet'!$E$11+1,1))-AVERAGE(OFFSET($H$3,0,0,'Données projet'!$E$11+1,1))</f>
        <v>179.55753939285887</v>
      </c>
      <c r="BJ75" s="59">
        <f t="shared" si="92"/>
        <v>147.29214162149162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14.266008906386492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14.266008906386492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-2.8421709430404007E-13</v>
      </c>
      <c r="O76" s="13">
        <f>N76*VLOOKUP('Données projet'!$B$9,Paramètres!$A$1:$I$89,3,0)*VLOOKUP('Données projet'!$B$9,Paramètres!$A$1:$I$89,5,0)</f>
        <v>-1.69961822393816E-13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195.14508560011791</v>
      </c>
      <c r="T76" s="59">
        <f t="shared" si="88"/>
        <v>285.1531413455931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59.201396549088088</v>
      </c>
      <c r="AA76" s="21">
        <f>EXP(-LN(2)/25)*AA75+(1-EXP(-LN(2)/25))/(LN(2)/25)*Calculateur!V76*Calculateur!X76*VLOOKUP('Données projet'!$B$9,Paramètres!$A$1:$I$89,3,0)*0.475*44/12</f>
        <v>22.044622647449522</v>
      </c>
      <c r="AB76" s="21">
        <f>EXP(-LN(2)/2)*AB75+(1-EXP(-LN(2)/2))/(LN(2)/2)*V76*Y76*VLOOKUP('Données projet'!$B$9,Paramètres!$A$1:$I$89,3,0)*0.475*44/12</f>
        <v>2.2640372896887643E-3</v>
      </c>
      <c r="AC76" s="22">
        <f t="shared" si="57"/>
        <v>81.248283233827308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-2.8421709430404007E-13</v>
      </c>
      <c r="AJ76" s="13">
        <f>AI76*VLOOKUP('Données projet'!$B$10,Paramètres!$A$1:$I$89,3,0)*VLOOKUP('Données projet'!$B$10,Paramètres!$A$1:$I$89,5,0)</f>
        <v>-1.69961822393816E-13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195.14508560011791</v>
      </c>
      <c r="AO76" s="59">
        <f t="shared" si="90"/>
        <v>285.1531413455931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59.201396549088088</v>
      </c>
      <c r="AV76" s="21">
        <f>EXP(-LN(2)/25)*AV75+(1-EXP(-LN(2)/25))/(LN(2)/25)*Calculateur!AQ76*Calculateur!AS76*VLOOKUP('Données projet'!$B$10,Paramètres!$A$1:$I$89,3,0)*0.475*44/12</f>
        <v>22.044622647449522</v>
      </c>
      <c r="AW76" s="21">
        <f>EXP(-LN(2)/2)*AW75+(1-EXP(-LN(2)/2))/(LN(2)/2)*AQ76*AT76*VLOOKUP('Données projet'!$B$10,Paramètres!$A$1:$I$89,3,0)*0.475*44/12</f>
        <v>2.2640372896887643E-3</v>
      </c>
      <c r="AX76" s="21">
        <f t="shared" si="60"/>
        <v>81.248283233827308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6.6314102575000007</v>
      </c>
      <c r="BD76" s="12">
        <f>IF('Données projet'!$A$88&gt;35,BD75+BC76-BL75,IF(A76&lt;'Données projet'!$A$88,$BA$205^A76,IF(A76='Données projet'!$A$88,'Données projet'!$B$88,BD75+BC76-BL75)))</f>
        <v>179.39743588500002</v>
      </c>
      <c r="BE76" s="13">
        <f>BD76*VLOOKUP('Données projet'!$B$11,Paramètres!$A$1:$I$89,3,0)*VLOOKUP('Données projet'!$B$11,Paramètres!$A$1:$I$89,5,0)</f>
        <v>151.12439998952402</v>
      </c>
      <c r="BF76" s="13">
        <f t="shared" si="91"/>
        <v>38.833998386257832</v>
      </c>
      <c r="BG76" s="20">
        <f t="shared" si="61"/>
        <v>330.84421050448668</v>
      </c>
      <c r="BH76" s="59">
        <f t="shared" si="62"/>
        <v>624.17754383781994</v>
      </c>
      <c r="BI76" s="59">
        <f ca="1">AVERAGE(OFFSET($BH$3,0,0,'Données projet'!$E$11+1,1))-AVERAGE(OFFSET($H$3,0,0,'Données projet'!$E$11+1,1))</f>
        <v>179.55753939285887</v>
      </c>
      <c r="BJ76" s="59">
        <f t="shared" si="92"/>
        <v>147.29214162149162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13.986261173138494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13.986261173138494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-2.8421709430404007E-13</v>
      </c>
      <c r="O77" s="13">
        <f>N77*VLOOKUP('Données projet'!$B$9,Paramètres!$A$1:$I$89,3,0)*VLOOKUP('Données projet'!$B$9,Paramètres!$A$1:$I$89,5,0)</f>
        <v>-1.69961822393816E-13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195.14508560011791</v>
      </c>
      <c r="T77" s="59">
        <f t="shared" si="88"/>
        <v>285.1531413455931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58.040493272046866</v>
      </c>
      <c r="AA77" s="21">
        <f>EXP(-LN(2)/25)*AA76+(1-EXP(-LN(2)/25))/(LN(2)/25)*Calculateur!V77*Calculateur!X77*VLOOKUP('Données projet'!$B$9,Paramètres!$A$1:$I$89,3,0)*0.475*44/12</f>
        <v>21.441811281878692</v>
      </c>
      <c r="AB77" s="21">
        <f>EXP(-LN(2)/2)*AB76+(1-EXP(-LN(2)/2))/(LN(2)/2)*V77*Y77*VLOOKUP('Données projet'!$B$9,Paramètres!$A$1:$I$89,3,0)*0.475*44/12</f>
        <v>1.6009161203981372E-3</v>
      </c>
      <c r="AC77" s="22">
        <f t="shared" si="57"/>
        <v>79.483905470045954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-2.8421709430404007E-13</v>
      </c>
      <c r="AJ77" s="13">
        <f>AI77*VLOOKUP('Données projet'!$B$10,Paramètres!$A$1:$I$89,3,0)*VLOOKUP('Données projet'!$B$10,Paramètres!$A$1:$I$89,5,0)</f>
        <v>-1.69961822393816E-13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195.14508560011791</v>
      </c>
      <c r="AO77" s="59">
        <f t="shared" si="90"/>
        <v>285.1531413455931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58.040493272046866</v>
      </c>
      <c r="AV77" s="21">
        <f>EXP(-LN(2)/25)*AV76+(1-EXP(-LN(2)/25))/(LN(2)/25)*Calculateur!AQ77*Calculateur!AS77*VLOOKUP('Données projet'!$B$10,Paramètres!$A$1:$I$89,3,0)*0.475*44/12</f>
        <v>21.441811281878692</v>
      </c>
      <c r="AW77" s="21">
        <f>EXP(-LN(2)/2)*AW76+(1-EXP(-LN(2)/2))/(LN(2)/2)*AQ77*AT77*VLOOKUP('Données projet'!$B$10,Paramètres!$A$1:$I$89,3,0)*0.475*44/12</f>
        <v>1.6009161203981372E-3</v>
      </c>
      <c r="AX77" s="21">
        <f t="shared" si="60"/>
        <v>79.483905470045954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6.6314102575000007</v>
      </c>
      <c r="BD77" s="12">
        <f>IF('Données projet'!$A$88&gt;35,BD76+BC77-BL76,IF(A77&lt;'Données projet'!$A$88,$BA$205^A77,IF(A77='Données projet'!$A$88,'Données projet'!$B$88,BD76+BC77-BL76)))</f>
        <v>186.02884614250002</v>
      </c>
      <c r="BE77" s="13">
        <f>BD77*VLOOKUP('Données projet'!$B$11,Paramètres!$A$1:$I$89,3,0)*VLOOKUP('Données projet'!$B$11,Paramètres!$A$1:$I$89,5,0)</f>
        <v>156.71069999044201</v>
      </c>
      <c r="BF77" s="13">
        <f t="shared" si="91"/>
        <v>40.099710058507817</v>
      </c>
      <c r="BG77" s="20">
        <f t="shared" si="61"/>
        <v>342.77813083525422</v>
      </c>
      <c r="BH77" s="59">
        <f t="shared" si="62"/>
        <v>636.11146416858753</v>
      </c>
      <c r="BI77" s="59">
        <f ca="1">AVERAGE(OFFSET($BH$3,0,0,'Données projet'!$E$11+1,1))-AVERAGE(OFFSET($H$3,0,0,'Données projet'!$E$11+1,1))</f>
        <v>179.55753939285887</v>
      </c>
      <c r="BJ77" s="59">
        <f t="shared" si="92"/>
        <v>147.29214162149162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13.711999122310219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13.711999122310219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-2.8421709430404007E-13</v>
      </c>
      <c r="O78" s="13">
        <f>N78*VLOOKUP('Données projet'!$B$9,Paramètres!$A$1:$I$89,3,0)*VLOOKUP('Données projet'!$B$9,Paramètres!$A$1:$I$89,5,0)</f>
        <v>-1.69961822393816E-13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195.14508560011791</v>
      </c>
      <c r="T78" s="59">
        <f t="shared" si="88"/>
        <v>285.1531413455931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56.902354600187344</v>
      </c>
      <c r="AA78" s="21">
        <f>EXP(-LN(2)/25)*AA77+(1-EXP(-LN(2)/25))/(LN(2)/25)*Calculateur!V78*Calculateur!X78*VLOOKUP('Données projet'!$B$9,Paramètres!$A$1:$I$89,3,0)*0.475*44/12</f>
        <v>20.855483824799869</v>
      </c>
      <c r="AB78" s="21">
        <f>EXP(-LN(2)/2)*AB77+(1-EXP(-LN(2)/2))/(LN(2)/2)*V78*Y78*VLOOKUP('Données projet'!$B$9,Paramètres!$A$1:$I$89,3,0)*0.475*44/12</f>
        <v>1.1320186448443821E-3</v>
      </c>
      <c r="AC78" s="22">
        <f t="shared" si="57"/>
        <v>77.758970443632052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-2.8421709430404007E-13</v>
      </c>
      <c r="AJ78" s="13">
        <f>AI78*VLOOKUP('Données projet'!$B$10,Paramètres!$A$1:$I$89,3,0)*VLOOKUP('Données projet'!$B$10,Paramètres!$A$1:$I$89,5,0)</f>
        <v>-1.69961822393816E-13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195.14508560011791</v>
      </c>
      <c r="AO78" s="59">
        <f t="shared" si="90"/>
        <v>285.1531413455931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56.902354600187344</v>
      </c>
      <c r="AV78" s="21">
        <f>EXP(-LN(2)/25)*AV77+(1-EXP(-LN(2)/25))/(LN(2)/25)*Calculateur!AQ78*Calculateur!AS78*VLOOKUP('Données projet'!$B$10,Paramètres!$A$1:$I$89,3,0)*0.475*44/12</f>
        <v>20.855483824799869</v>
      </c>
      <c r="AW78" s="21">
        <f>EXP(-LN(2)/2)*AW77+(1-EXP(-LN(2)/2))/(LN(2)/2)*AQ78*AT78*VLOOKUP('Données projet'!$B$10,Paramètres!$A$1:$I$89,3,0)*0.475*44/12</f>
        <v>1.1320186448443821E-3</v>
      </c>
      <c r="AX78" s="21">
        <f t="shared" si="60"/>
        <v>77.758970443632052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>
        <f>VLOOKUP(A78,'Données projet'!$A$87:$I$107,2,0)</f>
        <v>192.66025640000001</v>
      </c>
      <c r="BB78" s="12">
        <f>VLOOKUP(A78,'Données projet'!$A$87:$I$107,9,0)</f>
        <v>6.6314102575000007</v>
      </c>
      <c r="BC78" s="12">
        <f t="array" ref="BC78">INDEX(BB:BB,MIN(IF(ISNUMBER(BB78:BB274),ROW(BB78:BB274),"")))</f>
        <v>6.6314102575000007</v>
      </c>
      <c r="BD78" s="12">
        <f>IF('Données projet'!$A$88&gt;35,BD77+BC78-BL77,IF(A78&lt;'Données projet'!$A$88,$BA$205^A78,IF(A78='Données projet'!$A$88,'Données projet'!$B$88,BD77+BC78-BL77)))</f>
        <v>192.66025640000001</v>
      </c>
      <c r="BE78" s="13">
        <f>BD78*VLOOKUP('Données projet'!$B$11,Paramètres!$A$1:$I$89,3,0)*VLOOKUP('Données projet'!$B$11,Paramètres!$A$1:$I$89,5,0)</f>
        <v>162.29699999136002</v>
      </c>
      <c r="BF78" s="13">
        <f t="shared" si="91"/>
        <v>41.360179576038412</v>
      </c>
      <c r="BG78" s="20">
        <f t="shared" si="61"/>
        <v>354.70292107988558</v>
      </c>
      <c r="BH78" s="59">
        <f t="shared" si="62"/>
        <v>648.0362544132189</v>
      </c>
      <c r="BI78" s="59">
        <f ca="1">AVERAGE(OFFSET($BH$3,0,0,'Données projet'!$E$11+1,1))-AVERAGE(OFFSET($H$3,0,0,'Données projet'!$E$11+1,1))</f>
        <v>179.55753939285887</v>
      </c>
      <c r="BJ78" s="59">
        <f t="shared" si="92"/>
        <v>147.29214162149162</v>
      </c>
      <c r="BK78" s="15">
        <f>IF(ISNA(VLOOKUP(A78,'Données projet'!$A$87:$I$107,3,0)),0,VLOOKUP(A78,'Données projet'!$A$87:$I$107,3,0))</f>
        <v>6</v>
      </c>
      <c r="BL78" s="15">
        <f>IF(ISNA(VLOOKUP(A78,'Données projet'!$A$87:$I$107,4,0)),0,VLOOKUP(A78,'Données projet'!$A$87:$I$107,4,0))</f>
        <v>30.705128210000002</v>
      </c>
      <c r="BM78" s="16">
        <f>IF(ISNA(VLOOKUP(A78,'Données projet'!$A$87:$I$107,5,0)),0%,VLOOKUP(A78,'Données projet'!$A$87:$I$107,5,0)*VLOOKUP('Données projet'!$B$11,Paramètres!$A$1:$I$89,7,0))</f>
        <v>0.30099999999999999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22.04993833231773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22.04993833231773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-2.8421709430404007E-13</v>
      </c>
      <c r="O79" s="13">
        <f>N79*VLOOKUP('Données projet'!$B$9,Paramètres!$A$1:$I$89,3,0)*VLOOKUP('Données projet'!$B$9,Paramètres!$A$1:$I$89,5,0)</f>
        <v>-1.69961822393816E-13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195.14508560011791</v>
      </c>
      <c r="T79" s="59">
        <f t="shared" si="88"/>
        <v>285.1531413455931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55.786534133486946</v>
      </c>
      <c r="AA79" s="21">
        <f>EXP(-LN(2)/25)*AA78+(1-EXP(-LN(2)/25))/(LN(2)/25)*Calculateur!V79*Calculateur!X79*VLOOKUP('Données projet'!$B$9,Paramètres!$A$1:$I$89,3,0)*0.475*44/12</f>
        <v>20.285189522868489</v>
      </c>
      <c r="AB79" s="21">
        <f>EXP(-LN(2)/2)*AB78+(1-EXP(-LN(2)/2))/(LN(2)/2)*V79*Y79*VLOOKUP('Données projet'!$B$9,Paramètres!$A$1:$I$89,3,0)*0.475*44/12</f>
        <v>8.0045806019906859E-4</v>
      </c>
      <c r="AC79" s="22">
        <f t="shared" si="57"/>
        <v>76.072524114415629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-2.8421709430404007E-13</v>
      </c>
      <c r="AJ79" s="13">
        <f>AI79*VLOOKUP('Données projet'!$B$10,Paramètres!$A$1:$I$89,3,0)*VLOOKUP('Données projet'!$B$10,Paramètres!$A$1:$I$89,5,0)</f>
        <v>-1.69961822393816E-13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195.14508560011791</v>
      </c>
      <c r="AO79" s="59">
        <f t="shared" si="90"/>
        <v>285.1531413455931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55.786534133486946</v>
      </c>
      <c r="AV79" s="21">
        <f>EXP(-LN(2)/25)*AV78+(1-EXP(-LN(2)/25))/(LN(2)/25)*Calculateur!AQ79*Calculateur!AS79*VLOOKUP('Données projet'!$B$10,Paramètres!$A$1:$I$89,3,0)*0.475*44/12</f>
        <v>20.285189522868489</v>
      </c>
      <c r="AW79" s="21">
        <f>EXP(-LN(2)/2)*AW78+(1-EXP(-LN(2)/2))/(LN(2)/2)*AQ79*AT79*VLOOKUP('Données projet'!$B$10,Paramètres!$A$1:$I$89,3,0)*0.475*44/12</f>
        <v>8.0045806019906859E-4</v>
      </c>
      <c r="AX79" s="21">
        <f t="shared" si="60"/>
        <v>76.072524114415629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6.4791666637500001</v>
      </c>
      <c r="BD79" s="12">
        <f>IF('Données projet'!$A$88&gt;35,BD78+BC79-BL78,IF(A79&lt;'Données projet'!$A$88,$BA$205^A79,IF(A79='Données projet'!$A$88,'Données projet'!$B$88,BD78+BC79-BL78)))</f>
        <v>168.43429485375</v>
      </c>
      <c r="BE79" s="13">
        <f>BD79*VLOOKUP('Données projet'!$B$11,Paramètres!$A$1:$I$89,3,0)*VLOOKUP('Données projet'!$B$11,Paramètres!$A$1:$I$89,5,0)</f>
        <v>141.88904998479902</v>
      </c>
      <c r="BF79" s="13">
        <f t="shared" si="91"/>
        <v>36.729422169429654</v>
      </c>
      <c r="BG79" s="20">
        <f t="shared" si="61"/>
        <v>311.09383900194825</v>
      </c>
      <c r="BH79" s="59">
        <f t="shared" si="62"/>
        <v>604.42717233528151</v>
      </c>
      <c r="BI79" s="59">
        <f ca="1">AVERAGE(OFFSET($BH$3,0,0,'Données projet'!$E$11+1,1))-AVERAGE(OFFSET($H$3,0,0,'Données projet'!$E$11+1,1))</f>
        <v>179.55753939285887</v>
      </c>
      <c r="BJ79" s="59">
        <f t="shared" si="92"/>
        <v>147.29214162149162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21.617552490755369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21.617552490755369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-2.8421709430404007E-13</v>
      </c>
      <c r="O80" s="13">
        <f>N80*VLOOKUP('Données projet'!$B$9,Paramètres!$A$1:$I$89,3,0)*VLOOKUP('Données projet'!$B$9,Paramètres!$A$1:$I$89,5,0)</f>
        <v>-1.69961822393816E-13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195.14508560011791</v>
      </c>
      <c r="T80" s="59">
        <f t="shared" si="88"/>
        <v>285.1531413455931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54.692594225555254</v>
      </c>
      <c r="AA80" s="21">
        <f>EXP(-LN(2)/25)*AA79+(1-EXP(-LN(2)/25))/(LN(2)/25)*Calculateur!V80*Calculateur!X80*VLOOKUP('Données projet'!$B$9,Paramètres!$A$1:$I$89,3,0)*0.475*44/12</f>
        <v>19.730489948613897</v>
      </c>
      <c r="AB80" s="21">
        <f>EXP(-LN(2)/2)*AB79+(1-EXP(-LN(2)/2))/(LN(2)/2)*V80*Y80*VLOOKUP('Données projet'!$B$9,Paramètres!$A$1:$I$89,3,0)*0.475*44/12</f>
        <v>5.6600932242219107E-4</v>
      </c>
      <c r="AC80" s="22">
        <f t="shared" si="57"/>
        <v>74.423650183491574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-2.8421709430404007E-13</v>
      </c>
      <c r="AJ80" s="13">
        <f>AI80*VLOOKUP('Données projet'!$B$10,Paramètres!$A$1:$I$89,3,0)*VLOOKUP('Données projet'!$B$10,Paramètres!$A$1:$I$89,5,0)</f>
        <v>-1.69961822393816E-13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195.14508560011791</v>
      </c>
      <c r="AO80" s="59">
        <f t="shared" si="90"/>
        <v>285.1531413455931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54.692594225555254</v>
      </c>
      <c r="AV80" s="21">
        <f>EXP(-LN(2)/25)*AV79+(1-EXP(-LN(2)/25))/(LN(2)/25)*Calculateur!AQ80*Calculateur!AS80*VLOOKUP('Données projet'!$B$10,Paramètres!$A$1:$I$89,3,0)*0.475*44/12</f>
        <v>19.730489948613897</v>
      </c>
      <c r="AW80" s="21">
        <f>EXP(-LN(2)/2)*AW79+(1-EXP(-LN(2)/2))/(LN(2)/2)*AQ80*AT80*VLOOKUP('Données projet'!$B$10,Paramètres!$A$1:$I$89,3,0)*0.475*44/12</f>
        <v>5.6600932242219107E-4</v>
      </c>
      <c r="AX80" s="21">
        <f t="shared" si="60"/>
        <v>74.423650183491574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6.4791666637500001</v>
      </c>
      <c r="BD80" s="12">
        <f>IF('Données projet'!$A$88&gt;35,BD79+BC80-BL79,IF(A80&lt;'Données projet'!$A$88,$BA$205^A80,IF(A80='Données projet'!$A$88,'Données projet'!$B$88,BD79+BC80-BL79)))</f>
        <v>174.9134615175</v>
      </c>
      <c r="BE80" s="13">
        <f>BD80*VLOOKUP('Données projet'!$B$11,Paramètres!$A$1:$I$89,3,0)*VLOOKUP('Données projet'!$B$11,Paramètres!$A$1:$I$89,5,0)</f>
        <v>147.34709998234203</v>
      </c>
      <c r="BF80" s="13">
        <f t="shared" si="91"/>
        <v>37.975079888713552</v>
      </c>
      <c r="BG80" s="20">
        <f t="shared" si="61"/>
        <v>322.7694632754218</v>
      </c>
      <c r="BH80" s="59">
        <f t="shared" si="62"/>
        <v>616.10279660875517</v>
      </c>
      <c r="BI80" s="59">
        <f ca="1">AVERAGE(OFFSET($BH$3,0,0,'Données projet'!$E$11+1,1))-AVERAGE(OFFSET($H$3,0,0,'Données projet'!$E$11+1,1))</f>
        <v>179.55753939285887</v>
      </c>
      <c r="BJ80" s="59">
        <f t="shared" si="92"/>
        <v>147.29214162149162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21.193645471816726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21.193645471816726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-2.8421709430404007E-13</v>
      </c>
      <c r="O81" s="13">
        <f>N81*VLOOKUP('Données projet'!$B$9,Paramètres!$A$1:$I$89,3,0)*VLOOKUP('Données projet'!$B$9,Paramètres!$A$1:$I$89,5,0)</f>
        <v>-1.69961822393816E-13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195.14508560011791</v>
      </c>
      <c r="T81" s="59">
        <f t="shared" si="88"/>
        <v>285.1531413455931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53.62010581198065</v>
      </c>
      <c r="AA81" s="21">
        <f>EXP(-LN(2)/25)*AA80+(1-EXP(-LN(2)/25))/(LN(2)/25)*Calculateur!V81*Calculateur!X81*VLOOKUP('Données projet'!$B$9,Paramètres!$A$1:$I$89,3,0)*0.475*44/12</f>
        <v>19.190958663387679</v>
      </c>
      <c r="AB81" s="21">
        <f>EXP(-LN(2)/2)*AB80+(1-EXP(-LN(2)/2))/(LN(2)/2)*V81*Y81*VLOOKUP('Données projet'!$B$9,Paramètres!$A$1:$I$89,3,0)*0.475*44/12</f>
        <v>4.0022903009953429E-4</v>
      </c>
      <c r="AC81" s="22">
        <f t="shared" si="57"/>
        <v>72.811464704398432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-2.8421709430404007E-13</v>
      </c>
      <c r="AJ81" s="13">
        <f>AI81*VLOOKUP('Données projet'!$B$10,Paramètres!$A$1:$I$89,3,0)*VLOOKUP('Données projet'!$B$10,Paramètres!$A$1:$I$89,5,0)</f>
        <v>-1.69961822393816E-13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195.14508560011791</v>
      </c>
      <c r="AO81" s="59">
        <f t="shared" si="90"/>
        <v>285.1531413455931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53.62010581198065</v>
      </c>
      <c r="AV81" s="21">
        <f>EXP(-LN(2)/25)*AV80+(1-EXP(-LN(2)/25))/(LN(2)/25)*Calculateur!AQ81*Calculateur!AS81*VLOOKUP('Données projet'!$B$10,Paramètres!$A$1:$I$89,3,0)*0.475*44/12</f>
        <v>19.190958663387679</v>
      </c>
      <c r="AW81" s="21">
        <f>EXP(-LN(2)/2)*AW80+(1-EXP(-LN(2)/2))/(LN(2)/2)*AQ81*AT81*VLOOKUP('Données projet'!$B$10,Paramètres!$A$1:$I$89,3,0)*0.475*44/12</f>
        <v>4.0022903009953429E-4</v>
      </c>
      <c r="AX81" s="21">
        <f t="shared" si="60"/>
        <v>72.811464704398432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6.4791666637500001</v>
      </c>
      <c r="BD81" s="12">
        <f>IF('Données projet'!$A$88&gt;35,BD80+BC81-BL80,IF(A81&lt;'Données projet'!$A$88,$BA$205^A81,IF(A81='Données projet'!$A$88,'Données projet'!$B$88,BD80+BC81-BL80)))</f>
        <v>181.39262818124999</v>
      </c>
      <c r="BE81" s="13">
        <f>BD81*VLOOKUP('Données projet'!$B$11,Paramètres!$A$1:$I$89,3,0)*VLOOKUP('Données projet'!$B$11,Paramètres!$A$1:$I$89,5,0)</f>
        <v>152.80514997988502</v>
      </c>
      <c r="BF81" s="13">
        <f t="shared" si="91"/>
        <v>39.215376968505112</v>
      </c>
      <c r="BG81" s="20">
        <f t="shared" si="61"/>
        <v>334.43575110177943</v>
      </c>
      <c r="BH81" s="59">
        <f t="shared" si="62"/>
        <v>627.76908443511275</v>
      </c>
      <c r="BI81" s="59">
        <f ca="1">AVERAGE(OFFSET($BH$3,0,0,'Données projet'!$E$11+1,1))-AVERAGE(OFFSET($H$3,0,0,'Données projet'!$E$11+1,1))</f>
        <v>179.55753939285887</v>
      </c>
      <c r="BJ81" s="59">
        <f t="shared" si="92"/>
        <v>147.29214162149162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20.778051010961718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20.778051010961718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-2.8421709430404007E-13</v>
      </c>
      <c r="O82" s="13">
        <f>N82*VLOOKUP('Données projet'!$B$9,Paramètres!$A$1:$I$89,3,0)*VLOOKUP('Données projet'!$B$9,Paramètres!$A$1:$I$89,5,0)</f>
        <v>-1.69961822393816E-13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195.14508560011791</v>
      </c>
      <c r="T82" s="59">
        <f t="shared" si="88"/>
        <v>285.1531413455931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52.568648242042904</v>
      </c>
      <c r="AA82" s="21">
        <f>EXP(-LN(2)/25)*AA81+(1-EXP(-LN(2)/25))/(LN(2)/25)*Calculateur!V82*Calculateur!X82*VLOOKUP('Données projet'!$B$9,Paramètres!$A$1:$I$89,3,0)*0.475*44/12</f>
        <v>18.66618088952869</v>
      </c>
      <c r="AB82" s="21">
        <f>EXP(-LN(2)/2)*AB81+(1-EXP(-LN(2)/2))/(LN(2)/2)*V82*Y82*VLOOKUP('Données projet'!$B$9,Paramètres!$A$1:$I$89,3,0)*0.475*44/12</f>
        <v>2.8300466121109554E-4</v>
      </c>
      <c r="AC82" s="22">
        <f t="shared" si="57"/>
        <v>71.2351121362328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-2.8421709430404007E-13</v>
      </c>
      <c r="AJ82" s="13">
        <f>AI82*VLOOKUP('Données projet'!$B$10,Paramètres!$A$1:$I$89,3,0)*VLOOKUP('Données projet'!$B$10,Paramètres!$A$1:$I$89,5,0)</f>
        <v>-1.69961822393816E-13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195.14508560011791</v>
      </c>
      <c r="AO82" s="59">
        <f t="shared" si="90"/>
        <v>285.1531413455931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52.568648242042904</v>
      </c>
      <c r="AV82" s="21">
        <f>EXP(-LN(2)/25)*AV81+(1-EXP(-LN(2)/25))/(LN(2)/25)*Calculateur!AQ82*Calculateur!AS82*VLOOKUP('Données projet'!$B$10,Paramètres!$A$1:$I$89,3,0)*0.475*44/12</f>
        <v>18.66618088952869</v>
      </c>
      <c r="AW82" s="21">
        <f>EXP(-LN(2)/2)*AW81+(1-EXP(-LN(2)/2))/(LN(2)/2)*AQ82*AT82*VLOOKUP('Données projet'!$B$10,Paramètres!$A$1:$I$89,3,0)*0.475*44/12</f>
        <v>2.8300466121109554E-4</v>
      </c>
      <c r="AX82" s="21">
        <f t="shared" si="60"/>
        <v>71.2351121362328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6.4791666637500001</v>
      </c>
      <c r="BD82" s="12">
        <f>IF('Données projet'!$A$88&gt;35,BD81+BC82-BL81,IF(A82&lt;'Données projet'!$A$88,$BA$205^A82,IF(A82='Données projet'!$A$88,'Données projet'!$B$88,BD81+BC82-BL81)))</f>
        <v>187.87179484499998</v>
      </c>
      <c r="BE82" s="13">
        <f>BD82*VLOOKUP('Données projet'!$B$11,Paramètres!$A$1:$I$89,3,0)*VLOOKUP('Données projet'!$B$11,Paramètres!$A$1:$I$89,5,0)</f>
        <v>158.263199977428</v>
      </c>
      <c r="BF82" s="13">
        <f t="shared" si="91"/>
        <v>40.450526821997592</v>
      </c>
      <c r="BG82" s="20">
        <f t="shared" si="61"/>
        <v>346.09307417566623</v>
      </c>
      <c r="BH82" s="59">
        <f t="shared" si="62"/>
        <v>639.42640750899955</v>
      </c>
      <c r="BI82" s="59">
        <f ca="1">AVERAGE(OFFSET($BH$3,0,0,'Données projet'!$E$11+1,1))-AVERAGE(OFFSET($H$3,0,0,'Données projet'!$E$11+1,1))</f>
        <v>179.55753939285887</v>
      </c>
      <c r="BJ82" s="59">
        <f t="shared" si="92"/>
        <v>147.29214162149162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20.370606103996487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20.370606103996487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-2.8421709430404007E-13</v>
      </c>
      <c r="O83" s="13">
        <f>N83*VLOOKUP('Données projet'!$B$9,Paramètres!$A$1:$I$89,3,0)*VLOOKUP('Données projet'!$B$9,Paramètres!$A$1:$I$89,5,0)</f>
        <v>-1.69961822393816E-13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195.14508560011791</v>
      </c>
      <c r="T83" s="59">
        <f t="shared" si="88"/>
        <v>285.1531413455931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51.537809113725842</v>
      </c>
      <c r="AA83" s="21">
        <f>EXP(-LN(2)/25)*AA82+(1-EXP(-LN(2)/25))/(LN(2)/25)*Calculateur!V83*Calculateur!X83*VLOOKUP('Données projet'!$B$9,Paramètres!$A$1:$I$89,3,0)*0.475*44/12</f>
        <v>18.155753191492735</v>
      </c>
      <c r="AB83" s="21">
        <f>EXP(-LN(2)/2)*AB82+(1-EXP(-LN(2)/2))/(LN(2)/2)*V83*Y83*VLOOKUP('Données projet'!$B$9,Paramètres!$A$1:$I$89,3,0)*0.475*44/12</f>
        <v>2.0011451504976715E-4</v>
      </c>
      <c r="AC83" s="22">
        <f t="shared" si="57"/>
        <v>69.693762419733631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-2.8421709430404007E-13</v>
      </c>
      <c r="AJ83" s="13">
        <f>AI83*VLOOKUP('Données projet'!$B$10,Paramètres!$A$1:$I$89,3,0)*VLOOKUP('Données projet'!$B$10,Paramètres!$A$1:$I$89,5,0)</f>
        <v>-1.69961822393816E-13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195.14508560011791</v>
      </c>
      <c r="AO83" s="59">
        <f t="shared" si="90"/>
        <v>285.1531413455931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51.537809113725842</v>
      </c>
      <c r="AV83" s="21">
        <f>EXP(-LN(2)/25)*AV82+(1-EXP(-LN(2)/25))/(LN(2)/25)*Calculateur!AQ83*Calculateur!AS83*VLOOKUP('Données projet'!$B$10,Paramètres!$A$1:$I$89,3,0)*0.475*44/12</f>
        <v>18.155753191492735</v>
      </c>
      <c r="AW83" s="21">
        <f>EXP(-LN(2)/2)*AW82+(1-EXP(-LN(2)/2))/(LN(2)/2)*AQ83*AT83*VLOOKUP('Données projet'!$B$10,Paramètres!$A$1:$I$89,3,0)*0.475*44/12</f>
        <v>2.0011451504976715E-4</v>
      </c>
      <c r="AX83" s="21">
        <f t="shared" si="60"/>
        <v>69.693762419733631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6.4791666637500001</v>
      </c>
      <c r="BD83" s="12">
        <f>IF('Données projet'!$A$88&gt;35,BD82+BC83-BL82,IF(A83&lt;'Données projet'!$A$88,$BA$205^A83,IF(A83='Données projet'!$A$88,'Données projet'!$B$88,BD82+BC83-BL82)))</f>
        <v>194.35096150874998</v>
      </c>
      <c r="BE83" s="13">
        <f>BD83*VLOOKUP('Données projet'!$B$11,Paramètres!$A$1:$I$89,3,0)*VLOOKUP('Données projet'!$B$11,Paramètres!$A$1:$I$89,5,0)</f>
        <v>163.72124997497099</v>
      </c>
      <c r="BF83" s="13">
        <f t="shared" si="91"/>
        <v>41.680727307479422</v>
      </c>
      <c r="BG83" s="20">
        <f t="shared" si="61"/>
        <v>357.74177710026783</v>
      </c>
      <c r="BH83" s="59">
        <f t="shared" si="62"/>
        <v>651.07511043360114</v>
      </c>
      <c r="BI83" s="59">
        <f ca="1">AVERAGE(OFFSET($BH$3,0,0,'Données projet'!$E$11+1,1))-AVERAGE(OFFSET($H$3,0,0,'Données projet'!$E$11+1,1))</f>
        <v>179.55753939285887</v>
      </c>
      <c r="BJ83" s="59">
        <f t="shared" si="92"/>
        <v>147.29214162149162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19.971150943139989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19.971150943139989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-2.8421709430404007E-13</v>
      </c>
      <c r="O84" s="13">
        <f>N84*VLOOKUP('Données projet'!$B$9,Paramètres!$A$1:$I$89,3,0)*VLOOKUP('Données projet'!$B$9,Paramètres!$A$1:$I$89,5,0)</f>
        <v>-1.69961822393816E-13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195.14508560011791</v>
      </c>
      <c r="T84" s="59">
        <f t="shared" si="88"/>
        <v>285.1531413455931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50.52718411196529</v>
      </c>
      <c r="AA84" s="21">
        <f>EXP(-LN(2)/25)*AA83+(1-EXP(-LN(2)/25))/(LN(2)/25)*Calculateur!V84*Calculateur!X84*VLOOKUP('Données projet'!$B$9,Paramètres!$A$1:$I$89,3,0)*0.475*44/12</f>
        <v>17.659283165701801</v>
      </c>
      <c r="AB84" s="21">
        <f>EXP(-LN(2)/2)*AB83+(1-EXP(-LN(2)/2))/(LN(2)/2)*V84*Y84*VLOOKUP('Données projet'!$B$9,Paramètres!$A$1:$I$89,3,0)*0.475*44/12</f>
        <v>1.4150233060554777E-4</v>
      </c>
      <c r="AC84" s="22">
        <f t="shared" si="57"/>
        <v>68.186608779997698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-2.8421709430404007E-13</v>
      </c>
      <c r="AJ84" s="13">
        <f>AI84*VLOOKUP('Données projet'!$B$10,Paramètres!$A$1:$I$89,3,0)*VLOOKUP('Données projet'!$B$10,Paramètres!$A$1:$I$89,5,0)</f>
        <v>-1.69961822393816E-13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195.14508560011791</v>
      </c>
      <c r="AO84" s="59">
        <f t="shared" si="90"/>
        <v>285.1531413455931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50.52718411196529</v>
      </c>
      <c r="AV84" s="21">
        <f>EXP(-LN(2)/25)*AV83+(1-EXP(-LN(2)/25))/(LN(2)/25)*Calculateur!AQ84*Calculateur!AS84*VLOOKUP('Données projet'!$B$10,Paramètres!$A$1:$I$89,3,0)*0.475*44/12</f>
        <v>17.659283165701801</v>
      </c>
      <c r="AW84" s="21">
        <f>EXP(-LN(2)/2)*AW83+(1-EXP(-LN(2)/2))/(LN(2)/2)*AQ84*AT84*VLOOKUP('Données projet'!$B$10,Paramètres!$A$1:$I$89,3,0)*0.475*44/12</f>
        <v>1.4150233060554777E-4</v>
      </c>
      <c r="AX84" s="21">
        <f t="shared" si="60"/>
        <v>68.186608779997698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6.4791666637500001</v>
      </c>
      <c r="BD84" s="12">
        <f>IF('Données projet'!$A$88&gt;35,BD83+BC84-BL83,IF(A84&lt;'Données projet'!$A$88,$BA$205^A84,IF(A84='Données projet'!$A$88,'Données projet'!$B$88,BD83+BC84-BL83)))</f>
        <v>200.83012817249997</v>
      </c>
      <c r="BE84" s="13">
        <f>BD84*VLOOKUP('Données projet'!$B$11,Paramètres!$A$1:$I$89,3,0)*VLOOKUP('Données projet'!$B$11,Paramètres!$A$1:$I$89,5,0)</f>
        <v>169.17929997251397</v>
      </c>
      <c r="BF84" s="13">
        <f t="shared" si="91"/>
        <v>42.906162342468399</v>
      </c>
      <c r="BG84" s="20">
        <f t="shared" si="61"/>
        <v>369.38218019859431</v>
      </c>
      <c r="BH84" s="59">
        <f t="shared" si="62"/>
        <v>662.71551353192763</v>
      </c>
      <c r="BI84" s="59">
        <f ca="1">AVERAGE(OFFSET($BH$3,0,0,'Données projet'!$E$11+1,1))-AVERAGE(OFFSET($H$3,0,0,'Données projet'!$E$11+1,1))</f>
        <v>179.55753939285887</v>
      </c>
      <c r="BJ84" s="59">
        <f t="shared" si="92"/>
        <v>147.29214162149162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19.579528854344296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19.579528854344296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-2.8421709430404007E-13</v>
      </c>
      <c r="O85" s="13">
        <f>N85*VLOOKUP('Données projet'!$B$9,Paramètres!$A$1:$I$89,3,0)*VLOOKUP('Données projet'!$B$9,Paramètres!$A$1:$I$89,5,0)</f>
        <v>-1.69961822393816E-13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195.14508560011791</v>
      </c>
      <c r="T85" s="59">
        <f t="shared" si="88"/>
        <v>285.1531413455931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49.536376850068883</v>
      </c>
      <c r="AA85" s="21">
        <f>EXP(-LN(2)/25)*AA84+(1-EXP(-LN(2)/25))/(LN(2)/25)*Calculateur!V85*Calculateur!X85*VLOOKUP('Données projet'!$B$9,Paramètres!$A$1:$I$89,3,0)*0.475*44/12</f>
        <v>17.176389138874345</v>
      </c>
      <c r="AB85" s="21">
        <f>EXP(-LN(2)/2)*AB84+(1-EXP(-LN(2)/2))/(LN(2)/2)*V85*Y85*VLOOKUP('Données projet'!$B$9,Paramètres!$A$1:$I$89,3,0)*0.475*44/12</f>
        <v>1.0005725752488357E-4</v>
      </c>
      <c r="AC85" s="22">
        <f t="shared" si="57"/>
        <v>66.712866046200759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-2.8421709430404007E-13</v>
      </c>
      <c r="AJ85" s="13">
        <f>AI85*VLOOKUP('Données projet'!$B$10,Paramètres!$A$1:$I$89,3,0)*VLOOKUP('Données projet'!$B$10,Paramètres!$A$1:$I$89,5,0)</f>
        <v>-1.69961822393816E-13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195.14508560011791</v>
      </c>
      <c r="AO85" s="59">
        <f t="shared" si="90"/>
        <v>285.1531413455931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49.536376850068883</v>
      </c>
      <c r="AV85" s="21">
        <f>EXP(-LN(2)/25)*AV84+(1-EXP(-LN(2)/25))/(LN(2)/25)*Calculateur!AQ85*Calculateur!AS85*VLOOKUP('Données projet'!$B$10,Paramètres!$A$1:$I$89,3,0)*0.475*44/12</f>
        <v>17.176389138874345</v>
      </c>
      <c r="AW85" s="21">
        <f>EXP(-LN(2)/2)*AW84+(1-EXP(-LN(2)/2))/(LN(2)/2)*AQ85*AT85*VLOOKUP('Données projet'!$B$10,Paramètres!$A$1:$I$89,3,0)*0.475*44/12</f>
        <v>1.0005725752488357E-4</v>
      </c>
      <c r="AX85" s="21">
        <f t="shared" si="60"/>
        <v>66.712866046200759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6.4791666637500001</v>
      </c>
      <c r="BD85" s="12">
        <f>IF('Données projet'!$A$88&gt;35,BD84+BC85-BL84,IF(A85&lt;'Données projet'!$A$88,$BA$205^A85,IF(A85='Données projet'!$A$88,'Données projet'!$B$88,BD84+BC85-BL84)))</f>
        <v>207.30929483624996</v>
      </c>
      <c r="BE85" s="13">
        <f>BD85*VLOOKUP('Données projet'!$B$11,Paramètres!$A$1:$I$89,3,0)*VLOOKUP('Données projet'!$B$11,Paramètres!$A$1:$I$89,5,0)</f>
        <v>174.63734997005699</v>
      </c>
      <c r="BF85" s="13">
        <f t="shared" si="91"/>
        <v>44.127003303694217</v>
      </c>
      <c r="BG85" s="20">
        <f t="shared" si="61"/>
        <v>381.01458195178333</v>
      </c>
      <c r="BH85" s="59">
        <f t="shared" si="62"/>
        <v>674.34791528511664</v>
      </c>
      <c r="BI85" s="59">
        <f ca="1">AVERAGE(OFFSET($BH$3,0,0,'Données projet'!$E$11+1,1))-AVERAGE(OFFSET($H$3,0,0,'Données projet'!$E$11+1,1))</f>
        <v>179.55753939285887</v>
      </c>
      <c r="BJ85" s="59">
        <f t="shared" si="92"/>
        <v>147.29214162149162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19.195586235843997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19.195586235843997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-2.8421709430404007E-13</v>
      </c>
      <c r="O86" s="13">
        <f>N86*VLOOKUP('Données projet'!$B$9,Paramètres!$A$1:$I$89,3,0)*VLOOKUP('Données projet'!$B$9,Paramètres!$A$1:$I$89,5,0)</f>
        <v>-1.69961822393816E-13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195.14508560011791</v>
      </c>
      <c r="T86" s="59">
        <f t="shared" si="88"/>
        <v>285.1531413455931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48.564998714245505</v>
      </c>
      <c r="AA86" s="21">
        <f>EXP(-LN(2)/25)*AA85+(1-EXP(-LN(2)/25))/(LN(2)/25)*Calculateur!V86*Calculateur!X86*VLOOKUP('Données projet'!$B$9,Paramètres!$A$1:$I$89,3,0)*0.475*44/12</f>
        <v>16.70669987460478</v>
      </c>
      <c r="AB86" s="21">
        <f>EXP(-LN(2)/2)*AB85+(1-EXP(-LN(2)/2))/(LN(2)/2)*V86*Y86*VLOOKUP('Données projet'!$B$9,Paramètres!$A$1:$I$89,3,0)*0.475*44/12</f>
        <v>7.0751165302773884E-5</v>
      </c>
      <c r="AC86" s="22">
        <f t="shared" si="57"/>
        <v>65.271769340015581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-2.8421709430404007E-13</v>
      </c>
      <c r="AJ86" s="13">
        <f>AI86*VLOOKUP('Données projet'!$B$10,Paramètres!$A$1:$I$89,3,0)*VLOOKUP('Données projet'!$B$10,Paramètres!$A$1:$I$89,5,0)</f>
        <v>-1.69961822393816E-13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195.14508560011791</v>
      </c>
      <c r="AO86" s="59">
        <f t="shared" si="90"/>
        <v>285.1531413455931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48.564998714245505</v>
      </c>
      <c r="AV86" s="21">
        <f>EXP(-LN(2)/25)*AV85+(1-EXP(-LN(2)/25))/(LN(2)/25)*Calculateur!AQ86*Calculateur!AS86*VLOOKUP('Données projet'!$B$10,Paramètres!$A$1:$I$89,3,0)*0.475*44/12</f>
        <v>16.70669987460478</v>
      </c>
      <c r="AW86" s="21">
        <f>EXP(-LN(2)/2)*AW85+(1-EXP(-LN(2)/2))/(LN(2)/2)*AQ86*AT86*VLOOKUP('Données projet'!$B$10,Paramètres!$A$1:$I$89,3,0)*0.475*44/12</f>
        <v>7.0751165302773884E-5</v>
      </c>
      <c r="AX86" s="21">
        <f t="shared" si="60"/>
        <v>65.271769340015581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>
        <f>VLOOKUP(A86,'Données projet'!$A$87:$I$107,2,0)</f>
        <v>213.78846150000001</v>
      </c>
      <c r="BB86" s="12">
        <f>VLOOKUP(A86,'Données projet'!$A$87:$I$107,9,0)</f>
        <v>6.4791666637500001</v>
      </c>
      <c r="BC86" s="12">
        <f t="array" ref="BC86">INDEX(BB:BB,MIN(IF(ISNUMBER(BB86:BB282),ROW(BB86:BB282),"")))</f>
        <v>6.4791666637500001</v>
      </c>
      <c r="BD86" s="12">
        <f>IF('Données projet'!$A$88&gt;35,BD85+BC86-BL85,IF(A86&lt;'Données projet'!$A$88,$BA$205^A86,IF(A86='Données projet'!$A$88,'Données projet'!$B$88,BD85+BC86-BL85)))</f>
        <v>213.78846149999995</v>
      </c>
      <c r="BE86" s="13">
        <f>BD86*VLOOKUP('Données projet'!$B$11,Paramètres!$A$1:$I$89,3,0)*VLOOKUP('Données projet'!$B$11,Paramètres!$A$1:$I$89,5,0)</f>
        <v>180.09539996759997</v>
      </c>
      <c r="BF86" s="13">
        <f t="shared" si="91"/>
        <v>45.343410247146032</v>
      </c>
      <c r="BG86" s="20">
        <f t="shared" si="61"/>
        <v>392.63926112401595</v>
      </c>
      <c r="BH86" s="59">
        <f t="shared" si="62"/>
        <v>685.97259445734926</v>
      </c>
      <c r="BI86" s="59">
        <f ca="1">AVERAGE(OFFSET($BH$3,0,0,'Données projet'!$E$11+1,1))-AVERAGE(OFFSET($H$3,0,0,'Données projet'!$E$11+1,1))</f>
        <v>179.55753939285887</v>
      </c>
      <c r="BJ86" s="59">
        <f t="shared" si="92"/>
        <v>147.29214162149162</v>
      </c>
      <c r="BK86" s="15">
        <f>IF(ISNA(VLOOKUP(A86,'Données projet'!$A$87:$I$107,3,0)),0,VLOOKUP(A86,'Données projet'!$A$87:$I$107,3,0))</f>
        <v>7</v>
      </c>
      <c r="BL86" s="15">
        <f>IF(ISNA(VLOOKUP(A86,'Données projet'!$A$87:$I$107,4,0)),0,VLOOKUP(A86,'Données projet'!$A$87:$I$107,4,0))</f>
        <v>34.955128209999998</v>
      </c>
      <c r="BM86" s="16">
        <f>IF(ISNA(VLOOKUP(A86,'Données projet'!$A$87:$I$107,5,0)),0%,VLOOKUP(A86,'Données projet'!$A$87:$I$107,5,0)*VLOOKUP('Données projet'!$B$11,Paramètres!$A$1:$I$89,7,0))</f>
        <v>0.30099999999999999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28.617294968106961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28.617294968106961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-2.8421709430404007E-13</v>
      </c>
      <c r="O87" s="13">
        <f>N87*VLOOKUP('Données projet'!$B$9,Paramètres!$A$1:$I$89,3,0)*VLOOKUP('Données projet'!$B$9,Paramètres!$A$1:$I$89,5,0)</f>
        <v>-1.69961822393816E-13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195.14508560011791</v>
      </c>
      <c r="T87" s="59">
        <f t="shared" si="88"/>
        <v>285.1531413455931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47.612668711183467</v>
      </c>
      <c r="AA87" s="21">
        <f>EXP(-LN(2)/25)*AA86+(1-EXP(-LN(2)/25))/(LN(2)/25)*Calculateur!V87*Calculateur!X87*VLOOKUP('Données projet'!$B$9,Paramètres!$A$1:$I$89,3,0)*0.475*44/12</f>
        <v>16.249854287966549</v>
      </c>
      <c r="AB87" s="21">
        <f>EXP(-LN(2)/2)*AB86+(1-EXP(-LN(2)/2))/(LN(2)/2)*V87*Y87*VLOOKUP('Données projet'!$B$9,Paramètres!$A$1:$I$89,3,0)*0.475*44/12</f>
        <v>5.0028628762441787E-5</v>
      </c>
      <c r="AC87" s="22">
        <f t="shared" si="57"/>
        <v>63.86257302777878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-2.8421709430404007E-13</v>
      </c>
      <c r="AJ87" s="13">
        <f>AI87*VLOOKUP('Données projet'!$B$10,Paramètres!$A$1:$I$89,3,0)*VLOOKUP('Données projet'!$B$10,Paramètres!$A$1:$I$89,5,0)</f>
        <v>-1.69961822393816E-13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195.14508560011791</v>
      </c>
      <c r="AO87" s="59">
        <f t="shared" si="90"/>
        <v>285.1531413455931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47.612668711183467</v>
      </c>
      <c r="AV87" s="21">
        <f>EXP(-LN(2)/25)*AV86+(1-EXP(-LN(2)/25))/(LN(2)/25)*Calculateur!AQ87*Calculateur!AS87*VLOOKUP('Données projet'!$B$10,Paramètres!$A$1:$I$89,3,0)*0.475*44/12</f>
        <v>16.249854287966549</v>
      </c>
      <c r="AW87" s="21">
        <f>EXP(-LN(2)/2)*AW86+(1-EXP(-LN(2)/2))/(LN(2)/2)*AQ87*AT87*VLOOKUP('Données projet'!$B$10,Paramètres!$A$1:$I$89,3,0)*0.475*44/12</f>
        <v>5.0028628762441787E-5</v>
      </c>
      <c r="AX87" s="21">
        <f t="shared" si="60"/>
        <v>63.86257302777878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6.3076923109999994</v>
      </c>
      <c r="BD87" s="12">
        <f>IF('Données projet'!$A$88&gt;35,BD86+BC87-BL86,IF(A87&lt;'Données projet'!$A$88,$BA$205^A87,IF(A87='Données projet'!$A$88,'Données projet'!$B$88,BD86+BC87-BL86)))</f>
        <v>185.14102560099997</v>
      </c>
      <c r="BE87" s="13">
        <f>BD87*VLOOKUP('Données projet'!$B$11,Paramètres!$A$1:$I$89,3,0)*VLOOKUP('Données projet'!$B$11,Paramètres!$A$1:$I$89,5,0)</f>
        <v>155.9627999662824</v>
      </c>
      <c r="BF87" s="13">
        <f t="shared" si="91"/>
        <v>39.930563695696321</v>
      </c>
      <c r="BG87" s="20">
        <f t="shared" si="61"/>
        <v>341.18094171127962</v>
      </c>
      <c r="BH87" s="59">
        <f t="shared" si="62"/>
        <v>634.51427504461299</v>
      </c>
      <c r="BI87" s="59">
        <f ca="1">AVERAGE(OFFSET($BH$3,0,0,'Données projet'!$E$11+1,1))-AVERAGE(OFFSET($H$3,0,0,'Données projet'!$E$11+1,1))</f>
        <v>179.55753939285887</v>
      </c>
      <c r="BJ87" s="59">
        <f t="shared" si="92"/>
        <v>147.29214162149162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28.056127268608794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28.056127268608794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-2.8421709430404007E-13</v>
      </c>
      <c r="O88" s="13">
        <f>N88*VLOOKUP('Données projet'!$B$9,Paramètres!$A$1:$I$89,3,0)*VLOOKUP('Données projet'!$B$9,Paramètres!$A$1:$I$89,5,0)</f>
        <v>-1.69961822393816E-13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195.14508560011791</v>
      </c>
      <c r="T88" s="59">
        <f t="shared" si="88"/>
        <v>285.1531413455931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46.679013318617528</v>
      </c>
      <c r="AA88" s="21">
        <f>EXP(-LN(2)/25)*AA87+(1-EXP(-LN(2)/25))/(LN(2)/25)*Calculateur!V88*Calculateur!X88*VLOOKUP('Données projet'!$B$9,Paramètres!$A$1:$I$89,3,0)*0.475*44/12</f>
        <v>15.805501167919406</v>
      </c>
      <c r="AB88" s="21">
        <f>EXP(-LN(2)/2)*AB87+(1-EXP(-LN(2)/2))/(LN(2)/2)*V88*Y88*VLOOKUP('Données projet'!$B$9,Paramètres!$A$1:$I$89,3,0)*0.475*44/12</f>
        <v>3.5375582651386942E-5</v>
      </c>
      <c r="AC88" s="22">
        <f t="shared" si="57"/>
        <v>62.484549862119586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-2.8421709430404007E-13</v>
      </c>
      <c r="AJ88" s="13">
        <f>AI88*VLOOKUP('Données projet'!$B$10,Paramètres!$A$1:$I$89,3,0)*VLOOKUP('Données projet'!$B$10,Paramètres!$A$1:$I$89,5,0)</f>
        <v>-1.69961822393816E-13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195.14508560011791</v>
      </c>
      <c r="AO88" s="59">
        <f t="shared" si="90"/>
        <v>285.1531413455931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46.679013318617528</v>
      </c>
      <c r="AV88" s="21">
        <f>EXP(-LN(2)/25)*AV87+(1-EXP(-LN(2)/25))/(LN(2)/25)*Calculateur!AQ88*Calculateur!AS88*VLOOKUP('Données projet'!$B$10,Paramètres!$A$1:$I$89,3,0)*0.475*44/12</f>
        <v>15.805501167919406</v>
      </c>
      <c r="AW88" s="21">
        <f>EXP(-LN(2)/2)*AW87+(1-EXP(-LN(2)/2))/(LN(2)/2)*AQ88*AT88*VLOOKUP('Données projet'!$B$10,Paramètres!$A$1:$I$89,3,0)*0.475*44/12</f>
        <v>3.5375582651386942E-5</v>
      </c>
      <c r="AX88" s="21">
        <f t="shared" si="60"/>
        <v>62.484549862119586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6.3076923109999994</v>
      </c>
      <c r="BD88" s="12">
        <f>IF('Données projet'!$A$88&gt;35,BD87+BC88-BL87,IF(A88&lt;'Données projet'!$A$88,$BA$205^A88,IF(A88='Données projet'!$A$88,'Données projet'!$B$88,BD87+BC88-BL87)))</f>
        <v>191.44871791199998</v>
      </c>
      <c r="BE88" s="13">
        <f>BD88*VLOOKUP('Données projet'!$B$11,Paramètres!$A$1:$I$89,3,0)*VLOOKUP('Données projet'!$B$11,Paramètres!$A$1:$I$89,5,0)</f>
        <v>161.27639996906879</v>
      </c>
      <c r="BF88" s="13">
        <f t="shared" si="91"/>
        <v>41.130277710549876</v>
      </c>
      <c r="BG88" s="20">
        <f t="shared" si="61"/>
        <v>352.52496362533583</v>
      </c>
      <c r="BH88" s="59">
        <f t="shared" si="62"/>
        <v>645.85829695866914</v>
      </c>
      <c r="BI88" s="59">
        <f ca="1">AVERAGE(OFFSET($BH$3,0,0,'Données projet'!$E$11+1,1))-AVERAGE(OFFSET($H$3,0,0,'Données projet'!$E$11+1,1))</f>
        <v>179.55753939285887</v>
      </c>
      <c r="BJ88" s="59">
        <f t="shared" si="92"/>
        <v>147.29214162149162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27.505963725419285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27.505963725419285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-2.8421709430404007E-13</v>
      </c>
      <c r="O89" s="13">
        <f>N89*VLOOKUP('Données projet'!$B$9,Paramètres!$A$1:$I$89,3,0)*VLOOKUP('Données projet'!$B$9,Paramètres!$A$1:$I$89,5,0)</f>
        <v>-1.69961822393816E-13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195.14508560011791</v>
      </c>
      <c r="T89" s="59">
        <f t="shared" si="88"/>
        <v>285.1531413455931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45.763666338826248</v>
      </c>
      <c r="AA89" s="21">
        <f>EXP(-LN(2)/25)*AA88+(1-EXP(-LN(2)/25))/(LN(2)/25)*Calculateur!V89*Calculateur!X89*VLOOKUP('Données projet'!$B$9,Paramètres!$A$1:$I$89,3,0)*0.475*44/12</f>
        <v>15.373298907307467</v>
      </c>
      <c r="AB89" s="21">
        <f>EXP(-LN(2)/2)*AB88+(1-EXP(-LN(2)/2))/(LN(2)/2)*V89*Y89*VLOOKUP('Données projet'!$B$9,Paramètres!$A$1:$I$89,3,0)*0.475*44/12</f>
        <v>2.5014314381220893E-5</v>
      </c>
      <c r="AC89" s="22">
        <f t="shared" si="57"/>
        <v>61.136990260448094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-2.8421709430404007E-13</v>
      </c>
      <c r="AJ89" s="13">
        <f>AI89*VLOOKUP('Données projet'!$B$10,Paramètres!$A$1:$I$89,3,0)*VLOOKUP('Données projet'!$B$10,Paramètres!$A$1:$I$89,5,0)</f>
        <v>-1.69961822393816E-13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195.14508560011791</v>
      </c>
      <c r="AO89" s="59">
        <f t="shared" si="90"/>
        <v>285.1531413455931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45.763666338826248</v>
      </c>
      <c r="AV89" s="21">
        <f>EXP(-LN(2)/25)*AV88+(1-EXP(-LN(2)/25))/(LN(2)/25)*Calculateur!AQ89*Calculateur!AS89*VLOOKUP('Données projet'!$B$10,Paramètres!$A$1:$I$89,3,0)*0.475*44/12</f>
        <v>15.373298907307467</v>
      </c>
      <c r="AW89" s="21">
        <f>EXP(-LN(2)/2)*AW88+(1-EXP(-LN(2)/2))/(LN(2)/2)*AQ89*AT89*VLOOKUP('Données projet'!$B$10,Paramètres!$A$1:$I$89,3,0)*0.475*44/12</f>
        <v>2.5014314381220893E-5</v>
      </c>
      <c r="AX89" s="21">
        <f t="shared" si="60"/>
        <v>61.136990260448094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6.3076923109999994</v>
      </c>
      <c r="BD89" s="12">
        <f>IF('Données projet'!$A$88&gt;35,BD88+BC89-BL88,IF(A89&lt;'Données projet'!$A$88,$BA$205^A89,IF(A89='Données projet'!$A$88,'Données projet'!$B$88,BD88+BC89-BL88)))</f>
        <v>197.75641022299999</v>
      </c>
      <c r="BE89" s="13">
        <f>BD89*VLOOKUP('Données projet'!$B$11,Paramètres!$A$1:$I$89,3,0)*VLOOKUP('Données projet'!$B$11,Paramètres!$A$1:$I$89,5,0)</f>
        <v>166.58999997185521</v>
      </c>
      <c r="BF89" s="13">
        <f t="shared" si="91"/>
        <v>42.325398695618283</v>
      </c>
      <c r="BG89" s="20">
        <f t="shared" si="61"/>
        <v>363.86098601251632</v>
      </c>
      <c r="BH89" s="59">
        <f t="shared" si="62"/>
        <v>657.19431934584964</v>
      </c>
      <c r="BI89" s="59">
        <f ca="1">AVERAGE(OFFSET($BH$3,0,0,'Données projet'!$E$11+1,1))-AVERAGE(OFFSET($H$3,0,0,'Données projet'!$E$11+1,1))</f>
        <v>179.55753939285887</v>
      </c>
      <c r="BJ89" s="59">
        <f t="shared" si="92"/>
        <v>147.29214162149162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26.966588553745098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26.966588553745098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-2.8421709430404007E-13</v>
      </c>
      <c r="O90" s="13">
        <f>N90*VLOOKUP('Données projet'!$B$9,Paramètres!$A$1:$I$89,3,0)*VLOOKUP('Données projet'!$B$9,Paramètres!$A$1:$I$89,5,0)</f>
        <v>-1.69961822393816E-13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195.14508560011791</v>
      </c>
      <c r="T90" s="59">
        <f t="shared" si="88"/>
        <v>285.1531413455931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44.866268755002146</v>
      </c>
      <c r="AA90" s="21">
        <f>EXP(-LN(2)/25)*AA89+(1-EXP(-LN(2)/25))/(LN(2)/25)*Calculateur!V90*Calculateur!X90*VLOOKUP('Données projet'!$B$9,Paramètres!$A$1:$I$89,3,0)*0.475*44/12</f>
        <v>14.95291524024049</v>
      </c>
      <c r="AB90" s="21">
        <f>EXP(-LN(2)/2)*AB89+(1-EXP(-LN(2)/2))/(LN(2)/2)*V90*Y90*VLOOKUP('Données projet'!$B$9,Paramètres!$A$1:$I$89,3,0)*0.475*44/12</f>
        <v>1.7687791325693471E-5</v>
      </c>
      <c r="AC90" s="22">
        <f t="shared" si="57"/>
        <v>59.819201683033967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-2.8421709430404007E-13</v>
      </c>
      <c r="AJ90" s="13">
        <f>AI90*VLOOKUP('Données projet'!$B$10,Paramètres!$A$1:$I$89,3,0)*VLOOKUP('Données projet'!$B$10,Paramètres!$A$1:$I$89,5,0)</f>
        <v>-1.69961822393816E-13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195.14508560011791</v>
      </c>
      <c r="AO90" s="59">
        <f t="shared" si="90"/>
        <v>285.1531413455931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44.866268755002146</v>
      </c>
      <c r="AV90" s="21">
        <f>EXP(-LN(2)/25)*AV89+(1-EXP(-LN(2)/25))/(LN(2)/25)*Calculateur!AQ90*Calculateur!AS90*VLOOKUP('Données projet'!$B$10,Paramètres!$A$1:$I$89,3,0)*0.475*44/12</f>
        <v>14.95291524024049</v>
      </c>
      <c r="AW90" s="21">
        <f>EXP(-LN(2)/2)*AW89+(1-EXP(-LN(2)/2))/(LN(2)/2)*AQ90*AT90*VLOOKUP('Données projet'!$B$10,Paramètres!$A$1:$I$89,3,0)*0.475*44/12</f>
        <v>1.7687791325693471E-5</v>
      </c>
      <c r="AX90" s="21">
        <f t="shared" si="60"/>
        <v>59.819201683033967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6.3076923109999994</v>
      </c>
      <c r="BD90" s="12">
        <f>IF('Données projet'!$A$88&gt;35,BD89+BC90-BL89,IF(A90&lt;'Données projet'!$A$88,$BA$205^A90,IF(A90='Données projet'!$A$88,'Données projet'!$B$88,BD89+BC90-BL89)))</f>
        <v>204.064102534</v>
      </c>
      <c r="BE90" s="13">
        <f>BD90*VLOOKUP('Données projet'!$B$11,Paramètres!$A$1:$I$89,3,0)*VLOOKUP('Données projet'!$B$11,Paramètres!$A$1:$I$89,5,0)</f>
        <v>171.90359997464162</v>
      </c>
      <c r="BF90" s="13">
        <f t="shared" si="91"/>
        <v>43.516089957057645</v>
      </c>
      <c r="BG90" s="20">
        <f t="shared" si="61"/>
        <v>375.18929329770953</v>
      </c>
      <c r="BH90" s="59">
        <f t="shared" si="62"/>
        <v>668.52262663104284</v>
      </c>
      <c r="BI90" s="59">
        <f ca="1">AVERAGE(OFFSET($BH$3,0,0,'Données projet'!$E$11+1,1))-AVERAGE(OFFSET($H$3,0,0,'Données projet'!$E$11+1,1))</f>
        <v>179.55753939285887</v>
      </c>
      <c r="BJ90" s="59">
        <f t="shared" si="92"/>
        <v>147.29214162149162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26.437790200201068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26.437790200201068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-2.8421709430404007E-13</v>
      </c>
      <c r="O91" s="13">
        <f>N91*VLOOKUP('Données projet'!$B$9,Paramètres!$A$1:$I$89,3,0)*VLOOKUP('Données projet'!$B$9,Paramètres!$A$1:$I$89,5,0)</f>
        <v>-1.69961822393816E-13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195.14508560011791</v>
      </c>
      <c r="T91" s="59">
        <f t="shared" si="88"/>
        <v>285.1531413455931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43.986468590438356</v>
      </c>
      <c r="AA91" s="21">
        <f>EXP(-LN(2)/25)*AA90+(1-EXP(-LN(2)/25))/(LN(2)/25)*Calculateur!V91*Calculateur!X91*VLOOKUP('Données projet'!$B$9,Paramètres!$A$1:$I$89,3,0)*0.475*44/12</f>
        <v>14.544026986656476</v>
      </c>
      <c r="AB91" s="21">
        <f>EXP(-LN(2)/2)*AB90+(1-EXP(-LN(2)/2))/(LN(2)/2)*V91*Y91*VLOOKUP('Données projet'!$B$9,Paramètres!$A$1:$I$89,3,0)*0.475*44/12</f>
        <v>1.2507157190610447E-5</v>
      </c>
      <c r="AC91" s="22">
        <f t="shared" si="57"/>
        <v>58.53050808425202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-2.8421709430404007E-13</v>
      </c>
      <c r="AJ91" s="13">
        <f>AI91*VLOOKUP('Données projet'!$B$10,Paramètres!$A$1:$I$89,3,0)*VLOOKUP('Données projet'!$B$10,Paramètres!$A$1:$I$89,5,0)</f>
        <v>-1.69961822393816E-13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195.14508560011791</v>
      </c>
      <c r="AO91" s="59">
        <f t="shared" si="90"/>
        <v>285.1531413455931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43.986468590438356</v>
      </c>
      <c r="AV91" s="21">
        <f>EXP(-LN(2)/25)*AV90+(1-EXP(-LN(2)/25))/(LN(2)/25)*Calculateur!AQ91*Calculateur!AS91*VLOOKUP('Données projet'!$B$10,Paramètres!$A$1:$I$89,3,0)*0.475*44/12</f>
        <v>14.544026986656476</v>
      </c>
      <c r="AW91" s="21">
        <f>EXP(-LN(2)/2)*AW90+(1-EXP(-LN(2)/2))/(LN(2)/2)*AQ91*AT91*VLOOKUP('Données projet'!$B$10,Paramètres!$A$1:$I$89,3,0)*0.475*44/12</f>
        <v>1.2507157190610447E-5</v>
      </c>
      <c r="AX91" s="21">
        <f t="shared" si="60"/>
        <v>58.53050808425202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6.3076923109999994</v>
      </c>
      <c r="BD91" s="12">
        <f>IF('Données projet'!$A$88&gt;35,BD90+BC91-BL90,IF(A91&lt;'Données projet'!$A$88,$BA$205^A91,IF(A91='Données projet'!$A$88,'Données projet'!$B$88,BD90+BC91-BL90)))</f>
        <v>210.37179484500001</v>
      </c>
      <c r="BE91" s="13">
        <f>BD91*VLOOKUP('Données projet'!$B$11,Paramètres!$A$1:$I$89,3,0)*VLOOKUP('Données projet'!$B$11,Paramètres!$A$1:$I$89,5,0)</f>
        <v>177.21719997742801</v>
      </c>
      <c r="BF91" s="13">
        <f t="shared" si="91"/>
        <v>44.702504131797028</v>
      </c>
      <c r="BG91" s="20">
        <f t="shared" si="61"/>
        <v>386.51015132356696</v>
      </c>
      <c r="BH91" s="59">
        <f t="shared" si="62"/>
        <v>679.84348465690027</v>
      </c>
      <c r="BI91" s="59">
        <f ca="1">AVERAGE(OFFSET($BH$3,0,0,'Données projet'!$E$11+1,1))-AVERAGE(OFFSET($H$3,0,0,'Données projet'!$E$11+1,1))</f>
        <v>179.55753939285887</v>
      </c>
      <c r="BJ91" s="59">
        <f t="shared" si="92"/>
        <v>147.29214162149162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25.91936125983489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25.91936125983489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-2.8421709430404007E-13</v>
      </c>
      <c r="O92" s="13">
        <f>N92*VLOOKUP('Données projet'!$B$9,Paramètres!$A$1:$I$89,3,0)*VLOOKUP('Données projet'!$B$9,Paramètres!$A$1:$I$89,5,0)</f>
        <v>-1.69961822393816E-13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195.14508560011791</v>
      </c>
      <c r="T92" s="59">
        <f t="shared" si="88"/>
        <v>285.1531413455931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43.123920770476545</v>
      </c>
      <c r="AA92" s="21">
        <f>EXP(-LN(2)/25)*AA91+(1-EXP(-LN(2)/25))/(LN(2)/25)*Calculateur!V92*Calculateur!X92*VLOOKUP('Données projet'!$B$9,Paramètres!$A$1:$I$89,3,0)*0.475*44/12</f>
        <v>14.146319803869217</v>
      </c>
      <c r="AB92" s="21">
        <f>EXP(-LN(2)/2)*AB91+(1-EXP(-LN(2)/2))/(LN(2)/2)*V92*Y92*VLOOKUP('Données projet'!$B$9,Paramètres!$A$1:$I$89,3,0)*0.475*44/12</f>
        <v>8.8438956628467355E-6</v>
      </c>
      <c r="AC92" s="22">
        <f t="shared" si="57"/>
        <v>57.270249418241427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-2.8421709430404007E-13</v>
      </c>
      <c r="AJ92" s="13">
        <f>AI92*VLOOKUP('Données projet'!$B$10,Paramètres!$A$1:$I$89,3,0)*VLOOKUP('Données projet'!$B$10,Paramètres!$A$1:$I$89,5,0)</f>
        <v>-1.69961822393816E-13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195.14508560011791</v>
      </c>
      <c r="AO92" s="59">
        <f t="shared" si="90"/>
        <v>285.1531413455931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43.123920770476545</v>
      </c>
      <c r="AV92" s="21">
        <f>EXP(-LN(2)/25)*AV91+(1-EXP(-LN(2)/25))/(LN(2)/25)*Calculateur!AQ92*Calculateur!AS92*VLOOKUP('Données projet'!$B$10,Paramètres!$A$1:$I$89,3,0)*0.475*44/12</f>
        <v>14.146319803869217</v>
      </c>
      <c r="AW92" s="21">
        <f>EXP(-LN(2)/2)*AW91+(1-EXP(-LN(2)/2))/(LN(2)/2)*AQ92*AT92*VLOOKUP('Données projet'!$B$10,Paramètres!$A$1:$I$89,3,0)*0.475*44/12</f>
        <v>8.8438956628467355E-6</v>
      </c>
      <c r="AX92" s="21">
        <f t="shared" si="60"/>
        <v>57.270249418241427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6.3076923109999994</v>
      </c>
      <c r="BD92" s="12">
        <f>IF('Données projet'!$A$88&gt;35,BD91+BC92-BL91,IF(A92&lt;'Données projet'!$A$88,$BA$205^A92,IF(A92='Données projet'!$A$88,'Données projet'!$B$88,BD91+BC92-BL91)))</f>
        <v>216.67948715600002</v>
      </c>
      <c r="BE92" s="13">
        <f>BD92*VLOOKUP('Données projet'!$B$11,Paramètres!$A$1:$I$89,3,0)*VLOOKUP('Données projet'!$B$11,Paramètres!$A$1:$I$89,5,0)</f>
        <v>182.53079998021443</v>
      </c>
      <c r="BF92" s="13">
        <f t="shared" si="91"/>
        <v>45.884784183347655</v>
      </c>
      <c r="BG92" s="20">
        <f t="shared" si="61"/>
        <v>397.82380908487062</v>
      </c>
      <c r="BH92" s="59">
        <f t="shared" si="62"/>
        <v>691.15714241820388</v>
      </c>
      <c r="BI92" s="59">
        <f ca="1">AVERAGE(OFFSET($BH$3,0,0,'Données projet'!$E$11+1,1))-AVERAGE(OFFSET($H$3,0,0,'Données projet'!$E$11+1,1))</f>
        <v>179.55753939285887</v>
      </c>
      <c r="BJ92" s="59">
        <f t="shared" si="92"/>
        <v>147.29214162149162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25.411098394778861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25.411098394778861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-2.8421709430404007E-13</v>
      </c>
      <c r="O93" s="13">
        <f>N93*VLOOKUP('Données projet'!$B$9,Paramètres!$A$1:$I$89,3,0)*VLOOKUP('Données projet'!$B$9,Paramètres!$A$1:$I$89,5,0)</f>
        <v>-1.69961822393816E-13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195.14508560011791</v>
      </c>
      <c r="T93" s="59">
        <f t="shared" si="88"/>
        <v>285.1531413455931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42.278286987161962</v>
      </c>
      <c r="AA93" s="21">
        <f>EXP(-LN(2)/25)*AA92+(1-EXP(-LN(2)/25))/(LN(2)/25)*Calculateur!V93*Calculateur!X93*VLOOKUP('Données projet'!$B$9,Paramètres!$A$1:$I$89,3,0)*0.475*44/12</f>
        <v>13.759487944909786</v>
      </c>
      <c r="AB93" s="21">
        <f>EXP(-LN(2)/2)*AB92+(1-EXP(-LN(2)/2))/(LN(2)/2)*V93*Y93*VLOOKUP('Données projet'!$B$9,Paramètres!$A$1:$I$89,3,0)*0.475*44/12</f>
        <v>6.2535785953052233E-6</v>
      </c>
      <c r="AC93" s="22">
        <f t="shared" si="57"/>
        <v>56.037781185650346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-2.8421709430404007E-13</v>
      </c>
      <c r="AJ93" s="13">
        <f>AI93*VLOOKUP('Données projet'!$B$10,Paramètres!$A$1:$I$89,3,0)*VLOOKUP('Données projet'!$B$10,Paramètres!$A$1:$I$89,5,0)</f>
        <v>-1.69961822393816E-13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195.14508560011791</v>
      </c>
      <c r="AO93" s="59">
        <f t="shared" si="90"/>
        <v>285.1531413455931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42.278286987161962</v>
      </c>
      <c r="AV93" s="21">
        <f>EXP(-LN(2)/25)*AV92+(1-EXP(-LN(2)/25))/(LN(2)/25)*Calculateur!AQ93*Calculateur!AS93*VLOOKUP('Données projet'!$B$10,Paramètres!$A$1:$I$89,3,0)*0.475*44/12</f>
        <v>13.759487944909786</v>
      </c>
      <c r="AW93" s="21">
        <f>EXP(-LN(2)/2)*AW92+(1-EXP(-LN(2)/2))/(LN(2)/2)*AQ93*AT93*VLOOKUP('Données projet'!$B$10,Paramètres!$A$1:$I$89,3,0)*0.475*44/12</f>
        <v>6.2535785953052233E-6</v>
      </c>
      <c r="AX93" s="21">
        <f t="shared" si="60"/>
        <v>56.037781185650346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6.3076923109999994</v>
      </c>
      <c r="BD93" s="12">
        <f>IF('Données projet'!$A$88&gt;35,BD92+BC93-BL92,IF(A93&lt;'Données projet'!$A$88,$BA$205^A93,IF(A93='Données projet'!$A$88,'Données projet'!$B$88,BD92+BC93-BL92)))</f>
        <v>222.98717946700003</v>
      </c>
      <c r="BE93" s="13">
        <f>BD93*VLOOKUP('Données projet'!$B$11,Paramètres!$A$1:$I$89,3,0)*VLOOKUP('Données projet'!$B$11,Paramètres!$A$1:$I$89,5,0)</f>
        <v>187.84439998300087</v>
      </c>
      <c r="BF93" s="13">
        <f t="shared" si="91"/>
        <v>47.063064278398649</v>
      </c>
      <c r="BG93" s="20">
        <f t="shared" si="61"/>
        <v>409.13050025527082</v>
      </c>
      <c r="BH93" s="59">
        <f t="shared" si="62"/>
        <v>702.46383358860407</v>
      </c>
      <c r="BI93" s="59">
        <f ca="1">AVERAGE(OFFSET($BH$3,0,0,'Données projet'!$E$11+1,1))-AVERAGE(OFFSET($H$3,0,0,'Données projet'!$E$11+1,1))</f>
        <v>179.55753939285887</v>
      </c>
      <c r="BJ93" s="59">
        <f t="shared" si="92"/>
        <v>147.29214162149162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24.912802254496846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24.912802254496846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-2.8421709430404007E-13</v>
      </c>
      <c r="O94" s="13">
        <f>N94*VLOOKUP('Données projet'!$B$9,Paramètres!$A$1:$I$89,3,0)*VLOOKUP('Données projet'!$B$9,Paramètres!$A$1:$I$89,5,0)</f>
        <v>-1.69961822393816E-13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195.14508560011791</v>
      </c>
      <c r="T94" s="59">
        <f t="shared" si="88"/>
        <v>285.1531413455931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41.449235566552503</v>
      </c>
      <c r="AA94" s="21">
        <f>EXP(-LN(2)/25)*AA93+(1-EXP(-LN(2)/25))/(LN(2)/25)*Calculateur!V94*Calculateur!X94*VLOOKUP('Données projet'!$B$9,Paramètres!$A$1:$I$89,3,0)*0.475*44/12</f>
        <v>13.383234023476204</v>
      </c>
      <c r="AB94" s="21">
        <f>EXP(-LN(2)/2)*AB93+(1-EXP(-LN(2)/2))/(LN(2)/2)*V94*Y94*VLOOKUP('Données projet'!$B$9,Paramètres!$A$1:$I$89,3,0)*0.475*44/12</f>
        <v>4.4219478314233678E-6</v>
      </c>
      <c r="AC94" s="22">
        <f t="shared" si="57"/>
        <v>54.832474011976537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-2.8421709430404007E-13</v>
      </c>
      <c r="AJ94" s="13">
        <f>AI94*VLOOKUP('Données projet'!$B$10,Paramètres!$A$1:$I$89,3,0)*VLOOKUP('Données projet'!$B$10,Paramètres!$A$1:$I$89,5,0)</f>
        <v>-1.69961822393816E-13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195.14508560011791</v>
      </c>
      <c r="AO94" s="59">
        <f t="shared" si="90"/>
        <v>285.1531413455931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41.449235566552503</v>
      </c>
      <c r="AV94" s="21">
        <f>EXP(-LN(2)/25)*AV93+(1-EXP(-LN(2)/25))/(LN(2)/25)*Calculateur!AQ94*Calculateur!AS94*VLOOKUP('Données projet'!$B$10,Paramètres!$A$1:$I$89,3,0)*0.475*44/12</f>
        <v>13.383234023476204</v>
      </c>
      <c r="AW94" s="21">
        <f>EXP(-LN(2)/2)*AW93+(1-EXP(-LN(2)/2))/(LN(2)/2)*AQ94*AT94*VLOOKUP('Données projet'!$B$10,Paramètres!$A$1:$I$89,3,0)*0.475*44/12</f>
        <v>4.4219478314233678E-6</v>
      </c>
      <c r="AX94" s="21">
        <f t="shared" si="60"/>
        <v>54.832474011976537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6.3076923109999994</v>
      </c>
      <c r="BD94" s="12">
        <f>IF('Données projet'!$A$88&gt;35,BD93+BC94-BL93,IF(A94&lt;'Données projet'!$A$88,$BA$205^A94,IF(A94='Données projet'!$A$88,'Données projet'!$B$88,BD93+BC94-BL93)))</f>
        <v>229.29487177800004</v>
      </c>
      <c r="BE94" s="13">
        <f>BD94*VLOOKUP('Données projet'!$B$11,Paramètres!$A$1:$I$89,3,0)*VLOOKUP('Données projet'!$B$11,Paramètres!$A$1:$I$89,5,0)</f>
        <v>193.15799998578726</v>
      </c>
      <c r="BF94" s="13">
        <f t="shared" si="91"/>
        <v>48.237470561438968</v>
      </c>
      <c r="BG94" s="20">
        <f t="shared" si="61"/>
        <v>420.43044453641897</v>
      </c>
      <c r="BH94" s="59">
        <f t="shared" si="62"/>
        <v>713.76377786975229</v>
      </c>
      <c r="BI94" s="59">
        <f ca="1">AVERAGE(OFFSET($BH$3,0,0,'Données projet'!$E$11+1,1))-AVERAGE(OFFSET($H$3,0,0,'Données projet'!$E$11+1,1))</f>
        <v>179.55753939285887</v>
      </c>
      <c r="BJ94" s="59">
        <f t="shared" si="92"/>
        <v>147.29214162149162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24.424277397595127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24.424277397595127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-2.8421709430404007E-13</v>
      </c>
      <c r="O95" s="13">
        <f>N95*VLOOKUP('Données projet'!$B$9,Paramètres!$A$1:$I$89,3,0)*VLOOKUP('Données projet'!$B$9,Paramètres!$A$1:$I$89,5,0)</f>
        <v>-1.69961822393816E-13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195.14508560011791</v>
      </c>
      <c r="T95" s="59">
        <f t="shared" si="88"/>
        <v>285.1531413455931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40.636441338629758</v>
      </c>
      <c r="AA95" s="21">
        <f>EXP(-LN(2)/25)*AA94+(1-EXP(-LN(2)/25))/(LN(2)/25)*Calculateur!V95*Calculateur!X95*VLOOKUP('Données projet'!$B$9,Paramètres!$A$1:$I$89,3,0)*0.475*44/12</f>
        <v>13.017268785310558</v>
      </c>
      <c r="AB95" s="21">
        <f>EXP(-LN(2)/2)*AB94+(1-EXP(-LN(2)/2))/(LN(2)/2)*V95*Y95*VLOOKUP('Données projet'!$B$9,Paramètres!$A$1:$I$89,3,0)*0.475*44/12</f>
        <v>3.1267892976526117E-6</v>
      </c>
      <c r="AC95" s="22">
        <f t="shared" si="57"/>
        <v>53.653713250729609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-2.8421709430404007E-13</v>
      </c>
      <c r="AJ95" s="13">
        <f>AI95*VLOOKUP('Données projet'!$B$10,Paramètres!$A$1:$I$89,3,0)*VLOOKUP('Données projet'!$B$10,Paramètres!$A$1:$I$89,5,0)</f>
        <v>-1.69961822393816E-13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195.14508560011791</v>
      </c>
      <c r="AO95" s="59">
        <f t="shared" si="90"/>
        <v>285.1531413455931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40.636441338629758</v>
      </c>
      <c r="AV95" s="21">
        <f>EXP(-LN(2)/25)*AV94+(1-EXP(-LN(2)/25))/(LN(2)/25)*Calculateur!AQ95*Calculateur!AS95*VLOOKUP('Données projet'!$B$10,Paramètres!$A$1:$I$89,3,0)*0.475*44/12</f>
        <v>13.017268785310558</v>
      </c>
      <c r="AW95" s="21">
        <f>EXP(-LN(2)/2)*AW94+(1-EXP(-LN(2)/2))/(LN(2)/2)*AQ95*AT95*VLOOKUP('Données projet'!$B$10,Paramètres!$A$1:$I$89,3,0)*0.475*44/12</f>
        <v>3.1267892976526117E-6</v>
      </c>
      <c r="AX95" s="21">
        <f t="shared" si="60"/>
        <v>53.653713250729609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6.3076923109999994</v>
      </c>
      <c r="BD95" s="12">
        <f>IF('Données projet'!$A$88&gt;35,BD94+BC95-BL94,IF(A95&lt;'Données projet'!$A$88,$BA$205^A95,IF(A95='Données projet'!$A$88,'Données projet'!$B$88,BD94+BC95-BL94)))</f>
        <v>235.60256408900005</v>
      </c>
      <c r="BE95" s="13">
        <f>BD95*VLOOKUP('Données projet'!$B$11,Paramètres!$A$1:$I$89,3,0)*VLOOKUP('Données projet'!$B$11,Paramètres!$A$1:$I$89,5,0)</f>
        <v>198.47159998857367</v>
      </c>
      <c r="BF95" s="13">
        <f t="shared" si="91"/>
        <v>49.408121841745718</v>
      </c>
      <c r="BG95" s="20">
        <f t="shared" si="61"/>
        <v>431.72384885447292</v>
      </c>
      <c r="BH95" s="59">
        <f t="shared" si="62"/>
        <v>725.05718218780623</v>
      </c>
      <c r="BI95" s="59">
        <f ca="1">AVERAGE(OFFSET($BH$3,0,0,'Données projet'!$E$11+1,1))-AVERAGE(OFFSET($H$3,0,0,'Données projet'!$E$11+1,1))</f>
        <v>179.55753939285887</v>
      </c>
      <c r="BJ95" s="59">
        <f t="shared" si="92"/>
        <v>147.29214162149162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23.945332215166509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23.945332215166509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-2.8421709430404007E-13</v>
      </c>
      <c r="O96" s="13">
        <f>N96*VLOOKUP('Données projet'!$B$9,Paramètres!$A$1:$I$89,3,0)*VLOOKUP('Données projet'!$B$9,Paramètres!$A$1:$I$89,5,0)</f>
        <v>-1.69961822393816E-13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195.14508560011791</v>
      </c>
      <c r="T96" s="59">
        <f t="shared" si="88"/>
        <v>285.1531413455931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39.839585509761051</v>
      </c>
      <c r="AA96" s="21">
        <f>EXP(-LN(2)/25)*AA95+(1-EXP(-LN(2)/25))/(LN(2)/25)*Calculateur!V96*Calculateur!X96*VLOOKUP('Données projet'!$B$9,Paramètres!$A$1:$I$89,3,0)*0.475*44/12</f>
        <v>12.661310885827826</v>
      </c>
      <c r="AB96" s="21">
        <f>EXP(-LN(2)/2)*AB95+(1-EXP(-LN(2)/2))/(LN(2)/2)*V96*Y96*VLOOKUP('Données projet'!$B$9,Paramètres!$A$1:$I$89,3,0)*0.475*44/12</f>
        <v>2.2109739157116839E-6</v>
      </c>
      <c r="AC96" s="22">
        <f t="shared" si="57"/>
        <v>52.500898606562792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-2.8421709430404007E-13</v>
      </c>
      <c r="AJ96" s="13">
        <f>AI96*VLOOKUP('Données projet'!$B$10,Paramètres!$A$1:$I$89,3,0)*VLOOKUP('Données projet'!$B$10,Paramètres!$A$1:$I$89,5,0)</f>
        <v>-1.69961822393816E-13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195.14508560011791</v>
      </c>
      <c r="AO96" s="59">
        <f t="shared" si="90"/>
        <v>285.1531413455931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39.839585509761051</v>
      </c>
      <c r="AV96" s="21">
        <f>EXP(-LN(2)/25)*AV95+(1-EXP(-LN(2)/25))/(LN(2)/25)*Calculateur!AQ96*Calculateur!AS96*VLOOKUP('Données projet'!$B$10,Paramètres!$A$1:$I$89,3,0)*0.475*44/12</f>
        <v>12.661310885827826</v>
      </c>
      <c r="AW96" s="21">
        <f>EXP(-LN(2)/2)*AW95+(1-EXP(-LN(2)/2))/(LN(2)/2)*AQ96*AT96*VLOOKUP('Données projet'!$B$10,Paramètres!$A$1:$I$89,3,0)*0.475*44/12</f>
        <v>2.2109739157116839E-6</v>
      </c>
      <c r="AX96" s="21">
        <f t="shared" si="60"/>
        <v>52.500898606562792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>
        <f>VLOOKUP(A96,'Données projet'!$A$87:$I$107,2,0)</f>
        <v>241.91025640000001</v>
      </c>
      <c r="BB96" s="12">
        <f>VLOOKUP(A96,'Données projet'!$A$87:$I$107,9,0)</f>
        <v>6.3076923109999994</v>
      </c>
      <c r="BC96" s="12">
        <f t="array" ref="BC96">INDEX(BB:BB,MIN(IF(ISNUMBER(BB96:BB292),ROW(BB96:BB292),"")))</f>
        <v>6.3076923109999994</v>
      </c>
      <c r="BD96" s="12">
        <f>IF('Données projet'!$A$88&gt;35,BD95+BC96-BL95,IF(A96&lt;'Données projet'!$A$88,$BA$205^A96,IF(A96='Données projet'!$A$88,'Données projet'!$B$88,BD95+BC96-BL95)))</f>
        <v>241.91025640000007</v>
      </c>
      <c r="BE96" s="13">
        <f>BD96*VLOOKUP('Données projet'!$B$11,Paramètres!$A$1:$I$89,3,0)*VLOOKUP('Données projet'!$B$11,Paramètres!$A$1:$I$89,5,0)</f>
        <v>203.78519999136009</v>
      </c>
      <c r="BF96" s="13">
        <f t="shared" si="91"/>
        <v>50.575130204734272</v>
      </c>
      <c r="BG96" s="20">
        <f t="shared" si="61"/>
        <v>443.01090842486434</v>
      </c>
      <c r="BH96" s="59">
        <f t="shared" si="62"/>
        <v>736.34424175819765</v>
      </c>
      <c r="BI96" s="59">
        <f ca="1">AVERAGE(OFFSET($BH$3,0,0,'Données projet'!$E$11+1,1))-AVERAGE(OFFSET($H$3,0,0,'Données projet'!$E$11+1,1))</f>
        <v>179.55753939285887</v>
      </c>
      <c r="BJ96" s="59">
        <f t="shared" si="92"/>
        <v>147.29214162149162</v>
      </c>
      <c r="BK96" s="15">
        <f>IF(ISNA(VLOOKUP(A96,'Données projet'!$A$87:$I$107,3,0)),0,VLOOKUP(A96,'Données projet'!$A$87:$I$107,3,0))</f>
        <v>8</v>
      </c>
      <c r="BL96" s="15">
        <f>IF(ISNA(VLOOKUP(A96,'Données projet'!$A$87:$I$107,4,0)),0,VLOOKUP(A96,'Données projet'!$A$87:$I$107,4,0))</f>
        <v>46.82692308</v>
      </c>
      <c r="BM96" s="16">
        <f>IF(ISNA(VLOOKUP(A96,'Données projet'!$A$87:$I$107,5,0)),0%,VLOOKUP(A96,'Données projet'!$A$87:$I$107,5,0)*VLOOKUP('Données projet'!$B$11,Paramètres!$A$1:$I$89,7,0))</f>
        <v>0.38700000000000001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40.351877510522343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40.351877510522343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-2.8421709430404007E-13</v>
      </c>
      <c r="O97" s="13">
        <f>N97*VLOOKUP('Données projet'!$B$9,Paramètres!$A$1:$I$89,3,0)*VLOOKUP('Données projet'!$B$9,Paramètres!$A$1:$I$89,5,0)</f>
        <v>-1.69961822393816E-13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195.14508560011791</v>
      </c>
      <c r="T97" s="59">
        <f t="shared" si="88"/>
        <v>285.1531413455931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39.058355537662393</v>
      </c>
      <c r="AA97" s="21">
        <f>EXP(-LN(2)/25)*AA96+(1-EXP(-LN(2)/25))/(LN(2)/25)*Calculateur!V97*Calculateur!X97*VLOOKUP('Données projet'!$B$9,Paramètres!$A$1:$I$89,3,0)*0.475*44/12</f>
        <v>12.315086673825462</v>
      </c>
      <c r="AB97" s="21">
        <f>EXP(-LN(2)/2)*AB96+(1-EXP(-LN(2)/2))/(LN(2)/2)*V97*Y97*VLOOKUP('Données projet'!$B$9,Paramètres!$A$1:$I$89,3,0)*0.475*44/12</f>
        <v>1.5633946488263058E-6</v>
      </c>
      <c r="AC97" s="22">
        <f t="shared" si="57"/>
        <v>51.373443774882503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-2.8421709430404007E-13</v>
      </c>
      <c r="AJ97" s="13">
        <f>AI97*VLOOKUP('Données projet'!$B$10,Paramètres!$A$1:$I$89,3,0)*VLOOKUP('Données projet'!$B$10,Paramètres!$A$1:$I$89,5,0)</f>
        <v>-1.69961822393816E-13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195.14508560011791</v>
      </c>
      <c r="AO97" s="59">
        <f t="shared" si="90"/>
        <v>285.1531413455931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39.058355537662393</v>
      </c>
      <c r="AV97" s="21">
        <f>EXP(-LN(2)/25)*AV96+(1-EXP(-LN(2)/25))/(LN(2)/25)*Calculateur!AQ97*Calculateur!AS97*VLOOKUP('Données projet'!$B$10,Paramètres!$A$1:$I$89,3,0)*0.475*44/12</f>
        <v>12.315086673825462</v>
      </c>
      <c r="AW97" s="21">
        <f>EXP(-LN(2)/2)*AW96+(1-EXP(-LN(2)/2))/(LN(2)/2)*AQ97*AT97*VLOOKUP('Données projet'!$B$10,Paramètres!$A$1:$I$89,3,0)*0.475*44/12</f>
        <v>1.5633946488263058E-6</v>
      </c>
      <c r="AX97" s="21">
        <f t="shared" si="60"/>
        <v>51.373443774882503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6.0948717979999971</v>
      </c>
      <c r="BD97" s="12">
        <f>IF('Données projet'!$A$88&gt;35,BD96+BC97-BL96,IF(A97&lt;'Données projet'!$A$88,$BA$205^A97,IF(A97='Données projet'!$A$88,'Données projet'!$B$88,BD96+BC97-BL96)))</f>
        <v>201.17820511800005</v>
      </c>
      <c r="BE97" s="13">
        <f>BD97*VLOOKUP('Données projet'!$B$11,Paramètres!$A$1:$I$89,3,0)*VLOOKUP('Données projet'!$B$11,Paramètres!$A$1:$I$89,5,0)</f>
        <v>169.47251999140326</v>
      </c>
      <c r="BF97" s="13">
        <f t="shared" si="91"/>
        <v>42.971864251809002</v>
      </c>
      <c r="BG97" s="20">
        <f t="shared" si="61"/>
        <v>370.00730255692798</v>
      </c>
      <c r="BH97" s="59">
        <f t="shared" si="62"/>
        <v>663.3406358902613</v>
      </c>
      <c r="BI97" s="59">
        <f ca="1">AVERAGE(OFFSET($BH$3,0,0,'Données projet'!$E$11+1,1))-AVERAGE(OFFSET($H$3,0,0,'Données projet'!$E$11+1,1))</f>
        <v>179.55753939285887</v>
      </c>
      <c r="BJ97" s="59">
        <f t="shared" si="92"/>
        <v>147.29214162149162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39.560601804756026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39.560601804756026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-2.8421709430404007E-13</v>
      </c>
      <c r="O98" s="13">
        <f>N98*VLOOKUP('Données projet'!$B$9,Paramètres!$A$1:$I$89,3,0)*VLOOKUP('Données projet'!$B$9,Paramètres!$A$1:$I$89,5,0)</f>
        <v>-1.69961822393816E-13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195.14508560011791</v>
      </c>
      <c r="T98" s="59">
        <f t="shared" si="88"/>
        <v>285.1531413455931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38.29244500881336</v>
      </c>
      <c r="AA98" s="21">
        <f>EXP(-LN(2)/25)*AA97+(1-EXP(-LN(2)/25))/(LN(2)/25)*Calculateur!V98*Calculateur!X98*VLOOKUP('Données projet'!$B$9,Paramètres!$A$1:$I$89,3,0)*0.475*44/12</f>
        <v>11.978329981107443</v>
      </c>
      <c r="AB98" s="21">
        <f>EXP(-LN(2)/2)*AB97+(1-EXP(-LN(2)/2))/(LN(2)/2)*V98*Y98*VLOOKUP('Données projet'!$B$9,Paramètres!$A$1:$I$89,3,0)*0.475*44/12</f>
        <v>1.1054869578558419E-6</v>
      </c>
      <c r="AC98" s="22">
        <f t="shared" si="57"/>
        <v>50.270776095407761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-2.8421709430404007E-13</v>
      </c>
      <c r="AJ98" s="13">
        <f>AI98*VLOOKUP('Données projet'!$B$10,Paramètres!$A$1:$I$89,3,0)*VLOOKUP('Données projet'!$B$10,Paramètres!$A$1:$I$89,5,0)</f>
        <v>-1.69961822393816E-13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195.14508560011791</v>
      </c>
      <c r="AO98" s="59">
        <f t="shared" si="90"/>
        <v>285.1531413455931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38.29244500881336</v>
      </c>
      <c r="AV98" s="21">
        <f>EXP(-LN(2)/25)*AV97+(1-EXP(-LN(2)/25))/(LN(2)/25)*Calculateur!AQ98*Calculateur!AS98*VLOOKUP('Données projet'!$B$10,Paramètres!$A$1:$I$89,3,0)*0.475*44/12</f>
        <v>11.978329981107443</v>
      </c>
      <c r="AW98" s="21">
        <f>EXP(-LN(2)/2)*AW97+(1-EXP(-LN(2)/2))/(LN(2)/2)*AQ98*AT98*VLOOKUP('Données projet'!$B$10,Paramètres!$A$1:$I$89,3,0)*0.475*44/12</f>
        <v>1.1054869578558419E-6</v>
      </c>
      <c r="AX98" s="21">
        <f t="shared" si="60"/>
        <v>50.270776095407761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6.0948717979999971</v>
      </c>
      <c r="BD98" s="12">
        <f>IF('Données projet'!$A$88&gt;35,BD97+BC98-BL97,IF(A98&lt;'Données projet'!$A$88,$BA$205^A98,IF(A98='Données projet'!$A$88,'Données projet'!$B$88,BD97+BC98-BL97)))</f>
        <v>207.27307691600004</v>
      </c>
      <c r="BE98" s="13">
        <f>BD98*VLOOKUP('Données projet'!$B$11,Paramètres!$A$1:$I$89,3,0)*VLOOKUP('Données projet'!$B$11,Paramètres!$A$1:$I$89,5,0)</f>
        <v>174.60683999403847</v>
      </c>
      <c r="BF98" s="13">
        <f t="shared" si="91"/>
        <v>44.120191387563786</v>
      </c>
      <c r="BG98" s="20">
        <f t="shared" si="61"/>
        <v>380.94957965629055</v>
      </c>
      <c r="BH98" s="59">
        <f t="shared" si="62"/>
        <v>674.28291298962381</v>
      </c>
      <c r="BI98" s="59">
        <f ca="1">AVERAGE(OFFSET($BH$3,0,0,'Données projet'!$E$11+1,1))-AVERAGE(OFFSET($H$3,0,0,'Données projet'!$E$11+1,1))</f>
        <v>179.55753939285887</v>
      </c>
      <c r="BJ98" s="59">
        <f t="shared" si="92"/>
        <v>147.29214162149162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38.784842532949263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38.784842532949263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-2.8421709430404007E-13</v>
      </c>
      <c r="O99" s="13">
        <f>N99*VLOOKUP('Données projet'!$B$9,Paramètres!$A$1:$I$89,3,0)*VLOOKUP('Données projet'!$B$9,Paramètres!$A$1:$I$89,5,0)</f>
        <v>-1.69961822393816E-13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195.14508560011791</v>
      </c>
      <c r="T99" s="59">
        <f t="shared" si="88"/>
        <v>285.1531413455931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37.541553518275762</v>
      </c>
      <c r="AA99" s="21">
        <f>EXP(-LN(2)/25)*AA98+(1-EXP(-LN(2)/25))/(LN(2)/25)*Calculateur!V99*Calculateur!X99*VLOOKUP('Données projet'!$B$9,Paramètres!$A$1:$I$89,3,0)*0.475*44/12</f>
        <v>11.650781917861062</v>
      </c>
      <c r="AB99" s="21">
        <f>EXP(-LN(2)/2)*AB98+(1-EXP(-LN(2)/2))/(LN(2)/2)*V99*Y99*VLOOKUP('Données projet'!$B$9,Paramètres!$A$1:$I$89,3,0)*0.475*44/12</f>
        <v>7.8169732441315292E-7</v>
      </c>
      <c r="AC99" s="22">
        <f t="shared" si="57"/>
        <v>49.192336217834146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-2.8421709430404007E-13</v>
      </c>
      <c r="AJ99" s="13">
        <f>AI99*VLOOKUP('Données projet'!$B$10,Paramètres!$A$1:$I$89,3,0)*VLOOKUP('Données projet'!$B$10,Paramètres!$A$1:$I$89,5,0)</f>
        <v>-1.69961822393816E-13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195.14508560011791</v>
      </c>
      <c r="AO99" s="59">
        <f t="shared" si="90"/>
        <v>285.1531413455931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37.541553518275762</v>
      </c>
      <c r="AV99" s="21">
        <f>EXP(-LN(2)/25)*AV98+(1-EXP(-LN(2)/25))/(LN(2)/25)*Calculateur!AQ99*Calculateur!AS99*VLOOKUP('Données projet'!$B$10,Paramètres!$A$1:$I$89,3,0)*0.475*44/12</f>
        <v>11.650781917861062</v>
      </c>
      <c r="AW99" s="21">
        <f>EXP(-LN(2)/2)*AW98+(1-EXP(-LN(2)/2))/(LN(2)/2)*AQ99*AT99*VLOOKUP('Données projet'!$B$10,Paramètres!$A$1:$I$89,3,0)*0.475*44/12</f>
        <v>7.8169732441315292E-7</v>
      </c>
      <c r="AX99" s="21">
        <f t="shared" si="60"/>
        <v>49.192336217834146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6.0948717979999971</v>
      </c>
      <c r="BD99" s="12">
        <f>IF('Données projet'!$A$88&gt;35,BD98+BC99-BL98,IF(A99&lt;'Données projet'!$A$88,$BA$205^A99,IF(A99='Données projet'!$A$88,'Données projet'!$B$88,BD98+BC99-BL98)))</f>
        <v>213.36794871400002</v>
      </c>
      <c r="BE99" s="13">
        <f>BD99*VLOOKUP('Données projet'!$B$11,Paramètres!$A$1:$I$89,3,0)*VLOOKUP('Données projet'!$B$11,Paramètres!$A$1:$I$89,5,0)</f>
        <v>179.74115999667364</v>
      </c>
      <c r="BF99" s="13">
        <f t="shared" si="91"/>
        <v>45.264594212527712</v>
      </c>
      <c r="BG99" s="20">
        <f t="shared" si="61"/>
        <v>391.88502191435902</v>
      </c>
      <c r="BH99" s="59">
        <f t="shared" si="62"/>
        <v>685.21835524769233</v>
      </c>
      <c r="BI99" s="59">
        <f ca="1">AVERAGE(OFFSET($BH$3,0,0,'Données projet'!$E$11+1,1))-AVERAGE(OFFSET($H$3,0,0,'Données projet'!$E$11+1,1))</f>
        <v>179.55753939285887</v>
      </c>
      <c r="BJ99" s="59">
        <f t="shared" si="92"/>
        <v>147.29214162149162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38.024295427296195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38.024295427296195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-2.8421709430404007E-13</v>
      </c>
      <c r="O100" s="13">
        <f>N100*VLOOKUP('Données projet'!$B$9,Paramètres!$A$1:$I$89,3,0)*VLOOKUP('Données projet'!$B$9,Paramètres!$A$1:$I$89,5,0)</f>
        <v>-1.69961822393816E-13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195.14508560011791</v>
      </c>
      <c r="T100" s="59">
        <f t="shared" si="88"/>
        <v>285.1531413455931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36.80538655186902</v>
      </c>
      <c r="AA100" s="21">
        <f>EXP(-LN(2)/25)*AA99+(1-EXP(-LN(2)/25))/(LN(2)/25)*Calculateur!V100*Calculateur!X100*VLOOKUP('Données projet'!$B$9,Paramètres!$A$1:$I$89,3,0)*0.475*44/12</f>
        <v>11.332190673629158</v>
      </c>
      <c r="AB100" s="21">
        <f>EXP(-LN(2)/2)*AB99+(1-EXP(-LN(2)/2))/(LN(2)/2)*V100*Y100*VLOOKUP('Données projet'!$B$9,Paramètres!$A$1:$I$89,3,0)*0.475*44/12</f>
        <v>5.5274347892792097E-7</v>
      </c>
      <c r="AC100" s="22">
        <f t="shared" si="57"/>
        <v>48.137577778241656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-2.8421709430404007E-13</v>
      </c>
      <c r="AJ100" s="13">
        <f>AI100*VLOOKUP('Données projet'!$B$10,Paramètres!$A$1:$I$89,3,0)*VLOOKUP('Données projet'!$B$10,Paramètres!$A$1:$I$89,5,0)</f>
        <v>-1.69961822393816E-13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195.14508560011791</v>
      </c>
      <c r="AO100" s="59">
        <f t="shared" si="90"/>
        <v>285.1531413455931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36.80538655186902</v>
      </c>
      <c r="AV100" s="21">
        <f>EXP(-LN(2)/25)*AV99+(1-EXP(-LN(2)/25))/(LN(2)/25)*Calculateur!AQ100*Calculateur!AS100*VLOOKUP('Données projet'!$B$10,Paramètres!$A$1:$I$89,3,0)*0.475*44/12</f>
        <v>11.332190673629158</v>
      </c>
      <c r="AW100" s="21">
        <f>EXP(-LN(2)/2)*AW99+(1-EXP(-LN(2)/2))/(LN(2)/2)*AQ100*AT100*VLOOKUP('Données projet'!$B$10,Paramètres!$A$1:$I$89,3,0)*0.475*44/12</f>
        <v>5.5274347892792097E-7</v>
      </c>
      <c r="AX100" s="21">
        <f t="shared" si="60"/>
        <v>48.137577778241656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6.0948717979999971</v>
      </c>
      <c r="BD100" s="12">
        <f>IF('Données projet'!$A$88&gt;35,BD99+BC100-BL99,IF(A100&lt;'Données projet'!$A$88,$BA$205^A100,IF(A100='Données projet'!$A$88,'Données projet'!$B$88,BD99+BC100-BL99)))</f>
        <v>219.46282051200001</v>
      </c>
      <c r="BE100" s="13">
        <f>BD100*VLOOKUP('Données projet'!$B$11,Paramètres!$A$1:$I$89,3,0)*VLOOKUP('Données projet'!$B$11,Paramètres!$A$1:$I$89,5,0)</f>
        <v>184.87547999930882</v>
      </c>
      <c r="BF100" s="13">
        <f t="shared" si="91"/>
        <v>46.405197699790932</v>
      </c>
      <c r="BG100" s="20">
        <f t="shared" si="61"/>
        <v>402.81384699259871</v>
      </c>
      <c r="BH100" s="59">
        <f t="shared" si="62"/>
        <v>696.14718032593203</v>
      </c>
      <c r="BI100" s="59">
        <f ca="1">AVERAGE(OFFSET($BH$3,0,0,'Données projet'!$E$11+1,1))-AVERAGE(OFFSET($H$3,0,0,'Données projet'!$E$11+1,1))</f>
        <v>179.55753939285887</v>
      </c>
      <c r="BJ100" s="59">
        <f t="shared" si="92"/>
        <v>147.29214162149162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37.278662186497058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37.278662186497058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-2.8421709430404007E-13</v>
      </c>
      <c r="O101" s="13">
        <f>N101*VLOOKUP('Données projet'!$B$9,Paramètres!$A$1:$I$89,3,0)*VLOOKUP('Données projet'!$B$9,Paramètres!$A$1:$I$89,5,0)</f>
        <v>-1.69961822393816E-13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195.14508560011791</v>
      </c>
      <c r="T101" s="59">
        <f t="shared" si="88"/>
        <v>285.1531413455931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36.083655370656004</v>
      </c>
      <c r="AA101" s="21">
        <f>EXP(-LN(2)/25)*AA100+(1-EXP(-LN(2)/25))/(LN(2)/25)*Calculateur!V101*Calculateur!X101*VLOOKUP('Données projet'!$B$9,Paramètres!$A$1:$I$89,3,0)*0.475*44/12</f>
        <v>11.022311323724761</v>
      </c>
      <c r="AB101" s="21">
        <f>EXP(-LN(2)/2)*AB100+(1-EXP(-LN(2)/2))/(LN(2)/2)*V101*Y101*VLOOKUP('Données projet'!$B$9,Paramètres!$A$1:$I$89,3,0)*0.475*44/12</f>
        <v>3.9084866220657646E-7</v>
      </c>
      <c r="AC101" s="22">
        <f t="shared" si="57"/>
        <v>47.10596708522943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-2.8421709430404007E-13</v>
      </c>
      <c r="AJ101" s="13">
        <f>AI101*VLOOKUP('Données projet'!$B$10,Paramètres!$A$1:$I$89,3,0)*VLOOKUP('Données projet'!$B$10,Paramètres!$A$1:$I$89,5,0)</f>
        <v>-1.69961822393816E-13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195.14508560011791</v>
      </c>
      <c r="AO101" s="59">
        <f t="shared" si="90"/>
        <v>285.1531413455931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36.083655370656004</v>
      </c>
      <c r="AV101" s="21">
        <f>EXP(-LN(2)/25)*AV100+(1-EXP(-LN(2)/25))/(LN(2)/25)*Calculateur!AQ101*Calculateur!AS101*VLOOKUP('Données projet'!$B$10,Paramètres!$A$1:$I$89,3,0)*0.475*44/12</f>
        <v>11.022311323724761</v>
      </c>
      <c r="AW101" s="21">
        <f>EXP(-LN(2)/2)*AW100+(1-EXP(-LN(2)/2))/(LN(2)/2)*AQ101*AT101*VLOOKUP('Données projet'!$B$10,Paramètres!$A$1:$I$89,3,0)*0.475*44/12</f>
        <v>3.9084866220657646E-7</v>
      </c>
      <c r="AX101" s="21">
        <f t="shared" si="60"/>
        <v>47.10596708522943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6.0948717979999971</v>
      </c>
      <c r="BD101" s="12">
        <f>IF('Données projet'!$A$88&gt;35,BD100+BC101-BL100,IF(A101&lt;'Données projet'!$A$88,$BA$205^A101,IF(A101='Données projet'!$A$88,'Données projet'!$B$88,BD100+BC101-BL100)))</f>
        <v>225.55769230999999</v>
      </c>
      <c r="BE101" s="13">
        <f>BD101*VLOOKUP('Données projet'!$B$11,Paramètres!$A$1:$I$89,3,0)*VLOOKUP('Données projet'!$B$11,Paramètres!$A$1:$I$89,5,0)</f>
        <v>190.009800001944</v>
      </c>
      <c r="BF101" s="13">
        <f t="shared" si="91"/>
        <v>47.54211948601143</v>
      </c>
      <c r="BG101" s="20">
        <f t="shared" si="61"/>
        <v>413.73625977485568</v>
      </c>
      <c r="BH101" s="59">
        <f t="shared" si="62"/>
        <v>707.069593108189</v>
      </c>
      <c r="BI101" s="59">
        <f ca="1">AVERAGE(OFFSET($BH$3,0,0,'Données projet'!$E$11+1,1))-AVERAGE(OFFSET($H$3,0,0,'Données projet'!$E$11+1,1))</f>
        <v>179.55753939285887</v>
      </c>
      <c r="BJ101" s="59">
        <f t="shared" si="92"/>
        <v>147.29214162149162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36.547650358758617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36.547650358758617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-2.8421709430404007E-13</v>
      </c>
      <c r="O102" s="13">
        <f>N102*VLOOKUP('Données projet'!$B$9,Paramètres!$A$1:$I$89,3,0)*VLOOKUP('Données projet'!$B$9,Paramètres!$A$1:$I$89,5,0)</f>
        <v>-1.69961822393816E-13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195.14508560011791</v>
      </c>
      <c r="T102" s="59">
        <f t="shared" si="88"/>
        <v>285.1531413455931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35.37607689769402</v>
      </c>
      <c r="AA102" s="21">
        <f>EXP(-LN(2)/25)*AA101+(1-EXP(-LN(2)/25))/(LN(2)/25)*Calculateur!V102*Calculateur!X102*VLOOKUP('Données projet'!$B$9,Paramètres!$A$1:$I$89,3,0)*0.475*44/12</f>
        <v>10.720905640939346</v>
      </c>
      <c r="AB102" s="21">
        <f>EXP(-LN(2)/2)*AB101+(1-EXP(-LN(2)/2))/(LN(2)/2)*V102*Y102*VLOOKUP('Données projet'!$B$9,Paramètres!$A$1:$I$89,3,0)*0.475*44/12</f>
        <v>2.7637173946396048E-7</v>
      </c>
      <c r="AC102" s="22">
        <f t="shared" si="57"/>
        <v>46.096982815005106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-2.8421709430404007E-13</v>
      </c>
      <c r="AJ102" s="13">
        <f>AI102*VLOOKUP('Données projet'!$B$10,Paramètres!$A$1:$I$89,3,0)*VLOOKUP('Données projet'!$B$10,Paramètres!$A$1:$I$89,5,0)</f>
        <v>-1.69961822393816E-13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195.14508560011791</v>
      </c>
      <c r="AO102" s="59">
        <f t="shared" si="90"/>
        <v>285.1531413455931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35.37607689769402</v>
      </c>
      <c r="AV102" s="21">
        <f>EXP(-LN(2)/25)*AV101+(1-EXP(-LN(2)/25))/(LN(2)/25)*Calculateur!AQ102*Calculateur!AS102*VLOOKUP('Données projet'!$B$10,Paramètres!$A$1:$I$89,3,0)*0.475*44/12</f>
        <v>10.720905640939346</v>
      </c>
      <c r="AW102" s="21">
        <f>EXP(-LN(2)/2)*AW101+(1-EXP(-LN(2)/2))/(LN(2)/2)*AQ102*AT102*VLOOKUP('Données projet'!$B$10,Paramètres!$A$1:$I$89,3,0)*0.475*44/12</f>
        <v>2.7637173946396048E-7</v>
      </c>
      <c r="AX102" s="21">
        <f t="shared" si="60"/>
        <v>46.096982815005106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6.0948717979999971</v>
      </c>
      <c r="BD102" s="12">
        <f>IF('Données projet'!$A$88&gt;35,BD101+BC102-BL101,IF(A102&lt;'Données projet'!$A$88,$BA$205^A102,IF(A102='Données projet'!$A$88,'Données projet'!$B$88,BD101+BC102-BL101)))</f>
        <v>231.65256410799998</v>
      </c>
      <c r="BE102" s="13">
        <f>BD102*VLOOKUP('Données projet'!$B$11,Paramètres!$A$1:$I$89,3,0)*VLOOKUP('Données projet'!$B$11,Paramètres!$A$1:$I$89,5,0)</f>
        <v>195.14412000457921</v>
      </c>
      <c r="BF102" s="13">
        <f t="shared" si="91"/>
        <v>48.675470488543716</v>
      </c>
      <c r="BG102" s="20">
        <f t="shared" si="61"/>
        <v>424.65245344218903</v>
      </c>
      <c r="BH102" s="59">
        <f t="shared" si="62"/>
        <v>717.98578677552234</v>
      </c>
      <c r="BI102" s="59">
        <f ca="1">AVERAGE(OFFSET($BH$3,0,0,'Données projet'!$E$11+1,1))-AVERAGE(OFFSET($H$3,0,0,'Données projet'!$E$11+1,1))</f>
        <v>179.55753939285887</v>
      </c>
      <c r="BJ102" s="59">
        <f t="shared" si="92"/>
        <v>147.29214162149162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35.83097322708894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35.83097322708894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-2.8421709430404007E-13</v>
      </c>
      <c r="O103" s="13">
        <f>N103*VLOOKUP('Données projet'!$B$9,Paramètres!$A$1:$I$89,3,0)*VLOOKUP('Données projet'!$B$9,Paramètres!$A$1:$I$89,5,0)</f>
        <v>-1.69961822393816E-13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195.14508560011791</v>
      </c>
      <c r="T103" s="59">
        <f t="shared" si="88"/>
        <v>285.1531413455931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34.682373607006568</v>
      </c>
      <c r="AA103" s="21">
        <f>EXP(-LN(2)/25)*AA102+(1-EXP(-LN(2)/25))/(LN(2)/25)*Calculateur!V103*Calculateur!X103*VLOOKUP('Données projet'!$B$9,Paramètres!$A$1:$I$89,3,0)*0.475*44/12</f>
        <v>10.427741912399934</v>
      </c>
      <c r="AB103" s="21">
        <f>EXP(-LN(2)/2)*AB102+(1-EXP(-LN(2)/2))/(LN(2)/2)*V103*Y103*VLOOKUP('Données projet'!$B$9,Paramètres!$A$1:$I$89,3,0)*0.475*44/12</f>
        <v>1.9542433110328823E-7</v>
      </c>
      <c r="AC103" s="22">
        <f t="shared" si="57"/>
        <v>45.11011571483084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-2.8421709430404007E-13</v>
      </c>
      <c r="AJ103" s="13">
        <f>AI103*VLOOKUP('Données projet'!$B$10,Paramètres!$A$1:$I$89,3,0)*VLOOKUP('Données projet'!$B$10,Paramètres!$A$1:$I$89,5,0)</f>
        <v>-1.69961822393816E-13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195.14508560011791</v>
      </c>
      <c r="AO103" s="59">
        <f t="shared" si="90"/>
        <v>285.1531413455931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34.682373607006568</v>
      </c>
      <c r="AV103" s="21">
        <f>EXP(-LN(2)/25)*AV102+(1-EXP(-LN(2)/25))/(LN(2)/25)*Calculateur!AQ103*Calculateur!AS103*VLOOKUP('Données projet'!$B$10,Paramètres!$A$1:$I$89,3,0)*0.475*44/12</f>
        <v>10.427741912399934</v>
      </c>
      <c r="AW103" s="21">
        <f>EXP(-LN(2)/2)*AW102+(1-EXP(-LN(2)/2))/(LN(2)/2)*AQ103*AT103*VLOOKUP('Données projet'!$B$10,Paramètres!$A$1:$I$89,3,0)*0.475*44/12</f>
        <v>1.9542433110328823E-7</v>
      </c>
      <c r="AX103" s="21">
        <f t="shared" si="60"/>
        <v>45.11011571483084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6.0948717979999971</v>
      </c>
      <c r="BD103" s="12">
        <f>IF('Données projet'!$A$88&gt;35,BD102+BC103-BL102,IF(A103&lt;'Données projet'!$A$88,$BA$205^A103,IF(A103='Données projet'!$A$88,'Données projet'!$B$88,BD102+BC103-BL102)))</f>
        <v>237.74743590599996</v>
      </c>
      <c r="BE103" s="13">
        <f>BD103*VLOOKUP('Données projet'!$B$11,Paramètres!$A$1:$I$89,3,0)*VLOOKUP('Données projet'!$B$11,Paramètres!$A$1:$I$89,5,0)</f>
        <v>200.27844000721439</v>
      </c>
      <c r="BF103" s="13">
        <f t="shared" si="91"/>
        <v>49.805355455793936</v>
      </c>
      <c r="BG103" s="20">
        <f t="shared" si="61"/>
        <v>435.5626104314062</v>
      </c>
      <c r="BH103" s="59">
        <f t="shared" si="62"/>
        <v>728.89594376473951</v>
      </c>
      <c r="BI103" s="59">
        <f ca="1">AVERAGE(OFFSET($BH$3,0,0,'Données projet'!$E$11+1,1))-AVERAGE(OFFSET($H$3,0,0,'Données projet'!$E$11+1,1))</f>
        <v>179.55753939285887</v>
      </c>
      <c r="BJ103" s="59">
        <f t="shared" si="92"/>
        <v>147.29214162149162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35.128349696841418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35.128349696841418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-2.8421709430404007E-13</v>
      </c>
      <c r="O104" s="13">
        <f>N104*VLOOKUP('Données projet'!$B$9,Paramètres!$A$1:$I$89,3,0)*VLOOKUP('Données projet'!$B$9,Paramètres!$A$1:$I$89,5,0)</f>
        <v>-1.69961822393816E-13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195.14508560011791</v>
      </c>
      <c r="T104" s="59">
        <f t="shared" si="88"/>
        <v>285.1531413455931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34.002273414732272</v>
      </c>
      <c r="AA104" s="21">
        <f>EXP(-LN(2)/25)*AA103+(1-EXP(-LN(2)/25))/(LN(2)/25)*Calculateur!V104*Calculateur!X104*VLOOKUP('Données projet'!$B$9,Paramètres!$A$1:$I$89,3,0)*0.475*44/12</f>
        <v>10.142594761434244</v>
      </c>
      <c r="AB104" s="21">
        <f>EXP(-LN(2)/2)*AB103+(1-EXP(-LN(2)/2))/(LN(2)/2)*V104*Y104*VLOOKUP('Données projet'!$B$9,Paramètres!$A$1:$I$89,3,0)*0.475*44/12</f>
        <v>1.3818586973198024E-7</v>
      </c>
      <c r="AC104" s="22">
        <f t="shared" si="57"/>
        <v>44.144868314352387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-2.8421709430404007E-13</v>
      </c>
      <c r="AJ104" s="13">
        <f>AI104*VLOOKUP('Données projet'!$B$10,Paramètres!$A$1:$I$89,3,0)*VLOOKUP('Données projet'!$B$10,Paramètres!$A$1:$I$89,5,0)</f>
        <v>-1.69961822393816E-13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195.14508560011791</v>
      </c>
      <c r="AO104" s="59">
        <f t="shared" si="90"/>
        <v>285.1531413455931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34.002273414732272</v>
      </c>
      <c r="AV104" s="21">
        <f>EXP(-LN(2)/25)*AV103+(1-EXP(-LN(2)/25))/(LN(2)/25)*Calculateur!AQ104*Calculateur!AS104*VLOOKUP('Données projet'!$B$10,Paramètres!$A$1:$I$89,3,0)*0.475*44/12</f>
        <v>10.142594761434244</v>
      </c>
      <c r="AW104" s="21">
        <f>EXP(-LN(2)/2)*AW103+(1-EXP(-LN(2)/2))/(LN(2)/2)*AQ104*AT104*VLOOKUP('Données projet'!$B$10,Paramètres!$A$1:$I$89,3,0)*0.475*44/12</f>
        <v>1.3818586973198024E-7</v>
      </c>
      <c r="AX104" s="21">
        <f t="shared" si="60"/>
        <v>44.144868314352387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6.0948717979999971</v>
      </c>
      <c r="BD104" s="12">
        <f>IF('Données projet'!$A$88&gt;35,BD103+BC104-BL103,IF(A104&lt;'Données projet'!$A$88,$BA$205^A104,IF(A104='Données projet'!$A$88,'Données projet'!$B$88,BD103+BC104-BL103)))</f>
        <v>243.84230770399995</v>
      </c>
      <c r="BE104" s="13">
        <f>BD104*VLOOKUP('Données projet'!$B$11,Paramètres!$A$1:$I$89,3,0)*VLOOKUP('Données projet'!$B$11,Paramètres!$A$1:$I$89,5,0)</f>
        <v>205.41276000984956</v>
      </c>
      <c r="BF104" s="13">
        <f t="shared" si="91"/>
        <v>50.931873459550623</v>
      </c>
      <c r="BG104" s="20">
        <f t="shared" si="61"/>
        <v>446.46690329253869</v>
      </c>
      <c r="BH104" s="59">
        <f t="shared" si="62"/>
        <v>739.800236625872</v>
      </c>
      <c r="BI104" s="59">
        <f ca="1">AVERAGE(OFFSET($BH$3,0,0,'Données projet'!$E$11+1,1))-AVERAGE(OFFSET($H$3,0,0,'Données projet'!$E$11+1,1))</f>
        <v>179.55753939285887</v>
      </c>
      <c r="BJ104" s="59">
        <f t="shared" si="92"/>
        <v>147.29214162149162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34.439504185464017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34.439504185464017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-2.8421709430404007E-13</v>
      </c>
      <c r="O105" s="13">
        <f>N105*VLOOKUP('Données projet'!$B$9,Paramètres!$A$1:$I$89,3,0)*VLOOKUP('Données projet'!$B$9,Paramètres!$A$1:$I$89,5,0)</f>
        <v>-1.69961822393816E-13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195.14508560011791</v>
      </c>
      <c r="T105" s="59">
        <f t="shared" si="88"/>
        <v>285.1531413455931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33.335509572408313</v>
      </c>
      <c r="AA105" s="21">
        <f>EXP(-LN(2)/25)*AA104+(1-EXP(-LN(2)/25))/(LN(2)/25)*Calculateur!V105*Calculateur!X105*VLOOKUP('Données projet'!$B$9,Paramètres!$A$1:$I$89,3,0)*0.475*44/12</f>
        <v>9.8652449743069486</v>
      </c>
      <c r="AB105" s="21">
        <f>EXP(-LN(2)/2)*AB104+(1-EXP(-LN(2)/2))/(LN(2)/2)*V105*Y105*VLOOKUP('Données projet'!$B$9,Paramètres!$A$1:$I$89,3,0)*0.475*44/12</f>
        <v>9.7712165551644115E-8</v>
      </c>
      <c r="AC105" s="22">
        <f t="shared" si="57"/>
        <v>43.200754644427427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-2.8421709430404007E-13</v>
      </c>
      <c r="AJ105" s="13">
        <f>AI105*VLOOKUP('Données projet'!$B$10,Paramètres!$A$1:$I$89,3,0)*VLOOKUP('Données projet'!$B$10,Paramètres!$A$1:$I$89,5,0)</f>
        <v>-1.69961822393816E-13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195.14508560011791</v>
      </c>
      <c r="AO105" s="59">
        <f t="shared" si="90"/>
        <v>285.1531413455931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33.335509572408313</v>
      </c>
      <c r="AV105" s="21">
        <f>EXP(-LN(2)/25)*AV104+(1-EXP(-LN(2)/25))/(LN(2)/25)*Calculateur!AQ105*Calculateur!AS105*VLOOKUP('Données projet'!$B$10,Paramètres!$A$1:$I$89,3,0)*0.475*44/12</f>
        <v>9.8652449743069486</v>
      </c>
      <c r="AW105" s="21">
        <f>EXP(-LN(2)/2)*AW104+(1-EXP(-LN(2)/2))/(LN(2)/2)*AQ105*AT105*VLOOKUP('Données projet'!$B$10,Paramètres!$A$1:$I$89,3,0)*0.475*44/12</f>
        <v>9.7712165551644115E-8</v>
      </c>
      <c r="AX105" s="21">
        <f t="shared" si="60"/>
        <v>43.200754644427427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6.0948717979999971</v>
      </c>
      <c r="BD105" s="12">
        <f>IF('Données projet'!$A$88&gt;35,BD104+BC105-BL104,IF(A105&lt;'Données projet'!$A$88,$BA$205^A105,IF(A105='Données projet'!$A$88,'Données projet'!$B$88,BD104+BC105-BL104)))</f>
        <v>249.93717950199994</v>
      </c>
      <c r="BE105" s="13">
        <f>BD105*VLOOKUP('Données projet'!$B$11,Paramètres!$A$1:$I$89,3,0)*VLOOKUP('Données projet'!$B$11,Paramètres!$A$1:$I$89,5,0)</f>
        <v>210.54708001248477</v>
      </c>
      <c r="BF105" s="13">
        <f t="shared" si="91"/>
        <v>52.055118336707174</v>
      </c>
      <c r="BG105" s="20">
        <f t="shared" si="61"/>
        <v>457.36549545817599</v>
      </c>
      <c r="BH105" s="59">
        <f t="shared" si="62"/>
        <v>750.6988287915093</v>
      </c>
      <c r="BI105" s="59">
        <f ca="1">AVERAGE(OFFSET($BH$3,0,0,'Données projet'!$E$11+1,1))-AVERAGE(OFFSET($H$3,0,0,'Données projet'!$E$11+1,1))</f>
        <v>179.55753939285887</v>
      </c>
      <c r="BJ105" s="59">
        <f t="shared" si="92"/>
        <v>147.29214162149162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33.764166514410448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33.764166514410448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-2.8421709430404007E-13</v>
      </c>
      <c r="O106" s="13">
        <f>N106*VLOOKUP('Données projet'!$B$9,Paramètres!$A$1:$I$89,3,0)*VLOOKUP('Données projet'!$B$9,Paramètres!$A$1:$I$89,5,0)</f>
        <v>-1.69961822393816E-13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195.14508560011791</v>
      </c>
      <c r="T106" s="59">
        <f t="shared" si="88"/>
        <v>285.1531413455931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32.681820562346545</v>
      </c>
      <c r="AA106" s="21">
        <f>EXP(-LN(2)/25)*AA105+(1-EXP(-LN(2)/25))/(LN(2)/25)*Calculateur!V106*Calculateur!X106*VLOOKUP('Données projet'!$B$9,Paramètres!$A$1:$I$89,3,0)*0.475*44/12</f>
        <v>9.5954793316938396</v>
      </c>
      <c r="AB106" s="21">
        <f>EXP(-LN(2)/2)*AB105+(1-EXP(-LN(2)/2))/(LN(2)/2)*V106*Y106*VLOOKUP('Données projet'!$B$9,Paramètres!$A$1:$I$89,3,0)*0.475*44/12</f>
        <v>6.9092934865990121E-8</v>
      </c>
      <c r="AC106" s="22">
        <f t="shared" si="57"/>
        <v>42.277299963133316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-2.8421709430404007E-13</v>
      </c>
      <c r="AJ106" s="13">
        <f>AI106*VLOOKUP('Données projet'!$B$10,Paramètres!$A$1:$I$89,3,0)*VLOOKUP('Données projet'!$B$10,Paramètres!$A$1:$I$89,5,0)</f>
        <v>-1.69961822393816E-13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195.14508560011791</v>
      </c>
      <c r="AO106" s="59">
        <f t="shared" si="90"/>
        <v>285.1531413455931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32.681820562346545</v>
      </c>
      <c r="AV106" s="21">
        <f>EXP(-LN(2)/25)*AV105+(1-EXP(-LN(2)/25))/(LN(2)/25)*Calculateur!AQ106*Calculateur!AS106*VLOOKUP('Données projet'!$B$10,Paramètres!$A$1:$I$89,3,0)*0.475*44/12</f>
        <v>9.5954793316938396</v>
      </c>
      <c r="AW106" s="21">
        <f>EXP(-LN(2)/2)*AW105+(1-EXP(-LN(2)/2))/(LN(2)/2)*AQ106*AT106*VLOOKUP('Données projet'!$B$10,Paramètres!$A$1:$I$89,3,0)*0.475*44/12</f>
        <v>6.9092934865990121E-8</v>
      </c>
      <c r="AX106" s="21">
        <f t="shared" si="60"/>
        <v>42.277299963133316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>
        <f>VLOOKUP(A106,'Données projet'!$A$87:$I$107,2,0)</f>
        <v>256.03205129999998</v>
      </c>
      <c r="BB106" s="12">
        <f>VLOOKUP(A106,'Données projet'!$A$87:$I$107,9,0)</f>
        <v>6.0948717979999971</v>
      </c>
      <c r="BC106" s="12">
        <f t="array" ref="BC106">INDEX(BB:BB,MIN(IF(ISNUMBER(BB106:BB302),ROW(BB106:BB302),"")))</f>
        <v>6.0948717979999971</v>
      </c>
      <c r="BD106" s="12">
        <f>IF('Données projet'!$A$88&gt;35,BD105+BC106-BL105,IF(A106&lt;'Données projet'!$A$88,$BA$205^A106,IF(A106='Données projet'!$A$88,'Données projet'!$B$88,BD105+BC106-BL105)))</f>
        <v>256.03205129999992</v>
      </c>
      <c r="BE106" s="13">
        <f>BD106*VLOOKUP('Données projet'!$B$11,Paramètres!$A$1:$I$89,3,0)*VLOOKUP('Données projet'!$B$11,Paramètres!$A$1:$I$89,5,0)</f>
        <v>215.68140001511995</v>
      </c>
      <c r="BF106" s="13">
        <f t="shared" si="91"/>
        <v>53.175179086683904</v>
      </c>
      <c r="BG106" s="20">
        <f t="shared" si="61"/>
        <v>468.25854193564169</v>
      </c>
      <c r="BH106" s="59">
        <f t="shared" si="62"/>
        <v>761.59187526897495</v>
      </c>
      <c r="BI106" s="59">
        <f ca="1">AVERAGE(OFFSET($BH$3,0,0,'Données projet'!$E$11+1,1))-AVERAGE(OFFSET($H$3,0,0,'Données projet'!$E$11+1,1))</f>
        <v>179.55753939285887</v>
      </c>
      <c r="BJ106" s="59">
        <f t="shared" si="92"/>
        <v>147.29214162149162</v>
      </c>
      <c r="BK106" s="15">
        <f>IF(ISNA(VLOOKUP(A106,'Données projet'!$A$87:$I$107,3,0)),0,VLOOKUP(A106,'Données projet'!$A$87:$I$107,3,0))</f>
        <v>9</v>
      </c>
      <c r="BL106" s="15">
        <f>IF(ISNA(VLOOKUP(A106,'Données projet'!$A$87:$I$107,4,0)),0,VLOOKUP(A106,'Données projet'!$A$87:$I$107,4,0))</f>
        <v>46.73076923</v>
      </c>
      <c r="BM106" s="16">
        <f>IF(ISNA(VLOOKUP(A106,'Données projet'!$A$87:$I$107,5,0)),0%,VLOOKUP(A106,'Données projet'!$A$87:$I$107,5,0)*VLOOKUP('Données projet'!$B$11,Paramètres!$A$1:$I$89,7,0))</f>
        <v>0.38700000000000001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49.943517276682336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49.943517276682336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-2.8421709430404007E-13</v>
      </c>
      <c r="O107" s="13">
        <f>N107*VLOOKUP('Données projet'!$B$9,Paramètres!$A$1:$I$89,3,0)*VLOOKUP('Données projet'!$B$9,Paramètres!$A$1:$I$89,5,0)</f>
        <v>-1.69961822393816E-13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195.14508560011791</v>
      </c>
      <c r="T107" s="59">
        <f t="shared" si="88"/>
        <v>285.1531413455931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32.040949995061162</v>
      </c>
      <c r="AA107" s="21">
        <f>EXP(-LN(2)/25)*AA106+(1-EXP(-LN(2)/25))/(LN(2)/25)*Calculateur!V107*Calculateur!X107*VLOOKUP('Données projet'!$B$9,Paramètres!$A$1:$I$89,3,0)*0.475*44/12</f>
        <v>9.3330904447643448</v>
      </c>
      <c r="AB107" s="21">
        <f>EXP(-LN(2)/2)*AB106+(1-EXP(-LN(2)/2))/(LN(2)/2)*V107*Y107*VLOOKUP('Données projet'!$B$9,Paramètres!$A$1:$I$89,3,0)*0.475*44/12</f>
        <v>4.8856082775822057E-8</v>
      </c>
      <c r="AC107" s="22">
        <f t="shared" si="57"/>
        <v>41.374040488681587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-2.8421709430404007E-13</v>
      </c>
      <c r="AJ107" s="13">
        <f>AI107*VLOOKUP('Données projet'!$B$10,Paramètres!$A$1:$I$89,3,0)*VLOOKUP('Données projet'!$B$10,Paramètres!$A$1:$I$89,5,0)</f>
        <v>-1.69961822393816E-13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195.14508560011791</v>
      </c>
      <c r="AO107" s="59">
        <f t="shared" si="90"/>
        <v>285.1531413455931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32.040949995061162</v>
      </c>
      <c r="AV107" s="21">
        <f>EXP(-LN(2)/25)*AV106+(1-EXP(-LN(2)/25))/(LN(2)/25)*Calculateur!AQ107*Calculateur!AS107*VLOOKUP('Données projet'!$B$10,Paramètres!$A$1:$I$89,3,0)*0.475*44/12</f>
        <v>9.3330904447643448</v>
      </c>
      <c r="AW107" s="21">
        <f>EXP(-LN(2)/2)*AW106+(1-EXP(-LN(2)/2))/(LN(2)/2)*AQ107*AT107*VLOOKUP('Données projet'!$B$10,Paramètres!$A$1:$I$89,3,0)*0.475*44/12</f>
        <v>4.8856082775822057E-8</v>
      </c>
      <c r="AX107" s="21">
        <f t="shared" si="60"/>
        <v>41.374040488681587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5.9115384630000021</v>
      </c>
      <c r="BD107" s="12">
        <f>IF('Données projet'!$A$88&gt;35,BD106+BC107-BL106,IF(A107&lt;'Données projet'!$A$88,$BA$205^A107,IF(A107='Données projet'!$A$88,'Données projet'!$B$88,BD106+BC107-BL106)))</f>
        <v>215.21282053299993</v>
      </c>
      <c r="BE107" s="13">
        <f>BD107*VLOOKUP('Données projet'!$B$11,Paramètres!$A$1:$I$89,3,0)*VLOOKUP('Données projet'!$B$11,Paramètres!$A$1:$I$89,5,0)</f>
        <v>181.29528001699916</v>
      </c>
      <c r="BF107" s="13">
        <f t="shared" si="91"/>
        <v>45.610241738035761</v>
      </c>
      <c r="BG107" s="20">
        <f t="shared" si="61"/>
        <v>395.19378372335245</v>
      </c>
      <c r="BH107" s="59">
        <f t="shared" si="62"/>
        <v>688.52711705668571</v>
      </c>
      <c r="BI107" s="59">
        <f ca="1">AVERAGE(OFFSET($BH$3,0,0,'Données projet'!$E$11+1,1))-AVERAGE(OFFSET($H$3,0,0,'Données projet'!$E$11+1,1))</f>
        <v>179.55753939285887</v>
      </c>
      <c r="BJ107" s="59">
        <f t="shared" si="92"/>
        <v>147.29214162149162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48.964155365424205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48.964155365424205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-2.8421709430404007E-13</v>
      </c>
      <c r="O108" s="13">
        <f>N108*VLOOKUP('Données projet'!$B$9,Paramètres!$A$1:$I$89,3,0)*VLOOKUP('Données projet'!$B$9,Paramètres!$A$1:$I$89,5,0)</f>
        <v>-1.69961822393816E-13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195.14508560011791</v>
      </c>
      <c r="T108" s="59">
        <f t="shared" si="88"/>
        <v>285.1531413455931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31.412646508707795</v>
      </c>
      <c r="AA108" s="21">
        <f>EXP(-LN(2)/25)*AA107+(1-EXP(-LN(2)/25))/(LN(2)/25)*Calculateur!V108*Calculateur!X108*VLOOKUP('Données projet'!$B$9,Paramètres!$A$1:$I$89,3,0)*0.475*44/12</f>
        <v>9.0778765957463676</v>
      </c>
      <c r="AB108" s="21">
        <f>EXP(-LN(2)/2)*AB107+(1-EXP(-LN(2)/2))/(LN(2)/2)*V108*Y108*VLOOKUP('Données projet'!$B$9,Paramètres!$A$1:$I$89,3,0)*0.475*44/12</f>
        <v>3.4546467432995061E-8</v>
      </c>
      <c r="AC108" s="22">
        <f t="shared" si="57"/>
        <v>40.490523139000629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-2.8421709430404007E-13</v>
      </c>
      <c r="AJ108" s="13">
        <f>AI108*VLOOKUP('Données projet'!$B$10,Paramètres!$A$1:$I$89,3,0)*VLOOKUP('Données projet'!$B$10,Paramètres!$A$1:$I$89,5,0)</f>
        <v>-1.69961822393816E-13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195.14508560011791</v>
      </c>
      <c r="AO108" s="59">
        <f t="shared" si="90"/>
        <v>285.1531413455931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31.412646508707795</v>
      </c>
      <c r="AV108" s="21">
        <f>EXP(-LN(2)/25)*AV107+(1-EXP(-LN(2)/25))/(LN(2)/25)*Calculateur!AQ108*Calculateur!AS108*VLOOKUP('Données projet'!$B$10,Paramètres!$A$1:$I$89,3,0)*0.475*44/12</f>
        <v>9.0778765957463676</v>
      </c>
      <c r="AW108" s="21">
        <f>EXP(-LN(2)/2)*AW107+(1-EXP(-LN(2)/2))/(LN(2)/2)*AQ108*AT108*VLOOKUP('Données projet'!$B$10,Paramètres!$A$1:$I$89,3,0)*0.475*44/12</f>
        <v>3.4546467432995061E-8</v>
      </c>
      <c r="AX108" s="21">
        <f t="shared" si="60"/>
        <v>40.490523139000629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5.9115384630000021</v>
      </c>
      <c r="BD108" s="12">
        <f>IF('Données projet'!$A$88&gt;35,BD107+BC108-BL107,IF(A108&lt;'Données projet'!$A$88,$BA$205^A108,IF(A108='Données projet'!$A$88,'Données projet'!$B$88,BD107+BC108-BL107)))</f>
        <v>221.12435899599993</v>
      </c>
      <c r="BE108" s="13">
        <f>BD108*VLOOKUP('Données projet'!$B$11,Paramètres!$A$1:$I$89,3,0)*VLOOKUP('Données projet'!$B$11,Paramètres!$A$1:$I$89,5,0)</f>
        <v>186.27516001823037</v>
      </c>
      <c r="BF108" s="13">
        <f t="shared" si="91"/>
        <v>46.715497085156102</v>
      </c>
      <c r="BG108" s="20">
        <f t="shared" si="61"/>
        <v>405.79206112173142</v>
      </c>
      <c r="BH108" s="59">
        <f t="shared" si="62"/>
        <v>699.12539445506468</v>
      </c>
      <c r="BI108" s="59">
        <f ca="1">AVERAGE(OFFSET($BH$3,0,0,'Données projet'!$E$11+1,1))-AVERAGE(OFFSET($H$3,0,0,'Données projet'!$E$11+1,1))</f>
        <v>179.55753939285887</v>
      </c>
      <c r="BJ108" s="59">
        <f t="shared" si="92"/>
        <v>147.29214162149162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48.003998143894066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48.003998143894066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-2.8421709430404007E-13</v>
      </c>
      <c r="O109" s="13">
        <f>N109*VLOOKUP('Données projet'!$B$9,Paramètres!$A$1:$I$89,3,0)*VLOOKUP('Données projet'!$B$9,Paramètres!$A$1:$I$89,5,0)</f>
        <v>-1.69961822393816E-13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195.14508560011791</v>
      </c>
      <c r="T109" s="59">
        <f t="shared" si="88"/>
        <v>285.1531413455931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30.796663670494528</v>
      </c>
      <c r="AA109" s="21">
        <f>EXP(-LN(2)/25)*AA108+(1-EXP(-LN(2)/25))/(LN(2)/25)*Calculateur!V109*Calculateur!X109*VLOOKUP('Données projet'!$B$9,Paramètres!$A$1:$I$89,3,0)*0.475*44/12</f>
        <v>8.8296415828509005</v>
      </c>
      <c r="AB109" s="21">
        <f>EXP(-LN(2)/2)*AB108+(1-EXP(-LN(2)/2))/(LN(2)/2)*V109*Y109*VLOOKUP('Données projet'!$B$9,Paramètres!$A$1:$I$89,3,0)*0.475*44/12</f>
        <v>2.4428041387911029E-8</v>
      </c>
      <c r="AC109" s="22">
        <f t="shared" si="57"/>
        <v>39.626305277773469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-2.8421709430404007E-13</v>
      </c>
      <c r="AJ109" s="13">
        <f>AI109*VLOOKUP('Données projet'!$B$10,Paramètres!$A$1:$I$89,3,0)*VLOOKUP('Données projet'!$B$10,Paramètres!$A$1:$I$89,5,0)</f>
        <v>-1.69961822393816E-13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195.14508560011791</v>
      </c>
      <c r="AO109" s="59">
        <f t="shared" si="90"/>
        <v>285.1531413455931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30.796663670494528</v>
      </c>
      <c r="AV109" s="21">
        <f>EXP(-LN(2)/25)*AV108+(1-EXP(-LN(2)/25))/(LN(2)/25)*Calculateur!AQ109*Calculateur!AS109*VLOOKUP('Données projet'!$B$10,Paramètres!$A$1:$I$89,3,0)*0.475*44/12</f>
        <v>8.8296415828509005</v>
      </c>
      <c r="AW109" s="21">
        <f>EXP(-LN(2)/2)*AW108+(1-EXP(-LN(2)/2))/(LN(2)/2)*AQ109*AT109*VLOOKUP('Données projet'!$B$10,Paramètres!$A$1:$I$89,3,0)*0.475*44/12</f>
        <v>2.4428041387911029E-8</v>
      </c>
      <c r="AX109" s="21">
        <f t="shared" si="60"/>
        <v>39.626305277773469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5.9115384630000021</v>
      </c>
      <c r="BD109" s="12">
        <f>IF('Données projet'!$A$88&gt;35,BD108+BC109-BL108,IF(A109&lt;'Données projet'!$A$88,$BA$205^A109,IF(A109='Données projet'!$A$88,'Données projet'!$B$88,BD108+BC109-BL108)))</f>
        <v>227.03589745899993</v>
      </c>
      <c r="BE109" s="13">
        <f>BD109*VLOOKUP('Données projet'!$B$11,Paramètres!$A$1:$I$89,3,0)*VLOOKUP('Données projet'!$B$11,Paramètres!$A$1:$I$89,5,0)</f>
        <v>191.25504001946155</v>
      </c>
      <c r="BF109" s="13">
        <f t="shared" si="91"/>
        <v>47.817317970741769</v>
      </c>
      <c r="BG109" s="20">
        <f t="shared" si="61"/>
        <v>416.3843568329375</v>
      </c>
      <c r="BH109" s="59">
        <f t="shared" si="62"/>
        <v>709.71769016627081</v>
      </c>
      <c r="BI109" s="59">
        <f ca="1">AVERAGE(OFFSET($BH$3,0,0,'Données projet'!$E$11+1,1))-AVERAGE(OFFSET($H$3,0,0,'Données projet'!$E$11+1,1))</f>
        <v>179.55753939285887</v>
      </c>
      <c r="BJ109" s="59">
        <f t="shared" si="92"/>
        <v>147.29214162149162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47.062669019840058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47.062669019840058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-2.8421709430404007E-13</v>
      </c>
      <c r="O110" s="13">
        <f>N110*VLOOKUP('Données projet'!$B$9,Paramètres!$A$1:$I$89,3,0)*VLOOKUP('Données projet'!$B$9,Paramètres!$A$1:$I$89,5,0)</f>
        <v>-1.69961822393816E-13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195.14508560011791</v>
      </c>
      <c r="T110" s="59">
        <f t="shared" si="88"/>
        <v>285.1531413455931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30.192759880026191</v>
      </c>
      <c r="AA110" s="21">
        <f>EXP(-LN(2)/25)*AA109+(1-EXP(-LN(2)/25))/(LN(2)/25)*Calculateur!V110*Calculateur!X110*VLOOKUP('Données projet'!$B$9,Paramètres!$A$1:$I$89,3,0)*0.475*44/12</f>
        <v>8.5881945694371726</v>
      </c>
      <c r="AB110" s="21">
        <f>EXP(-LN(2)/2)*AB109+(1-EXP(-LN(2)/2))/(LN(2)/2)*V110*Y110*VLOOKUP('Données projet'!$B$9,Paramètres!$A$1:$I$89,3,0)*0.475*44/12</f>
        <v>1.727323371649753E-8</v>
      </c>
      <c r="AC110" s="22">
        <f t="shared" si="57"/>
        <v>38.780954466736603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-2.8421709430404007E-13</v>
      </c>
      <c r="AJ110" s="13">
        <f>AI110*VLOOKUP('Données projet'!$B$10,Paramètres!$A$1:$I$89,3,0)*VLOOKUP('Données projet'!$B$10,Paramètres!$A$1:$I$89,5,0)</f>
        <v>-1.69961822393816E-13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195.14508560011791</v>
      </c>
      <c r="AO110" s="59">
        <f t="shared" si="90"/>
        <v>285.1531413455931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30.192759880026191</v>
      </c>
      <c r="AV110" s="21">
        <f>EXP(-LN(2)/25)*AV109+(1-EXP(-LN(2)/25))/(LN(2)/25)*Calculateur!AQ110*Calculateur!AS110*VLOOKUP('Données projet'!$B$10,Paramètres!$A$1:$I$89,3,0)*0.475*44/12</f>
        <v>8.5881945694371726</v>
      </c>
      <c r="AW110" s="21">
        <f>EXP(-LN(2)/2)*AW109+(1-EXP(-LN(2)/2))/(LN(2)/2)*AQ110*AT110*VLOOKUP('Données projet'!$B$10,Paramètres!$A$1:$I$89,3,0)*0.475*44/12</f>
        <v>1.727323371649753E-8</v>
      </c>
      <c r="AX110" s="21">
        <f t="shared" si="60"/>
        <v>38.780954466736603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5.9115384630000021</v>
      </c>
      <c r="BD110" s="12">
        <f>IF('Données projet'!$A$88&gt;35,BD109+BC110-BL109,IF(A110&lt;'Données projet'!$A$88,$BA$205^A110,IF(A110='Données projet'!$A$88,'Données projet'!$B$88,BD109+BC110-BL109)))</f>
        <v>232.94743592199993</v>
      </c>
      <c r="BE110" s="13">
        <f>BD110*VLOOKUP('Données projet'!$B$11,Paramètres!$A$1:$I$89,3,0)*VLOOKUP('Données projet'!$B$11,Paramètres!$A$1:$I$89,5,0)</f>
        <v>196.23492002069275</v>
      </c>
      <c r="BF110" s="13">
        <f t="shared" si="91"/>
        <v>48.915804101837381</v>
      </c>
      <c r="BG110" s="20">
        <f t="shared" si="61"/>
        <v>426.97084451340658</v>
      </c>
      <c r="BH110" s="59">
        <f t="shared" si="62"/>
        <v>720.30417784673989</v>
      </c>
      <c r="BI110" s="59">
        <f ca="1">AVERAGE(OFFSET($BH$3,0,0,'Données projet'!$E$11+1,1))-AVERAGE(OFFSET($H$3,0,0,'Données projet'!$E$11+1,1))</f>
        <v>179.55753939285887</v>
      </c>
      <c r="BJ110" s="59">
        <f t="shared" si="92"/>
        <v>147.29214162149162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46.139798785754671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46.139798785754671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-2.8421709430404007E-13</v>
      </c>
      <c r="O111" s="13">
        <f>N111*VLOOKUP('Données projet'!$B$9,Paramètres!$A$1:$I$89,3,0)*VLOOKUP('Données projet'!$B$9,Paramètres!$A$1:$I$89,5,0)</f>
        <v>-1.69961822393816E-13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195.14508560011791</v>
      </c>
      <c r="T111" s="59">
        <f t="shared" si="88"/>
        <v>285.1531413455931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29.600698274543998</v>
      </c>
      <c r="AA111" s="21">
        <f>EXP(-LN(2)/25)*AA110+(1-EXP(-LN(2)/25))/(LN(2)/25)*Calculateur!V111*Calculateur!X111*VLOOKUP('Données projet'!$B$9,Paramètres!$A$1:$I$89,3,0)*0.475*44/12</f>
        <v>8.3533499373023901</v>
      </c>
      <c r="AB111" s="21">
        <f>EXP(-LN(2)/2)*AB110+(1-EXP(-LN(2)/2))/(LN(2)/2)*V111*Y111*VLOOKUP('Données projet'!$B$9,Paramètres!$A$1:$I$89,3,0)*0.475*44/12</f>
        <v>1.2214020693955514E-8</v>
      </c>
      <c r="AC111" s="22">
        <f t="shared" si="57"/>
        <v>37.954048224060408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-2.8421709430404007E-13</v>
      </c>
      <c r="AJ111" s="13">
        <f>AI111*VLOOKUP('Données projet'!$B$10,Paramètres!$A$1:$I$89,3,0)*VLOOKUP('Données projet'!$B$10,Paramètres!$A$1:$I$89,5,0)</f>
        <v>-1.69961822393816E-13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195.14508560011791</v>
      </c>
      <c r="AO111" s="59">
        <f t="shared" si="90"/>
        <v>285.1531413455931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29.600698274543998</v>
      </c>
      <c r="AV111" s="21">
        <f>EXP(-LN(2)/25)*AV110+(1-EXP(-LN(2)/25))/(LN(2)/25)*Calculateur!AQ111*Calculateur!AS111*VLOOKUP('Données projet'!$B$10,Paramètres!$A$1:$I$89,3,0)*0.475*44/12</f>
        <v>8.3533499373023901</v>
      </c>
      <c r="AW111" s="21">
        <f>EXP(-LN(2)/2)*AW110+(1-EXP(-LN(2)/2))/(LN(2)/2)*AQ111*AT111*VLOOKUP('Données projet'!$B$10,Paramètres!$A$1:$I$89,3,0)*0.475*44/12</f>
        <v>1.2214020693955514E-8</v>
      </c>
      <c r="AX111" s="21">
        <f t="shared" si="60"/>
        <v>37.954048224060408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5.9115384630000021</v>
      </c>
      <c r="BD111" s="12">
        <f>IF('Données projet'!$A$88&gt;35,BD110+BC111-BL110,IF(A111&lt;'Données projet'!$A$88,$BA$205^A111,IF(A111='Données projet'!$A$88,'Données projet'!$B$88,BD110+BC111-BL110)))</f>
        <v>238.85897438499993</v>
      </c>
      <c r="BE111" s="13">
        <f>BD111*VLOOKUP('Données projet'!$B$11,Paramètres!$A$1:$I$89,3,0)*VLOOKUP('Données projet'!$B$11,Paramètres!$A$1:$I$89,5,0)</f>
        <v>201.21480002192396</v>
      </c>
      <c r="BF111" s="13">
        <f t="shared" si="91"/>
        <v>50.011049836575012</v>
      </c>
      <c r="BG111" s="20">
        <f t="shared" si="61"/>
        <v>437.55168850355238</v>
      </c>
      <c r="BH111" s="59">
        <f t="shared" si="62"/>
        <v>730.8850218368857</v>
      </c>
      <c r="BI111" s="59">
        <f ca="1">AVERAGE(OFFSET($BH$3,0,0,'Données projet'!$E$11+1,1))-AVERAGE(OFFSET($H$3,0,0,'Données projet'!$E$11+1,1))</f>
        <v>179.55753939285887</v>
      </c>
      <c r="BJ111" s="59">
        <f t="shared" si="92"/>
        <v>147.29214162149162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45.235025474064443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45.235025474064443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-2.8421709430404007E-13</v>
      </c>
      <c r="O112" s="13">
        <f>N112*VLOOKUP('Données projet'!$B$9,Paramètres!$A$1:$I$89,3,0)*VLOOKUP('Données projet'!$B$9,Paramètres!$A$1:$I$89,5,0)</f>
        <v>-1.69961822393816E-13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195.14508560011791</v>
      </c>
      <c r="T112" s="59">
        <f t="shared" si="88"/>
        <v>285.1531413455931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29.020246636023391</v>
      </c>
      <c r="AA112" s="21">
        <f>EXP(-LN(2)/25)*AA111+(1-EXP(-LN(2)/25))/(LN(2)/25)*Calculateur!V112*Calculateur!X112*VLOOKUP('Données projet'!$B$9,Paramètres!$A$1:$I$89,3,0)*0.475*44/12</f>
        <v>8.1249271439832746</v>
      </c>
      <c r="AB112" s="21">
        <f>EXP(-LN(2)/2)*AB111+(1-EXP(-LN(2)/2))/(LN(2)/2)*V112*Y112*VLOOKUP('Données projet'!$B$9,Paramètres!$A$1:$I$89,3,0)*0.475*44/12</f>
        <v>8.6366168582487651E-9</v>
      </c>
      <c r="AC112" s="22">
        <f t="shared" si="57"/>
        <v>37.145173788643284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-2.8421709430404007E-13</v>
      </c>
      <c r="AJ112" s="13">
        <f>AI112*VLOOKUP('Données projet'!$B$10,Paramètres!$A$1:$I$89,3,0)*VLOOKUP('Données projet'!$B$10,Paramètres!$A$1:$I$89,5,0)</f>
        <v>-1.69961822393816E-13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195.14508560011791</v>
      </c>
      <c r="AO112" s="59">
        <f t="shared" si="90"/>
        <v>285.1531413455931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29.020246636023391</v>
      </c>
      <c r="AV112" s="21">
        <f>EXP(-LN(2)/25)*AV111+(1-EXP(-LN(2)/25))/(LN(2)/25)*Calculateur!AQ112*Calculateur!AS112*VLOOKUP('Données projet'!$B$10,Paramètres!$A$1:$I$89,3,0)*0.475*44/12</f>
        <v>8.1249271439832746</v>
      </c>
      <c r="AW112" s="21">
        <f>EXP(-LN(2)/2)*AW111+(1-EXP(-LN(2)/2))/(LN(2)/2)*AQ112*AT112*VLOOKUP('Données projet'!$B$10,Paramètres!$A$1:$I$89,3,0)*0.475*44/12</f>
        <v>8.6366168582487651E-9</v>
      </c>
      <c r="AX112" s="21">
        <f t="shared" si="60"/>
        <v>37.145173788643284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5.9115384630000021</v>
      </c>
      <c r="BD112" s="12">
        <f>IF('Données projet'!$A$88&gt;35,BD111+BC112-BL111,IF(A112&lt;'Données projet'!$A$88,$BA$205^A112,IF(A112='Données projet'!$A$88,'Données projet'!$B$88,BD111+BC112-BL111)))</f>
        <v>244.77051284799992</v>
      </c>
      <c r="BE112" s="13">
        <f>BD112*VLOOKUP('Données projet'!$B$11,Paramètres!$A$1:$I$89,3,0)*VLOOKUP('Données projet'!$B$11,Paramètres!$A$1:$I$89,5,0)</f>
        <v>206.19468002315514</v>
      </c>
      <c r="BF112" s="13">
        <f t="shared" si="91"/>
        <v>51.103144596300766</v>
      </c>
      <c r="BG112" s="20">
        <f t="shared" si="61"/>
        <v>448.12704454555234</v>
      </c>
      <c r="BH112" s="59">
        <f t="shared" si="62"/>
        <v>741.46037787888565</v>
      </c>
      <c r="BI112" s="59">
        <f ca="1">AVERAGE(OFFSET($BH$3,0,0,'Données projet'!$E$11+1,1))-AVERAGE(OFFSET($H$3,0,0,'Données projet'!$E$11+1,1))</f>
        <v>179.55753939285887</v>
      </c>
      <c r="BJ112" s="59">
        <f t="shared" si="92"/>
        <v>147.29214162149162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44.347994215159225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44.347994215159225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-2.8421709430404007E-13</v>
      </c>
      <c r="O113" s="13">
        <f>N113*VLOOKUP('Données projet'!$B$9,Paramètres!$A$1:$I$89,3,0)*VLOOKUP('Données projet'!$B$9,Paramètres!$A$1:$I$89,5,0)</f>
        <v>-1.69961822393816E-13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195.14508560011791</v>
      </c>
      <c r="T113" s="59">
        <f t="shared" si="88"/>
        <v>285.1531413455931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28.451177300093629</v>
      </c>
      <c r="AA113" s="21">
        <f>EXP(-LN(2)/25)*AA112+(1-EXP(-LN(2)/25))/(LN(2)/25)*Calculateur!V113*Calculateur!X113*VLOOKUP('Données projet'!$B$9,Paramètres!$A$1:$I$89,3,0)*0.475*44/12</f>
        <v>7.902750583959703</v>
      </c>
      <c r="AB113" s="21">
        <f>EXP(-LN(2)/2)*AB112+(1-EXP(-LN(2)/2))/(LN(2)/2)*V113*Y113*VLOOKUP('Données projet'!$B$9,Paramètres!$A$1:$I$89,3,0)*0.475*44/12</f>
        <v>6.1070103469777572E-9</v>
      </c>
      <c r="AC113" s="22">
        <f t="shared" si="57"/>
        <v>36.353927890160342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-2.8421709430404007E-13</v>
      </c>
      <c r="AJ113" s="13">
        <f>AI113*VLOOKUP('Données projet'!$B$10,Paramètres!$A$1:$I$89,3,0)*VLOOKUP('Données projet'!$B$10,Paramètres!$A$1:$I$89,5,0)</f>
        <v>-1.69961822393816E-13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195.14508560011791</v>
      </c>
      <c r="AO113" s="59">
        <f t="shared" si="90"/>
        <v>285.1531413455931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28.451177300093629</v>
      </c>
      <c r="AV113" s="21">
        <f>EXP(-LN(2)/25)*AV112+(1-EXP(-LN(2)/25))/(LN(2)/25)*Calculateur!AQ113*Calculateur!AS113*VLOOKUP('Données projet'!$B$10,Paramètres!$A$1:$I$89,3,0)*0.475*44/12</f>
        <v>7.902750583959703</v>
      </c>
      <c r="AW113" s="21">
        <f>EXP(-LN(2)/2)*AW112+(1-EXP(-LN(2)/2))/(LN(2)/2)*AQ113*AT113*VLOOKUP('Données projet'!$B$10,Paramètres!$A$1:$I$89,3,0)*0.475*44/12</f>
        <v>6.1070103469777572E-9</v>
      </c>
      <c r="AX113" s="21">
        <f t="shared" si="60"/>
        <v>36.353927890160342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5.9115384630000021</v>
      </c>
      <c r="BD113" s="12">
        <f>IF('Données projet'!$A$88&gt;35,BD112+BC113-BL112,IF(A113&lt;'Données projet'!$A$88,$BA$205^A113,IF(A113='Données projet'!$A$88,'Données projet'!$B$88,BD112+BC113-BL112)))</f>
        <v>250.68205131099992</v>
      </c>
      <c r="BE113" s="13">
        <f>BD113*VLOOKUP('Données projet'!$B$11,Paramètres!$A$1:$I$89,3,0)*VLOOKUP('Données projet'!$B$11,Paramètres!$A$1:$I$89,5,0)</f>
        <v>211.17456002438638</v>
      </c>
      <c r="BF113" s="13">
        <f t="shared" si="91"/>
        <v>52.192173236767083</v>
      </c>
      <c r="BG113" s="20">
        <f t="shared" si="61"/>
        <v>458.69706042984222</v>
      </c>
      <c r="BH113" s="59">
        <f t="shared" si="62"/>
        <v>752.03039376317554</v>
      </c>
      <c r="BI113" s="59">
        <f ca="1">AVERAGE(OFFSET($BH$3,0,0,'Données projet'!$E$11+1,1))-AVERAGE(OFFSET($H$3,0,0,'Données projet'!$E$11+1,1))</f>
        <v>179.55753939285887</v>
      </c>
      <c r="BJ113" s="59">
        <f t="shared" si="92"/>
        <v>147.29214162149162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43.4783570982055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43.4783570982055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-2.8421709430404007E-13</v>
      </c>
      <c r="O114" s="13">
        <f>N114*VLOOKUP('Données projet'!$B$9,Paramètres!$A$1:$I$89,3,0)*VLOOKUP('Données projet'!$B$9,Paramètres!$A$1:$I$89,5,0)</f>
        <v>-1.69961822393816E-13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195.14508560011791</v>
      </c>
      <c r="T114" s="59">
        <f t="shared" si="88"/>
        <v>285.1531413455931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27.89326706674343</v>
      </c>
      <c r="AA114" s="21">
        <f>EXP(-LN(2)/25)*AA113+(1-EXP(-LN(2)/25))/(LN(2)/25)*Calculateur!V114*Calculateur!X114*VLOOKUP('Données projet'!$B$9,Paramètres!$A$1:$I$89,3,0)*0.475*44/12</f>
        <v>7.6866494536537333</v>
      </c>
      <c r="AB114" s="21">
        <f>EXP(-LN(2)/2)*AB113+(1-EXP(-LN(2)/2))/(LN(2)/2)*V114*Y114*VLOOKUP('Données projet'!$B$9,Paramètres!$A$1:$I$89,3,0)*0.475*44/12</f>
        <v>4.3183084291243826E-9</v>
      </c>
      <c r="AC114" s="22">
        <f t="shared" si="57"/>
        <v>35.579916524715472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-2.8421709430404007E-13</v>
      </c>
      <c r="AJ114" s="13">
        <f>AI114*VLOOKUP('Données projet'!$B$10,Paramètres!$A$1:$I$89,3,0)*VLOOKUP('Données projet'!$B$10,Paramètres!$A$1:$I$89,5,0)</f>
        <v>-1.69961822393816E-13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195.14508560011791</v>
      </c>
      <c r="AO114" s="59">
        <f t="shared" si="90"/>
        <v>285.1531413455931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27.89326706674343</v>
      </c>
      <c r="AV114" s="21">
        <f>EXP(-LN(2)/25)*AV113+(1-EXP(-LN(2)/25))/(LN(2)/25)*Calculateur!AQ114*Calculateur!AS114*VLOOKUP('Données projet'!$B$10,Paramètres!$A$1:$I$89,3,0)*0.475*44/12</f>
        <v>7.6866494536537333</v>
      </c>
      <c r="AW114" s="21">
        <f>EXP(-LN(2)/2)*AW113+(1-EXP(-LN(2)/2))/(LN(2)/2)*AQ114*AT114*VLOOKUP('Données projet'!$B$10,Paramètres!$A$1:$I$89,3,0)*0.475*44/12</f>
        <v>4.3183084291243826E-9</v>
      </c>
      <c r="AX114" s="21">
        <f t="shared" si="60"/>
        <v>35.579916524715472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5.9115384630000021</v>
      </c>
      <c r="BD114" s="12">
        <f>IF('Données projet'!$A$88&gt;35,BD113+BC114-BL113,IF(A114&lt;'Données projet'!$A$88,$BA$205^A114,IF(A114='Données projet'!$A$88,'Données projet'!$B$88,BD113+BC114-BL113)))</f>
        <v>256.59358977399995</v>
      </c>
      <c r="BE114" s="13">
        <f>BD114*VLOOKUP('Données projet'!$B$11,Paramètres!$A$1:$I$89,3,0)*VLOOKUP('Données projet'!$B$11,Paramètres!$A$1:$I$89,5,0)</f>
        <v>216.15444002561759</v>
      </c>
      <c r="BF114" s="13">
        <f t="shared" si="91"/>
        <v>53.278216383325024</v>
      </c>
      <c r="BG114" s="20">
        <f t="shared" si="61"/>
        <v>469.26187657890824</v>
      </c>
      <c r="BH114" s="59">
        <f t="shared" si="62"/>
        <v>762.59520991224156</v>
      </c>
      <c r="BI114" s="59">
        <f ca="1">AVERAGE(OFFSET($BH$3,0,0,'Données projet'!$E$11+1,1))-AVERAGE(OFFSET($H$3,0,0,'Données projet'!$E$11+1,1))</f>
        <v>179.55753939285887</v>
      </c>
      <c r="BJ114" s="59">
        <f t="shared" si="92"/>
        <v>147.29214162149162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42.625773034688969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42.625773034688969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-2.8421709430404007E-13</v>
      </c>
      <c r="O115" s="13">
        <f>N115*VLOOKUP('Données projet'!$B$9,Paramètres!$A$1:$I$89,3,0)*VLOOKUP('Données projet'!$B$9,Paramètres!$A$1:$I$89,5,0)</f>
        <v>-1.69961822393816E-13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195.14508560011791</v>
      </c>
      <c r="T115" s="59">
        <f t="shared" si="88"/>
        <v>285.1531413455931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27.346297112777588</v>
      </c>
      <c r="AA115" s="21">
        <f>EXP(-LN(2)/25)*AA114+(1-EXP(-LN(2)/25))/(LN(2)/25)*Calculateur!V115*Calculateur!X115*VLOOKUP('Données projet'!$B$9,Paramètres!$A$1:$I$89,3,0)*0.475*44/12</f>
        <v>7.4764576201202448</v>
      </c>
      <c r="AB115" s="21">
        <f>EXP(-LN(2)/2)*AB114+(1-EXP(-LN(2)/2))/(LN(2)/2)*V115*Y115*VLOOKUP('Données projet'!$B$9,Paramètres!$A$1:$I$89,3,0)*0.475*44/12</f>
        <v>3.0535051734888786E-9</v>
      </c>
      <c r="AC115" s="22">
        <f t="shared" si="57"/>
        <v>34.822754735951342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-2.8421709430404007E-13</v>
      </c>
      <c r="AJ115" s="13">
        <f>AI115*VLOOKUP('Données projet'!$B$10,Paramètres!$A$1:$I$89,3,0)*VLOOKUP('Données projet'!$B$10,Paramètres!$A$1:$I$89,5,0)</f>
        <v>-1.69961822393816E-13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195.14508560011791</v>
      </c>
      <c r="AO115" s="59">
        <f t="shared" si="90"/>
        <v>285.1531413455931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27.346297112777588</v>
      </c>
      <c r="AV115" s="21">
        <f>EXP(-LN(2)/25)*AV114+(1-EXP(-LN(2)/25))/(LN(2)/25)*Calculateur!AQ115*Calculateur!AS115*VLOOKUP('Données projet'!$B$10,Paramètres!$A$1:$I$89,3,0)*0.475*44/12</f>
        <v>7.4764576201202448</v>
      </c>
      <c r="AW115" s="21">
        <f>EXP(-LN(2)/2)*AW114+(1-EXP(-LN(2)/2))/(LN(2)/2)*AQ115*AT115*VLOOKUP('Données projet'!$B$10,Paramètres!$A$1:$I$89,3,0)*0.475*44/12</f>
        <v>3.0535051734888786E-9</v>
      </c>
      <c r="AX115" s="21">
        <f t="shared" si="60"/>
        <v>34.822754735951342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5.9115384630000021</v>
      </c>
      <c r="BD115" s="12">
        <f>IF('Données projet'!$A$88&gt;35,BD114+BC115-BL114,IF(A115&lt;'Données projet'!$A$88,$BA$205^A115,IF(A115='Données projet'!$A$88,'Données projet'!$B$88,BD114+BC115-BL114)))</f>
        <v>262.50512823699995</v>
      </c>
      <c r="BE115" s="13">
        <f>BD115*VLOOKUP('Données projet'!$B$11,Paramètres!$A$1:$I$89,3,0)*VLOOKUP('Données projet'!$B$11,Paramètres!$A$1:$I$89,5,0)</f>
        <v>221.13432002684877</v>
      </c>
      <c r="BF115" s="13">
        <f t="shared" si="91"/>
        <v>54.361350734356087</v>
      </c>
      <c r="BG115" s="20">
        <f t="shared" si="61"/>
        <v>479.82162657576509</v>
      </c>
      <c r="BH115" s="59">
        <f t="shared" si="62"/>
        <v>773.15495990909835</v>
      </c>
      <c r="BI115" s="59">
        <f ca="1">AVERAGE(OFFSET($BH$3,0,0,'Données projet'!$E$11+1,1))-AVERAGE(OFFSET($H$3,0,0,'Données projet'!$E$11+1,1))</f>
        <v>179.55753939285887</v>
      </c>
      <c r="BJ115" s="59">
        <f t="shared" si="92"/>
        <v>147.29214162149162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41.789907624633067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41.789907624633067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-2.8421709430404007E-13</v>
      </c>
      <c r="O116" s="13">
        <f>N116*VLOOKUP('Données projet'!$B$9,Paramètres!$A$1:$I$89,3,0)*VLOOKUP('Données projet'!$B$9,Paramètres!$A$1:$I$89,5,0)</f>
        <v>-1.69961822393816E-13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195.14508560011791</v>
      </c>
      <c r="T116" s="59">
        <f t="shared" si="88"/>
        <v>285.1531413455931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26.810052905990286</v>
      </c>
      <c r="AA116" s="21">
        <f>EXP(-LN(2)/25)*AA115+(1-EXP(-LN(2)/25))/(LN(2)/25)*Calculateur!V116*Calculateur!X116*VLOOKUP('Données projet'!$B$9,Paramètres!$A$1:$I$89,3,0)*0.475*44/12</f>
        <v>7.2720134933282381</v>
      </c>
      <c r="AB116" s="21">
        <f>EXP(-LN(2)/2)*AB115+(1-EXP(-LN(2)/2))/(LN(2)/2)*V116*Y116*VLOOKUP('Données projet'!$B$9,Paramètres!$A$1:$I$89,3,0)*0.475*44/12</f>
        <v>2.1591542145621913E-9</v>
      </c>
      <c r="AC116" s="22">
        <f t="shared" si="57"/>
        <v>34.082066401477675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-2.8421709430404007E-13</v>
      </c>
      <c r="AJ116" s="13">
        <f>AI116*VLOOKUP('Données projet'!$B$10,Paramètres!$A$1:$I$89,3,0)*VLOOKUP('Données projet'!$B$10,Paramètres!$A$1:$I$89,5,0)</f>
        <v>-1.69961822393816E-13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195.14508560011791</v>
      </c>
      <c r="AO116" s="59">
        <f t="shared" si="90"/>
        <v>285.1531413455931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26.810052905990286</v>
      </c>
      <c r="AV116" s="21">
        <f>EXP(-LN(2)/25)*AV115+(1-EXP(-LN(2)/25))/(LN(2)/25)*Calculateur!AQ116*Calculateur!AS116*VLOOKUP('Données projet'!$B$10,Paramètres!$A$1:$I$89,3,0)*0.475*44/12</f>
        <v>7.2720134933282381</v>
      </c>
      <c r="AW116" s="21">
        <f>EXP(-LN(2)/2)*AW115+(1-EXP(-LN(2)/2))/(LN(2)/2)*AQ116*AT116*VLOOKUP('Données projet'!$B$10,Paramètres!$A$1:$I$89,3,0)*0.475*44/12</f>
        <v>2.1591542145621913E-9</v>
      </c>
      <c r="AX116" s="21">
        <f t="shared" si="60"/>
        <v>34.082066401477675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>
        <f>VLOOKUP(A116,'Données projet'!$A$87:$I$107,2,0)</f>
        <v>268.41666670000001</v>
      </c>
      <c r="BB116" s="12">
        <f>VLOOKUP(A116,'Données projet'!$A$87:$I$107,9,0)</f>
        <v>5.9115384630000021</v>
      </c>
      <c r="BC116" s="12">
        <f t="array" ref="BC116">INDEX(BB:BB,MIN(IF(ISNUMBER(BB116:BB312),ROW(BB116:BB312),"")))</f>
        <v>5.9115384630000021</v>
      </c>
      <c r="BD116" s="12">
        <f>IF('Données projet'!$A$88&gt;35,BD115+BC116-BL115,IF(A116&lt;'Données projet'!$A$88,$BA$205^A116,IF(A116='Données projet'!$A$88,'Données projet'!$B$88,BD115+BC116-BL115)))</f>
        <v>268.41666669999995</v>
      </c>
      <c r="BE116" s="13">
        <f>BD116*VLOOKUP('Données projet'!$B$11,Paramètres!$A$1:$I$89,3,0)*VLOOKUP('Données projet'!$B$11,Paramètres!$A$1:$I$89,5,0)</f>
        <v>226.11420002807998</v>
      </c>
      <c r="BF116" s="13">
        <f t="shared" si="91"/>
        <v>55.441649336601621</v>
      </c>
      <c r="BG116" s="20">
        <f t="shared" si="61"/>
        <v>490.37643764348712</v>
      </c>
      <c r="BH116" s="59">
        <f t="shared" si="62"/>
        <v>783.70977097682044</v>
      </c>
      <c r="BI116" s="59">
        <f ca="1">AVERAGE(OFFSET($BH$3,0,0,'Données projet'!$E$11+1,1))-AVERAGE(OFFSET($H$3,0,0,'Données projet'!$E$11+1,1))</f>
        <v>179.55753939285887</v>
      </c>
      <c r="BJ116" s="59">
        <f t="shared" si="92"/>
        <v>147.29214162149162</v>
      </c>
      <c r="BK116" s="15">
        <f>IF(ISNA(VLOOKUP(A116,'Données projet'!$A$87:$I$107,3,0)),0,VLOOKUP(A116,'Données projet'!$A$87:$I$107,3,0))</f>
        <v>10</v>
      </c>
      <c r="BL116" s="15">
        <f>IF(ISNA(VLOOKUP(A116,'Données projet'!$A$87:$I$107,4,0)),0,VLOOKUP(A116,'Données projet'!$A$87:$I$107,4,0))</f>
        <v>47.141025640000002</v>
      </c>
      <c r="BM116" s="16">
        <f>IF(ISNA(VLOOKUP(A116,'Données projet'!$A$87:$I$107,5,0)),0%,VLOOKUP(A116,'Données projet'!$A$87:$I$107,5,0)*VLOOKUP('Données projet'!$B$11,Paramètres!$A$1:$I$89,7,0))</f>
        <v>0.38700000000000001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57.959732066805259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57.959732066805259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-2.8421709430404007E-13</v>
      </c>
      <c r="O117" s="13">
        <f>N117*VLOOKUP('Données projet'!$B$9,Paramètres!$A$1:$I$89,3,0)*VLOOKUP('Données projet'!$B$9,Paramètres!$A$1:$I$89,5,0)</f>
        <v>-1.69961822393816E-13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195.14508560011791</v>
      </c>
      <c r="T117" s="59">
        <f t="shared" si="88"/>
        <v>285.1531413455931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26.284324121021413</v>
      </c>
      <c r="AA117" s="21">
        <f>EXP(-LN(2)/25)*AA116+(1-EXP(-LN(2)/25))/(LN(2)/25)*Calculateur!V117*Calculateur!X117*VLOOKUP('Données projet'!$B$9,Paramètres!$A$1:$I$89,3,0)*0.475*44/12</f>
        <v>7.0731599019346083</v>
      </c>
      <c r="AB117" s="21">
        <f>EXP(-LN(2)/2)*AB116+(1-EXP(-LN(2)/2))/(LN(2)/2)*V117*Y117*VLOOKUP('Données projet'!$B$9,Paramètres!$A$1:$I$89,3,0)*0.475*44/12</f>
        <v>1.5267525867444393E-9</v>
      </c>
      <c r="AC117" s="22">
        <f t="shared" si="57"/>
        <v>33.357484024482773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-2.8421709430404007E-13</v>
      </c>
      <c r="AJ117" s="13">
        <f>AI117*VLOOKUP('Données projet'!$B$10,Paramètres!$A$1:$I$89,3,0)*VLOOKUP('Données projet'!$B$10,Paramètres!$A$1:$I$89,5,0)</f>
        <v>-1.69961822393816E-13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195.14508560011791</v>
      </c>
      <c r="AO117" s="59">
        <f t="shared" si="90"/>
        <v>285.1531413455931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26.284324121021413</v>
      </c>
      <c r="AV117" s="21">
        <f>EXP(-LN(2)/25)*AV116+(1-EXP(-LN(2)/25))/(LN(2)/25)*Calculateur!AQ117*Calculateur!AS117*VLOOKUP('Données projet'!$B$10,Paramètres!$A$1:$I$89,3,0)*0.475*44/12</f>
        <v>7.0731599019346083</v>
      </c>
      <c r="AW117" s="21">
        <f>EXP(-LN(2)/2)*AW116+(1-EXP(-LN(2)/2))/(LN(2)/2)*AQ117*AT117*VLOOKUP('Données projet'!$B$10,Paramètres!$A$1:$I$89,3,0)*0.475*44/12</f>
        <v>1.5267525867444393E-9</v>
      </c>
      <c r="AX117" s="21">
        <f t="shared" si="60"/>
        <v>33.357484024482773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5.8570512740000025</v>
      </c>
      <c r="BD117" s="12">
        <f>IF('Données projet'!$A$88&gt;35,BD116+BC117-BL116,IF(A117&lt;'Données projet'!$A$88,$BA$205^A117,IF(A117='Données projet'!$A$88,'Données projet'!$B$88,BD116+BC117-BL116)))</f>
        <v>227.13269233399996</v>
      </c>
      <c r="BE117" s="13">
        <f>BD117*VLOOKUP('Données projet'!$B$11,Paramètres!$A$1:$I$89,3,0)*VLOOKUP('Données projet'!$B$11,Paramètres!$A$1:$I$89,5,0)</f>
        <v>191.33658002216157</v>
      </c>
      <c r="BF117" s="13">
        <f t="shared" si="91"/>
        <v>47.835331050778933</v>
      </c>
      <c r="BG117" s="20">
        <f t="shared" si="61"/>
        <v>416.55774511870476</v>
      </c>
      <c r="BH117" s="59">
        <f t="shared" si="62"/>
        <v>709.89107845203807</v>
      </c>
      <c r="BI117" s="59">
        <f ca="1">AVERAGE(OFFSET($BH$3,0,0,'Données projet'!$E$11+1,1))-AVERAGE(OFFSET($H$3,0,0,'Données projet'!$E$11+1,1))</f>
        <v>179.55753939285887</v>
      </c>
      <c r="BJ117" s="59">
        <f t="shared" si="92"/>
        <v>147.29214162149162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56.823177072921055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56.823177072921055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-2.8421709430404007E-13</v>
      </c>
      <c r="O118" s="13">
        <f>N118*VLOOKUP('Données projet'!$B$9,Paramètres!$A$1:$I$89,3,0)*VLOOKUP('Données projet'!$B$9,Paramètres!$A$1:$I$89,5,0)</f>
        <v>-1.69961822393816E-13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195.14508560011791</v>
      </c>
      <c r="T118" s="59">
        <f t="shared" si="88"/>
        <v>285.1531413455931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25.768904556862882</v>
      </c>
      <c r="AA118" s="21">
        <f>EXP(-LN(2)/25)*AA117+(1-EXP(-LN(2)/25))/(LN(2)/25)*Calculateur!V118*Calculateur!X118*VLOOKUP('Données projet'!$B$9,Paramètres!$A$1:$I$89,3,0)*0.475*44/12</f>
        <v>6.879743972454893</v>
      </c>
      <c r="AB118" s="21">
        <f>EXP(-LN(2)/2)*AB117+(1-EXP(-LN(2)/2))/(LN(2)/2)*V118*Y118*VLOOKUP('Données projet'!$B$9,Paramètres!$A$1:$I$89,3,0)*0.475*44/12</f>
        <v>1.0795771072810956E-9</v>
      </c>
      <c r="AC118" s="22">
        <f t="shared" si="57"/>
        <v>32.648648530397352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-2.8421709430404007E-13</v>
      </c>
      <c r="AJ118" s="13">
        <f>AI118*VLOOKUP('Données projet'!$B$10,Paramètres!$A$1:$I$89,3,0)*VLOOKUP('Données projet'!$B$10,Paramètres!$A$1:$I$89,5,0)</f>
        <v>-1.69961822393816E-13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195.14508560011791</v>
      </c>
      <c r="AO118" s="59">
        <f t="shared" si="90"/>
        <v>285.1531413455931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25.768904556862882</v>
      </c>
      <c r="AV118" s="21">
        <f>EXP(-LN(2)/25)*AV117+(1-EXP(-LN(2)/25))/(LN(2)/25)*Calculateur!AQ118*Calculateur!AS118*VLOOKUP('Données projet'!$B$10,Paramètres!$A$1:$I$89,3,0)*0.475*44/12</f>
        <v>6.879743972454893</v>
      </c>
      <c r="AW118" s="21">
        <f>EXP(-LN(2)/2)*AW117+(1-EXP(-LN(2)/2))/(LN(2)/2)*AQ118*AT118*VLOOKUP('Données projet'!$B$10,Paramètres!$A$1:$I$89,3,0)*0.475*44/12</f>
        <v>1.0795771072810956E-9</v>
      </c>
      <c r="AX118" s="21">
        <f t="shared" si="60"/>
        <v>32.648648530397352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5.8570512740000025</v>
      </c>
      <c r="BD118" s="12">
        <f>IF('Données projet'!$A$88&gt;35,BD117+BC118-BL117,IF(A118&lt;'Données projet'!$A$88,$BA$205^A118,IF(A118='Données projet'!$A$88,'Données projet'!$B$88,BD117+BC118-BL117)))</f>
        <v>232.98974360799997</v>
      </c>
      <c r="BE118" s="13">
        <f>BD118*VLOOKUP('Données projet'!$B$11,Paramètres!$A$1:$I$89,3,0)*VLOOKUP('Données projet'!$B$11,Paramètres!$A$1:$I$89,5,0)</f>
        <v>196.2705600153792</v>
      </c>
      <c r="BF118" s="13">
        <f t="shared" si="91"/>
        <v>48.923653957149064</v>
      </c>
      <c r="BG118" s="20">
        <f t="shared" si="61"/>
        <v>427.04658933548671</v>
      </c>
      <c r="BH118" s="59">
        <f t="shared" si="62"/>
        <v>720.37992266881997</v>
      </c>
      <c r="BI118" s="59">
        <f ca="1">AVERAGE(OFFSET($BH$3,0,0,'Données projet'!$E$11+1,1))-AVERAGE(OFFSET($H$3,0,0,'Données projet'!$E$11+1,1))</f>
        <v>179.55753939285887</v>
      </c>
      <c r="BJ118" s="59">
        <f t="shared" si="92"/>
        <v>147.29214162149162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55.708909229236824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55.708909229236824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-2.8421709430404007E-13</v>
      </c>
      <c r="O119" s="13">
        <f>N119*VLOOKUP('Données projet'!$B$9,Paramètres!$A$1:$I$89,3,0)*VLOOKUP('Données projet'!$B$9,Paramètres!$A$1:$I$89,5,0)</f>
        <v>-1.69961822393816E-13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195.14508560011791</v>
      </c>
      <c r="T119" s="59">
        <f t="shared" si="88"/>
        <v>285.1531413455931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25.26359205598261</v>
      </c>
      <c r="AA119" s="21">
        <f>EXP(-LN(2)/25)*AA118+(1-EXP(-LN(2)/25))/(LN(2)/25)*Calculateur!V119*Calculateur!X119*VLOOKUP('Données projet'!$B$9,Paramètres!$A$1:$I$89,3,0)*0.475*44/12</f>
        <v>6.691617011738102</v>
      </c>
      <c r="AB119" s="21">
        <f>EXP(-LN(2)/2)*AB118+(1-EXP(-LN(2)/2))/(LN(2)/2)*V119*Y119*VLOOKUP('Données projet'!$B$9,Paramètres!$A$1:$I$89,3,0)*0.475*44/12</f>
        <v>7.6337629337221965E-10</v>
      </c>
      <c r="AC119" s="22">
        <f t="shared" si="57"/>
        <v>31.955209068484088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-2.8421709430404007E-13</v>
      </c>
      <c r="AJ119" s="13">
        <f>AI119*VLOOKUP('Données projet'!$B$10,Paramètres!$A$1:$I$89,3,0)*VLOOKUP('Données projet'!$B$10,Paramètres!$A$1:$I$89,5,0)</f>
        <v>-1.69961822393816E-13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195.14508560011791</v>
      </c>
      <c r="AO119" s="59">
        <f t="shared" si="90"/>
        <v>285.1531413455931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25.26359205598261</v>
      </c>
      <c r="AV119" s="21">
        <f>EXP(-LN(2)/25)*AV118+(1-EXP(-LN(2)/25))/(LN(2)/25)*Calculateur!AQ119*Calculateur!AS119*VLOOKUP('Données projet'!$B$10,Paramètres!$A$1:$I$89,3,0)*0.475*44/12</f>
        <v>6.691617011738102</v>
      </c>
      <c r="AW119" s="21">
        <f>EXP(-LN(2)/2)*AW118+(1-EXP(-LN(2)/2))/(LN(2)/2)*AQ119*AT119*VLOOKUP('Données projet'!$B$10,Paramètres!$A$1:$I$89,3,0)*0.475*44/12</f>
        <v>7.6337629337221965E-10</v>
      </c>
      <c r="AX119" s="21">
        <f t="shared" si="60"/>
        <v>31.955209068484088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5.8570512740000025</v>
      </c>
      <c r="BD119" s="12">
        <f>IF('Données projet'!$A$88&gt;35,BD118+BC119-BL118,IF(A119&lt;'Données projet'!$A$88,$BA$205^A119,IF(A119='Données projet'!$A$88,'Données projet'!$B$88,BD118+BC119-BL118)))</f>
        <v>238.84679488199998</v>
      </c>
      <c r="BE119" s="13">
        <f>BD119*VLOOKUP('Données projet'!$B$11,Paramètres!$A$1:$I$89,3,0)*VLOOKUP('Données projet'!$B$11,Paramètres!$A$1:$I$89,5,0)</f>
        <v>201.20454000859681</v>
      </c>
      <c r="BF119" s="13">
        <f t="shared" si="91"/>
        <v>50.008796578319213</v>
      </c>
      <c r="BG119" s="20">
        <f t="shared" si="61"/>
        <v>437.52989455554535</v>
      </c>
      <c r="BH119" s="59">
        <f t="shared" si="62"/>
        <v>730.86322788887867</v>
      </c>
      <c r="BI119" s="59">
        <f ca="1">AVERAGE(OFFSET($BH$3,0,0,'Données projet'!$E$11+1,1))-AVERAGE(OFFSET($H$3,0,0,'Données projet'!$E$11+1,1))</f>
        <v>179.55753939285887</v>
      </c>
      <c r="BJ119" s="59">
        <f t="shared" si="92"/>
        <v>147.29214162149162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54.616491498330966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54.616491498330966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-2.8421709430404007E-13</v>
      </c>
      <c r="O120" s="13">
        <f>N120*VLOOKUP('Données projet'!$B$9,Paramètres!$A$1:$I$89,3,0)*VLOOKUP('Données projet'!$B$9,Paramètres!$A$1:$I$89,5,0)</f>
        <v>-1.69961822393816E-13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195.14508560011791</v>
      </c>
      <c r="T120" s="59">
        <f t="shared" si="88"/>
        <v>285.1531413455931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24.768188425034406</v>
      </c>
      <c r="AA120" s="21">
        <f>EXP(-LN(2)/25)*AA119+(1-EXP(-LN(2)/25))/(LN(2)/25)*Calculateur!V120*Calculateur!X120*VLOOKUP('Données projet'!$B$9,Paramètres!$A$1:$I$89,3,0)*0.475*44/12</f>
        <v>6.5086343926552788</v>
      </c>
      <c r="AB120" s="21">
        <f>EXP(-LN(2)/2)*AB119+(1-EXP(-LN(2)/2))/(LN(2)/2)*V120*Y120*VLOOKUP('Données projet'!$B$9,Paramètres!$A$1:$I$89,3,0)*0.475*44/12</f>
        <v>5.3978855364054782E-10</v>
      </c>
      <c r="AC120" s="22">
        <f t="shared" si="57"/>
        <v>31.276822818229473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-2.8421709430404007E-13</v>
      </c>
      <c r="AJ120" s="13">
        <f>AI120*VLOOKUP('Données projet'!$B$10,Paramètres!$A$1:$I$89,3,0)*VLOOKUP('Données projet'!$B$10,Paramètres!$A$1:$I$89,5,0)</f>
        <v>-1.69961822393816E-13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195.14508560011791</v>
      </c>
      <c r="AO120" s="59">
        <f t="shared" si="90"/>
        <v>285.1531413455931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24.768188425034406</v>
      </c>
      <c r="AV120" s="21">
        <f>EXP(-LN(2)/25)*AV119+(1-EXP(-LN(2)/25))/(LN(2)/25)*Calculateur!AQ120*Calculateur!AS120*VLOOKUP('Données projet'!$B$10,Paramètres!$A$1:$I$89,3,0)*0.475*44/12</f>
        <v>6.5086343926552788</v>
      </c>
      <c r="AW120" s="21">
        <f>EXP(-LN(2)/2)*AW119+(1-EXP(-LN(2)/2))/(LN(2)/2)*AQ120*AT120*VLOOKUP('Données projet'!$B$10,Paramètres!$A$1:$I$89,3,0)*0.475*44/12</f>
        <v>5.3978855364054782E-10</v>
      </c>
      <c r="AX120" s="21">
        <f t="shared" si="60"/>
        <v>31.276822818229473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5.8570512740000025</v>
      </c>
      <c r="BD120" s="12">
        <f>IF('Données projet'!$A$88&gt;35,BD119+BC120-BL119,IF(A120&lt;'Données projet'!$A$88,$BA$205^A120,IF(A120='Données projet'!$A$88,'Données projet'!$B$88,BD119+BC120-BL119)))</f>
        <v>244.703846156</v>
      </c>
      <c r="BE120" s="13">
        <f>BD120*VLOOKUP('Données projet'!$B$11,Paramètres!$A$1:$I$89,3,0)*VLOOKUP('Données projet'!$B$11,Paramètres!$A$1:$I$89,5,0)</f>
        <v>206.13852000181444</v>
      </c>
      <c r="BF120" s="13">
        <f t="shared" si="91"/>
        <v>51.090845873156397</v>
      </c>
      <c r="BG120" s="20">
        <f t="shared" si="61"/>
        <v>448.00781223224084</v>
      </c>
      <c r="BH120" s="59">
        <f t="shared" si="62"/>
        <v>741.34114556557415</v>
      </c>
      <c r="BI120" s="59">
        <f ca="1">AVERAGE(OFFSET($BH$3,0,0,'Données projet'!$E$11+1,1))-AVERAGE(OFFSET($H$3,0,0,'Données projet'!$E$11+1,1))</f>
        <v>179.55753939285887</v>
      </c>
      <c r="BJ120" s="59">
        <f t="shared" si="92"/>
        <v>147.29214162149162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53.545495412819143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53.545495412819143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-2.8421709430404007E-13</v>
      </c>
      <c r="O121" s="13">
        <f>N121*VLOOKUP('Données projet'!$B$9,Paramètres!$A$1:$I$89,3,0)*VLOOKUP('Données projet'!$B$9,Paramètres!$A$1:$I$89,5,0)</f>
        <v>-1.69961822393816E-13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195.14508560011791</v>
      </c>
      <c r="T121" s="59">
        <f t="shared" si="88"/>
        <v>285.1531413455931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24.282499357122717</v>
      </c>
      <c r="AA121" s="21">
        <f>EXP(-LN(2)/25)*AA120+(1-EXP(-LN(2)/25))/(LN(2)/25)*Calculateur!V121*Calculateur!X121*VLOOKUP('Données projet'!$B$9,Paramètres!$A$1:$I$89,3,0)*0.475*44/12</f>
        <v>6.3306554429139128</v>
      </c>
      <c r="AB121" s="21">
        <f>EXP(-LN(2)/2)*AB120+(1-EXP(-LN(2)/2))/(LN(2)/2)*V121*Y121*VLOOKUP('Données projet'!$B$9,Paramètres!$A$1:$I$89,3,0)*0.475*44/12</f>
        <v>3.8168814668610982E-10</v>
      </c>
      <c r="AC121" s="22">
        <f t="shared" si="57"/>
        <v>30.613154800418318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-2.8421709430404007E-13</v>
      </c>
      <c r="AJ121" s="13">
        <f>AI121*VLOOKUP('Données projet'!$B$10,Paramètres!$A$1:$I$89,3,0)*VLOOKUP('Données projet'!$B$10,Paramètres!$A$1:$I$89,5,0)</f>
        <v>-1.69961822393816E-13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195.14508560011791</v>
      </c>
      <c r="AO121" s="59">
        <f t="shared" si="90"/>
        <v>285.1531413455931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24.282499357122717</v>
      </c>
      <c r="AV121" s="21">
        <f>EXP(-LN(2)/25)*AV120+(1-EXP(-LN(2)/25))/(LN(2)/25)*Calculateur!AQ121*Calculateur!AS121*VLOOKUP('Données projet'!$B$10,Paramètres!$A$1:$I$89,3,0)*0.475*44/12</f>
        <v>6.3306554429139128</v>
      </c>
      <c r="AW121" s="21">
        <f>EXP(-LN(2)/2)*AW120+(1-EXP(-LN(2)/2))/(LN(2)/2)*AQ121*AT121*VLOOKUP('Données projet'!$B$10,Paramètres!$A$1:$I$89,3,0)*0.475*44/12</f>
        <v>3.8168814668610982E-10</v>
      </c>
      <c r="AX121" s="21">
        <f t="shared" si="60"/>
        <v>30.613154800418318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5.8570512740000025</v>
      </c>
      <c r="BD121" s="12">
        <f>IF('Données projet'!$A$88&gt;35,BD120+BC121-BL120,IF(A121&lt;'Données projet'!$A$88,$BA$205^A121,IF(A121='Données projet'!$A$88,'Données projet'!$B$88,BD120+BC121-BL120)))</f>
        <v>250.56089743000001</v>
      </c>
      <c r="BE121" s="13">
        <f>BD121*VLOOKUP('Données projet'!$B$11,Paramètres!$A$1:$I$89,3,0)*VLOOKUP('Données projet'!$B$11,Paramètres!$A$1:$I$89,5,0)</f>
        <v>211.07249999503205</v>
      </c>
      <c r="BF121" s="13">
        <f t="shared" si="91"/>
        <v>52.169884400353276</v>
      </c>
      <c r="BG121" s="20">
        <f t="shared" si="61"/>
        <v>458.48048615529615</v>
      </c>
      <c r="BH121" s="59">
        <f t="shared" si="62"/>
        <v>751.81381948862941</v>
      </c>
      <c r="BI121" s="59">
        <f ca="1">AVERAGE(OFFSET($BH$3,0,0,'Données projet'!$E$11+1,1))-AVERAGE(OFFSET($H$3,0,0,'Données projet'!$E$11+1,1))</f>
        <v>179.55753939285887</v>
      </c>
      <c r="BJ121" s="59">
        <f t="shared" si="92"/>
        <v>147.29214162149162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52.4955009073011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52.4955009073011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-2.8421709430404007E-13</v>
      </c>
      <c r="O122" s="13">
        <f>N122*VLOOKUP('Données projet'!$B$9,Paramètres!$A$1:$I$89,3,0)*VLOOKUP('Données projet'!$B$9,Paramètres!$A$1:$I$89,5,0)</f>
        <v>-1.69961822393816E-13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195.14508560011791</v>
      </c>
      <c r="T122" s="59">
        <f t="shared" si="88"/>
        <v>285.1531413455931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23.806334355591698</v>
      </c>
      <c r="AA122" s="21">
        <f>EXP(-LN(2)/25)*AA121+(1-EXP(-LN(2)/25))/(LN(2)/25)*Calculateur!V122*Calculateur!X122*VLOOKUP('Données projet'!$B$9,Paramètres!$A$1:$I$89,3,0)*0.475*44/12</f>
        <v>6.157543336912731</v>
      </c>
      <c r="AB122" s="21">
        <f>EXP(-LN(2)/2)*AB121+(1-EXP(-LN(2)/2))/(LN(2)/2)*V122*Y122*VLOOKUP('Données projet'!$B$9,Paramètres!$A$1:$I$89,3,0)*0.475*44/12</f>
        <v>2.6989427682027391E-10</v>
      </c>
      <c r="AC122" s="22">
        <f t="shared" si="57"/>
        <v>29.963877692774322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-2.8421709430404007E-13</v>
      </c>
      <c r="AJ122" s="13">
        <f>AI122*VLOOKUP('Données projet'!$B$10,Paramètres!$A$1:$I$89,3,0)*VLOOKUP('Données projet'!$B$10,Paramètres!$A$1:$I$89,5,0)</f>
        <v>-1.69961822393816E-13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195.14508560011791</v>
      </c>
      <c r="AO122" s="59">
        <f t="shared" si="90"/>
        <v>285.1531413455931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23.806334355591698</v>
      </c>
      <c r="AV122" s="21">
        <f>EXP(-LN(2)/25)*AV121+(1-EXP(-LN(2)/25))/(LN(2)/25)*Calculateur!AQ122*Calculateur!AS122*VLOOKUP('Données projet'!$B$10,Paramètres!$A$1:$I$89,3,0)*0.475*44/12</f>
        <v>6.157543336912731</v>
      </c>
      <c r="AW122" s="21">
        <f>EXP(-LN(2)/2)*AW121+(1-EXP(-LN(2)/2))/(LN(2)/2)*AQ122*AT122*VLOOKUP('Données projet'!$B$10,Paramètres!$A$1:$I$89,3,0)*0.475*44/12</f>
        <v>2.6989427682027391E-10</v>
      </c>
      <c r="AX122" s="21">
        <f t="shared" si="60"/>
        <v>29.963877692774322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5.8570512740000025</v>
      </c>
      <c r="BD122" s="12">
        <f>IF('Données projet'!$A$88&gt;35,BD121+BC122-BL121,IF(A122&lt;'Données projet'!$A$88,$BA$205^A122,IF(A122='Données projet'!$A$88,'Données projet'!$B$88,BD121+BC122-BL121)))</f>
        <v>256.41794870400003</v>
      </c>
      <c r="BE122" s="13">
        <f>BD122*VLOOKUP('Données projet'!$B$11,Paramètres!$A$1:$I$89,3,0)*VLOOKUP('Données projet'!$B$11,Paramètres!$A$1:$I$89,5,0)</f>
        <v>216.00647998824962</v>
      </c>
      <c r="BF122" s="13">
        <f t="shared" si="91"/>
        <v>53.245990638654284</v>
      </c>
      <c r="BG122" s="20">
        <f t="shared" si="61"/>
        <v>468.94805300852431</v>
      </c>
      <c r="BH122" s="59">
        <f t="shared" si="62"/>
        <v>762.28138634185757</v>
      </c>
      <c r="BI122" s="59">
        <f ca="1">AVERAGE(OFFSET($BH$3,0,0,'Données projet'!$E$11+1,1))-AVERAGE(OFFSET($H$3,0,0,'Données projet'!$E$11+1,1))</f>
        <v>179.55753939285887</v>
      </c>
      <c r="BJ122" s="59">
        <f t="shared" si="92"/>
        <v>147.29214162149162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51.466096153602855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51.466096153602855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-2.8421709430404007E-13</v>
      </c>
      <c r="O123" s="13">
        <f>N123*VLOOKUP('Données projet'!$B$9,Paramètres!$A$1:$I$89,3,0)*VLOOKUP('Données projet'!$B$9,Paramètres!$A$1:$I$89,5,0)</f>
        <v>-1.69961822393816E-13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195.14508560011791</v>
      </c>
      <c r="T123" s="59">
        <f t="shared" si="88"/>
        <v>285.1531413455931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23.339506659308729</v>
      </c>
      <c r="AA123" s="21">
        <f>EXP(-LN(2)/25)*AA122+(1-EXP(-LN(2)/25))/(LN(2)/25)*Calculateur!V123*Calculateur!X123*VLOOKUP('Données projet'!$B$9,Paramètres!$A$1:$I$89,3,0)*0.475*44/12</f>
        <v>5.9891649905537214</v>
      </c>
      <c r="AB123" s="21">
        <f>EXP(-LN(2)/2)*AB122+(1-EXP(-LN(2)/2))/(LN(2)/2)*V123*Y123*VLOOKUP('Données projet'!$B$9,Paramètres!$A$1:$I$89,3,0)*0.475*44/12</f>
        <v>1.9084407334305491E-10</v>
      </c>
      <c r="AC123" s="22">
        <f t="shared" si="57"/>
        <v>29.328671650053295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-2.8421709430404007E-13</v>
      </c>
      <c r="AJ123" s="13">
        <f>AI123*VLOOKUP('Données projet'!$B$10,Paramètres!$A$1:$I$89,3,0)*VLOOKUP('Données projet'!$B$10,Paramètres!$A$1:$I$89,5,0)</f>
        <v>-1.69961822393816E-13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195.14508560011791</v>
      </c>
      <c r="AO123" s="59">
        <f t="shared" si="90"/>
        <v>285.1531413455931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23.339506659308729</v>
      </c>
      <c r="AV123" s="21">
        <f>EXP(-LN(2)/25)*AV122+(1-EXP(-LN(2)/25))/(LN(2)/25)*Calculateur!AQ123*Calculateur!AS123*VLOOKUP('Données projet'!$B$10,Paramètres!$A$1:$I$89,3,0)*0.475*44/12</f>
        <v>5.9891649905537214</v>
      </c>
      <c r="AW123" s="21">
        <f>EXP(-LN(2)/2)*AW122+(1-EXP(-LN(2)/2))/(LN(2)/2)*AQ123*AT123*VLOOKUP('Données projet'!$B$10,Paramètres!$A$1:$I$89,3,0)*0.475*44/12</f>
        <v>1.9084407334305491E-10</v>
      </c>
      <c r="AX123" s="21">
        <f t="shared" si="60"/>
        <v>29.328671650053295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5.8570512740000025</v>
      </c>
      <c r="BD123" s="12">
        <f>IF('Données projet'!$A$88&gt;35,BD122+BC123-BL122,IF(A123&lt;'Données projet'!$A$88,$BA$205^A123,IF(A123='Données projet'!$A$88,'Données projet'!$B$88,BD122+BC123-BL122)))</f>
        <v>262.27499997800004</v>
      </c>
      <c r="BE123" s="13">
        <f>BD123*VLOOKUP('Données projet'!$B$11,Paramètres!$A$1:$I$89,3,0)*VLOOKUP('Données projet'!$B$11,Paramètres!$A$1:$I$89,5,0)</f>
        <v>220.94045998146728</v>
      </c>
      <c r="BF123" s="13">
        <f t="shared" si="91"/>
        <v>54.319239276999518</v>
      </c>
      <c r="BG123" s="20">
        <f t="shared" si="61"/>
        <v>479.41064287516309</v>
      </c>
      <c r="BH123" s="59">
        <f t="shared" si="62"/>
        <v>772.74397620849641</v>
      </c>
      <c r="BI123" s="59">
        <f ca="1">AVERAGE(OFFSET($BH$3,0,0,'Données projet'!$E$11+1,1))-AVERAGE(OFFSET($H$3,0,0,'Données projet'!$E$11+1,1))</f>
        <v>179.55753939285887</v>
      </c>
      <c r="BJ123" s="59">
        <f t="shared" si="92"/>
        <v>147.29214162149162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50.456877399249734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50.456877399249734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-2.8421709430404007E-13</v>
      </c>
      <c r="O124" s="13">
        <f>N124*VLOOKUP('Données projet'!$B$9,Paramètres!$A$1:$I$89,3,0)*VLOOKUP('Données projet'!$B$9,Paramètres!$A$1:$I$89,5,0)</f>
        <v>-1.69961822393816E-13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195.14508560011791</v>
      </c>
      <c r="T124" s="59">
        <f t="shared" si="88"/>
        <v>285.1531413455931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22.881833169413088</v>
      </c>
      <c r="AA124" s="21">
        <f>EXP(-LN(2)/25)*AA123+(1-EXP(-LN(2)/25))/(LN(2)/25)*Calculateur!V124*Calculateur!X124*VLOOKUP('Données projet'!$B$9,Paramètres!$A$1:$I$89,3,0)*0.475*44/12</f>
        <v>5.825390958930531</v>
      </c>
      <c r="AB124" s="21">
        <f>EXP(-LN(2)/2)*AB123+(1-EXP(-LN(2)/2))/(LN(2)/2)*V124*Y124*VLOOKUP('Données projet'!$B$9,Paramètres!$A$1:$I$89,3,0)*0.475*44/12</f>
        <v>1.3494713841013696E-10</v>
      </c>
      <c r="AC124" s="22">
        <f t="shared" si="57"/>
        <v>28.707224128478565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-2.8421709430404007E-13</v>
      </c>
      <c r="AJ124" s="13">
        <f>AI124*VLOOKUP('Données projet'!$B$10,Paramètres!$A$1:$I$89,3,0)*VLOOKUP('Données projet'!$B$10,Paramètres!$A$1:$I$89,5,0)</f>
        <v>-1.69961822393816E-13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195.14508560011791</v>
      </c>
      <c r="AO124" s="59">
        <f t="shared" si="90"/>
        <v>285.1531413455931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22.881833169413088</v>
      </c>
      <c r="AV124" s="21">
        <f>EXP(-LN(2)/25)*AV123+(1-EXP(-LN(2)/25))/(LN(2)/25)*Calculateur!AQ124*Calculateur!AS124*VLOOKUP('Données projet'!$B$10,Paramètres!$A$1:$I$89,3,0)*0.475*44/12</f>
        <v>5.825390958930531</v>
      </c>
      <c r="AW124" s="21">
        <f>EXP(-LN(2)/2)*AW123+(1-EXP(-LN(2)/2))/(LN(2)/2)*AQ124*AT124*VLOOKUP('Données projet'!$B$10,Paramètres!$A$1:$I$89,3,0)*0.475*44/12</f>
        <v>1.3494713841013696E-10</v>
      </c>
      <c r="AX124" s="21">
        <f t="shared" si="60"/>
        <v>28.707224128478565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5.8570512740000025</v>
      </c>
      <c r="BD124" s="12">
        <f>IF('Données projet'!$A$88&gt;35,BD123+BC124-BL123,IF(A124&lt;'Données projet'!$A$88,$BA$205^A124,IF(A124='Données projet'!$A$88,'Données projet'!$B$88,BD123+BC124-BL123)))</f>
        <v>268.13205125200005</v>
      </c>
      <c r="BE124" s="13">
        <f>BD124*VLOOKUP('Données projet'!$B$11,Paramètres!$A$1:$I$89,3,0)*VLOOKUP('Données projet'!$B$11,Paramètres!$A$1:$I$89,5,0)</f>
        <v>225.87443997468486</v>
      </c>
      <c r="BF124" s="13">
        <f t="shared" si="91"/>
        <v>55.389701478019816</v>
      </c>
      <c r="BG124" s="20">
        <f t="shared" si="61"/>
        <v>489.86837969679397</v>
      </c>
      <c r="BH124" s="59">
        <f t="shared" si="62"/>
        <v>783.20171303012728</v>
      </c>
      <c r="BI124" s="59">
        <f ca="1">AVERAGE(OFFSET($BH$3,0,0,'Données projet'!$E$11+1,1))-AVERAGE(OFFSET($H$3,0,0,'Données projet'!$E$11+1,1))</f>
        <v>179.55753939285887</v>
      </c>
      <c r="BJ124" s="59">
        <f t="shared" si="92"/>
        <v>147.29214162149162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49.46744880910682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49.46744880910682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-2.8421709430404007E-13</v>
      </c>
      <c r="O125" s="13">
        <f>N125*VLOOKUP('Données projet'!$B$9,Paramètres!$A$1:$I$89,3,0)*VLOOKUP('Données projet'!$B$9,Paramètres!$A$1:$I$89,5,0)</f>
        <v>-1.69961822393816E-13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195.14508560011791</v>
      </c>
      <c r="T125" s="59">
        <f t="shared" si="88"/>
        <v>285.1531413455931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22.433134377501037</v>
      </c>
      <c r="AA125" s="21">
        <f>EXP(-LN(2)/25)*AA124+(1-EXP(-LN(2)/25))/(LN(2)/25)*Calculateur!V125*Calculateur!X125*VLOOKUP('Données projet'!$B$9,Paramètres!$A$1:$I$89,3,0)*0.475*44/12</f>
        <v>5.6660953368145792</v>
      </c>
      <c r="AB125" s="21">
        <f>EXP(-LN(2)/2)*AB124+(1-EXP(-LN(2)/2))/(LN(2)/2)*V125*Y125*VLOOKUP('Données projet'!$B$9,Paramètres!$A$1:$I$89,3,0)*0.475*44/12</f>
        <v>9.5422036671527456E-11</v>
      </c>
      <c r="AC125" s="22">
        <f t="shared" si="57"/>
        <v>28.099229714411038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-2.8421709430404007E-13</v>
      </c>
      <c r="AJ125" s="13">
        <f>AI125*VLOOKUP('Données projet'!$B$10,Paramètres!$A$1:$I$89,3,0)*VLOOKUP('Données projet'!$B$10,Paramètres!$A$1:$I$89,5,0)</f>
        <v>-1.69961822393816E-13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195.14508560011791</v>
      </c>
      <c r="AO125" s="59">
        <f t="shared" si="90"/>
        <v>285.1531413455931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22.433134377501037</v>
      </c>
      <c r="AV125" s="21">
        <f>EXP(-LN(2)/25)*AV124+(1-EXP(-LN(2)/25))/(LN(2)/25)*Calculateur!AQ125*Calculateur!AS125*VLOOKUP('Données projet'!$B$10,Paramètres!$A$1:$I$89,3,0)*0.475*44/12</f>
        <v>5.6660953368145792</v>
      </c>
      <c r="AW125" s="21">
        <f>EXP(-LN(2)/2)*AW124+(1-EXP(-LN(2)/2))/(LN(2)/2)*AQ125*AT125*VLOOKUP('Données projet'!$B$10,Paramètres!$A$1:$I$89,3,0)*0.475*44/12</f>
        <v>9.5422036671527456E-11</v>
      </c>
      <c r="AX125" s="21">
        <f t="shared" si="60"/>
        <v>28.099229714411038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5.8570512740000025</v>
      </c>
      <c r="BD125" s="12">
        <f>IF('Données projet'!$A$88&gt;35,BD124+BC125-BL124,IF(A125&lt;'Données projet'!$A$88,$BA$205^A125,IF(A125='Données projet'!$A$88,'Données projet'!$B$88,BD124+BC125-BL124)))</f>
        <v>273.98910252600007</v>
      </c>
      <c r="BE125" s="13">
        <f>BD125*VLOOKUP('Données projet'!$B$11,Paramètres!$A$1:$I$89,3,0)*VLOOKUP('Données projet'!$B$11,Paramètres!$A$1:$I$89,5,0)</f>
        <v>230.80841996790247</v>
      </c>
      <c r="BF125" s="13">
        <f t="shared" si="91"/>
        <v>56.45744511785972</v>
      </c>
      <c r="BG125" s="20">
        <f t="shared" si="61"/>
        <v>500.32138169103581</v>
      </c>
      <c r="BH125" s="59">
        <f t="shared" si="62"/>
        <v>793.65471502436912</v>
      </c>
      <c r="BI125" s="59">
        <f ca="1">AVERAGE(OFFSET($BH$3,0,0,'Données projet'!$E$11+1,1))-AVERAGE(OFFSET($H$3,0,0,'Données projet'!$E$11+1,1))</f>
        <v>179.55753939285887</v>
      </c>
      <c r="BJ125" s="59">
        <f t="shared" si="92"/>
        <v>147.29214162149162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48.497422310124755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48.497422310124755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-2.8421709430404007E-13</v>
      </c>
      <c r="O126" s="13">
        <f>N126*VLOOKUP('Données projet'!$B$9,Paramètres!$A$1:$I$89,3,0)*VLOOKUP('Données projet'!$B$9,Paramètres!$A$1:$I$89,5,0)</f>
        <v>-1.69961822393816E-13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195.14508560011791</v>
      </c>
      <c r="T126" s="59">
        <f t="shared" si="88"/>
        <v>285.1531413455931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21.993234295219143</v>
      </c>
      <c r="AA126" s="21">
        <f>EXP(-LN(2)/25)*AA125+(1-EXP(-LN(2)/25))/(LN(2)/25)*Calculateur!V126*Calculateur!X126*VLOOKUP('Données projet'!$B$9,Paramètres!$A$1:$I$89,3,0)*0.475*44/12</f>
        <v>5.5111556618623805</v>
      </c>
      <c r="AB126" s="21">
        <f>EXP(-LN(2)/2)*AB125+(1-EXP(-LN(2)/2))/(LN(2)/2)*V126*Y126*VLOOKUP('Données projet'!$B$9,Paramètres!$A$1:$I$89,3,0)*0.475*44/12</f>
        <v>6.7473569205068478E-11</v>
      </c>
      <c r="AC126" s="22">
        <f t="shared" si="57"/>
        <v>27.504389957148994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-2.8421709430404007E-13</v>
      </c>
      <c r="AJ126" s="13">
        <f>AI126*VLOOKUP('Données projet'!$B$10,Paramètres!$A$1:$I$89,3,0)*VLOOKUP('Données projet'!$B$10,Paramètres!$A$1:$I$89,5,0)</f>
        <v>-1.69961822393816E-13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195.14508560011791</v>
      </c>
      <c r="AO126" s="59">
        <f t="shared" si="90"/>
        <v>285.1531413455931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21.993234295219143</v>
      </c>
      <c r="AV126" s="21">
        <f>EXP(-LN(2)/25)*AV125+(1-EXP(-LN(2)/25))/(LN(2)/25)*Calculateur!AQ126*Calculateur!AS126*VLOOKUP('Données projet'!$B$10,Paramètres!$A$1:$I$89,3,0)*0.475*44/12</f>
        <v>5.5111556618623805</v>
      </c>
      <c r="AW126" s="21">
        <f>EXP(-LN(2)/2)*AW125+(1-EXP(-LN(2)/2))/(LN(2)/2)*AQ126*AT126*VLOOKUP('Données projet'!$B$10,Paramètres!$A$1:$I$89,3,0)*0.475*44/12</f>
        <v>6.7473569205068478E-11</v>
      </c>
      <c r="AX126" s="21">
        <f t="shared" si="60"/>
        <v>27.504389957148994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>
        <f>VLOOKUP(A126,'Données projet'!$A$87:$I$107,2,0)</f>
        <v>279.84615380000002</v>
      </c>
      <c r="BB126" s="12">
        <f>VLOOKUP(A126,'Données projet'!$A$87:$I$107,9,0)</f>
        <v>5.8570512740000025</v>
      </c>
      <c r="BC126" s="12">
        <f t="array" ref="BC126">INDEX(BB:BB,MIN(IF(ISNUMBER(BB126:BB322),ROW(BB126:BB322),"")))</f>
        <v>5.8570512740000025</v>
      </c>
      <c r="BD126" s="12">
        <f>IF('Données projet'!$A$88&gt;35,BD125+BC126-BL125,IF(A126&lt;'Données projet'!$A$88,$BA$205^A126,IF(A126='Données projet'!$A$88,'Données projet'!$B$88,BD125+BC126-BL125)))</f>
        <v>279.84615380000008</v>
      </c>
      <c r="BE126" s="13">
        <f>BD126*VLOOKUP('Données projet'!$B$11,Paramètres!$A$1:$I$89,3,0)*VLOOKUP('Données projet'!$B$11,Paramètres!$A$1:$I$89,5,0)</f>
        <v>235.7423999611201</v>
      </c>
      <c r="BF126" s="13">
        <f t="shared" si="91"/>
        <v>57.522535004914829</v>
      </c>
      <c r="BG126" s="20">
        <f t="shared" si="61"/>
        <v>510.76976173251086</v>
      </c>
      <c r="BH126" s="59">
        <f t="shared" si="62"/>
        <v>804.10309506584417</v>
      </c>
      <c r="BI126" s="59">
        <f ca="1">AVERAGE(OFFSET($BH$3,0,0,'Données projet'!$E$11+1,1))-AVERAGE(OFFSET($H$3,0,0,'Données projet'!$E$11+1,1))</f>
        <v>179.55753939285887</v>
      </c>
      <c r="BJ126" s="59">
        <f t="shared" si="92"/>
        <v>147.29214162149162</v>
      </c>
      <c r="BK126" s="15">
        <f>IF(ISNA(VLOOKUP(A126,'Données projet'!$A$87:$I$107,3,0)),0,VLOOKUP(A126,'Données projet'!$A$87:$I$107,3,0))</f>
        <v>11</v>
      </c>
      <c r="BL126" s="15">
        <f>IF(ISNA(VLOOKUP(A126,'Données projet'!$A$87:$I$107,4,0)),0,VLOOKUP(A126,'Données projet'!$A$87:$I$107,4,0))</f>
        <v>139.2628205</v>
      </c>
      <c r="BM126" s="16">
        <f>IF(ISNA(VLOOKUP(A126,'Données projet'!$A$87:$I$107,5,0)),0%,VLOOKUP(A126,'Données projet'!$A$87:$I$107,5,0)*VLOOKUP('Données projet'!$B$11,Paramètres!$A$1:$I$89,7,0))</f>
        <v>0.38700000000000001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97.735773115998967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97.735773115998967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-2.8421709430404007E-13</v>
      </c>
      <c r="O127" s="13">
        <f>N127*VLOOKUP('Données projet'!$B$9,Paramètres!$A$1:$I$89,3,0)*VLOOKUP('Données projet'!$B$9,Paramètres!$A$1:$I$89,5,0)</f>
        <v>-1.69961822393816E-13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195.14508560011791</v>
      </c>
      <c r="T127" s="59">
        <f t="shared" si="88"/>
        <v>285.1531413455931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21.56196038523824</v>
      </c>
      <c r="AA127" s="21">
        <f>EXP(-LN(2)/25)*AA126+(1-EXP(-LN(2)/25))/(LN(2)/25)*Calculateur!V127*Calculateur!X127*VLOOKUP('Données projet'!$B$9,Paramètres!$A$1:$I$89,3,0)*0.475*44/12</f>
        <v>5.3604528204696731</v>
      </c>
      <c r="AB127" s="21">
        <f>EXP(-LN(2)/2)*AB126+(1-EXP(-LN(2)/2))/(LN(2)/2)*V127*Y127*VLOOKUP('Données projet'!$B$9,Paramètres!$A$1:$I$89,3,0)*0.475*44/12</f>
        <v>4.7711018335763728E-11</v>
      </c>
      <c r="AC127" s="22">
        <f t="shared" si="57"/>
        <v>26.922413205755621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-2.8421709430404007E-13</v>
      </c>
      <c r="AJ127" s="13">
        <f>AI127*VLOOKUP('Données projet'!$B$10,Paramètres!$A$1:$I$89,3,0)*VLOOKUP('Données projet'!$B$10,Paramètres!$A$1:$I$89,5,0)</f>
        <v>-1.69961822393816E-13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195.14508560011791</v>
      </c>
      <c r="AO127" s="59">
        <f t="shared" si="90"/>
        <v>285.1531413455931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21.56196038523824</v>
      </c>
      <c r="AV127" s="21">
        <f>EXP(-LN(2)/25)*AV126+(1-EXP(-LN(2)/25))/(LN(2)/25)*Calculateur!AQ127*Calculateur!AS127*VLOOKUP('Données projet'!$B$10,Paramètres!$A$1:$I$89,3,0)*0.475*44/12</f>
        <v>5.3604528204696731</v>
      </c>
      <c r="AW127" s="21">
        <f>EXP(-LN(2)/2)*AW126+(1-EXP(-LN(2)/2))/(LN(2)/2)*AQ127*AT127*VLOOKUP('Données projet'!$B$10,Paramètres!$A$1:$I$89,3,0)*0.475*44/12</f>
        <v>4.7711018335763728E-11</v>
      </c>
      <c r="AX127" s="21">
        <f t="shared" si="60"/>
        <v>26.922413205755621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3.2628205499999865</v>
      </c>
      <c r="BD127" s="12">
        <f>IF('Données projet'!$A$88&gt;35,BD126+BC127-BL126,IF(A127&lt;'Données projet'!$A$88,$BA$205^A127,IF(A127='Données projet'!$A$88,'Données projet'!$B$88,BD126+BC127-BL126)))</f>
        <v>143.84615385000004</v>
      </c>
      <c r="BE127" s="13">
        <f>BD127*VLOOKUP('Données projet'!$B$11,Paramètres!$A$1:$I$89,3,0)*VLOOKUP('Données projet'!$B$11,Paramètres!$A$1:$I$89,5,0)</f>
        <v>121.17600000324003</v>
      </c>
      <c r="BF127" s="13">
        <f t="shared" si="91"/>
        <v>31.949126110472932</v>
      </c>
      <c r="BG127" s="20">
        <f t="shared" si="61"/>
        <v>266.69292798138343</v>
      </c>
      <c r="BH127" s="59">
        <f t="shared" si="62"/>
        <v>560.02626131471675</v>
      </c>
      <c r="BI127" s="59">
        <f ca="1">AVERAGE(OFFSET($BH$3,0,0,'Données projet'!$E$11+1,1))-AVERAGE(OFFSET($H$3,0,0,'Données projet'!$E$11+1,1))</f>
        <v>179.55753939285887</v>
      </c>
      <c r="BJ127" s="59">
        <f t="shared" si="92"/>
        <v>147.29214162149162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95.819234218129537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95.819234218129537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-2.8421709430404007E-13</v>
      </c>
      <c r="O128" s="13">
        <f>N128*VLOOKUP('Données projet'!$B$9,Paramètres!$A$1:$I$89,3,0)*VLOOKUP('Données projet'!$B$9,Paramètres!$A$1:$I$89,5,0)</f>
        <v>-1.69961822393816E-13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195.14508560011791</v>
      </c>
      <c r="T128" s="59">
        <f t="shared" si="88"/>
        <v>285.1531413455931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21.139143493580953</v>
      </c>
      <c r="AA128" s="21">
        <f>EXP(-LN(2)/25)*AA127+(1-EXP(-LN(2)/25))/(LN(2)/25)*Calculateur!V128*Calculateur!X128*VLOOKUP('Données projet'!$B$9,Paramètres!$A$1:$I$89,3,0)*0.475*44/12</f>
        <v>5.2138709561999672</v>
      </c>
      <c r="AB128" s="21">
        <f>EXP(-LN(2)/2)*AB127+(1-EXP(-LN(2)/2))/(LN(2)/2)*V128*Y128*VLOOKUP('Données projet'!$B$9,Paramètres!$A$1:$I$89,3,0)*0.475*44/12</f>
        <v>3.3736784602534239E-11</v>
      </c>
      <c r="AC128" s="22">
        <f t="shared" si="57"/>
        <v>26.353014449814658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-2.8421709430404007E-13</v>
      </c>
      <c r="AJ128" s="13">
        <f>AI128*VLOOKUP('Données projet'!$B$10,Paramètres!$A$1:$I$89,3,0)*VLOOKUP('Données projet'!$B$10,Paramètres!$A$1:$I$89,5,0)</f>
        <v>-1.69961822393816E-13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195.14508560011791</v>
      </c>
      <c r="AO128" s="59">
        <f t="shared" si="90"/>
        <v>285.1531413455931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21.139143493580953</v>
      </c>
      <c r="AV128" s="21">
        <f>EXP(-LN(2)/25)*AV127+(1-EXP(-LN(2)/25))/(LN(2)/25)*Calculateur!AQ128*Calculateur!AS128*VLOOKUP('Données projet'!$B$10,Paramètres!$A$1:$I$89,3,0)*0.475*44/12</f>
        <v>5.2138709561999672</v>
      </c>
      <c r="AW128" s="21">
        <f>EXP(-LN(2)/2)*AW127+(1-EXP(-LN(2)/2))/(LN(2)/2)*AQ128*AT128*VLOOKUP('Données projet'!$B$10,Paramètres!$A$1:$I$89,3,0)*0.475*44/12</f>
        <v>3.3736784602534239E-11</v>
      </c>
      <c r="AX128" s="21">
        <f t="shared" si="60"/>
        <v>26.353014449814658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147.10897439999999</v>
      </c>
      <c r="BB128" s="12">
        <f>VLOOKUP(A128,'Données projet'!$A$87:$I$107,9,0)</f>
        <v>3.2628205499999865</v>
      </c>
      <c r="BC128" s="12">
        <f t="array" ref="BC128">INDEX(BB:BB,MIN(IF(ISNUMBER(BB128:BB324),ROW(BB128:BB324),"")))</f>
        <v>3.2628205499999865</v>
      </c>
      <c r="BD128" s="12">
        <f>IF('Données projet'!$A$88&gt;35,BD127+BC128-BL127,IF(A128&lt;'Données projet'!$A$88,$BA$205^A128,IF(A128='Données projet'!$A$88,'Données projet'!$B$88,BD127+BC128-BL127)))</f>
        <v>147.10897440000002</v>
      </c>
      <c r="BE128" s="13">
        <f>BD128*VLOOKUP('Données projet'!$B$11,Paramètres!$A$1:$I$89,3,0)*VLOOKUP('Données projet'!$B$11,Paramètres!$A$1:$I$89,5,0)</f>
        <v>123.92460003456003</v>
      </c>
      <c r="BF128" s="13">
        <f t="shared" si="91"/>
        <v>32.588626345479774</v>
      </c>
      <c r="BG128" s="20">
        <f t="shared" si="61"/>
        <v>272.59386927856934</v>
      </c>
      <c r="BH128" s="59">
        <f t="shared" si="62"/>
        <v>565.92720261190266</v>
      </c>
      <c r="BI128" s="59">
        <f ca="1">AVERAGE(OFFSET($BH$3,0,0,'Données projet'!$E$11+1,1))-AVERAGE(OFFSET($H$3,0,0,'Données projet'!$E$11+1,1))</f>
        <v>179.55753939285887</v>
      </c>
      <c r="BJ128" s="59">
        <f t="shared" si="92"/>
        <v>147.29214162149162</v>
      </c>
      <c r="BK128" s="15">
        <f>IF(ISNA(VLOOKUP(A128,'Données projet'!$A$87:$I$107,3,0)),0,VLOOKUP(A128,'Données projet'!$A$87:$I$107,3,0))</f>
        <v>12</v>
      </c>
      <c r="BL128" s="15">
        <f>IF(ISNA(VLOOKUP(A128,'Données projet'!$A$87:$I$107,4,0)),0,VLOOKUP(A128,'Données projet'!$A$87:$I$107,4,0))</f>
        <v>48.217948720000003</v>
      </c>
      <c r="BM128" s="16">
        <f>IF(ISNA(VLOOKUP(A128,'Données projet'!$A$87:$I$107,5,0)),0%,VLOOKUP(A128,'Données projet'!$A$87:$I$107,5,0)*VLOOKUP('Données projet'!$B$11,Paramètres!$A$1:$I$89,7,0))</f>
        <v>0.38700000000000001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111.31769213740425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111.31769213740425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-2.8421709430404007E-13</v>
      </c>
      <c r="O129" s="13">
        <f>N129*VLOOKUP('Données projet'!$B$9,Paramètres!$A$1:$I$89,3,0)*VLOOKUP('Données projet'!$B$9,Paramètres!$A$1:$I$89,5,0)</f>
        <v>-1.69961822393816E-13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195.14508560011791</v>
      </c>
      <c r="T129" s="59">
        <f t="shared" si="88"/>
        <v>285.1531413455931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20.724617783276223</v>
      </c>
      <c r="AA129" s="21">
        <f>EXP(-LN(2)/25)*AA128+(1-EXP(-LN(2)/25))/(LN(2)/25)*Calculateur!V129*Calculateur!X129*VLOOKUP('Données projet'!$B$9,Paramètres!$A$1:$I$89,3,0)*0.475*44/12</f>
        <v>5.0712973807171222</v>
      </c>
      <c r="AB129" s="21">
        <f>EXP(-LN(2)/2)*AB128+(1-EXP(-LN(2)/2))/(LN(2)/2)*V129*Y129*VLOOKUP('Données projet'!$B$9,Paramètres!$A$1:$I$89,3,0)*0.475*44/12</f>
        <v>2.3855509167881864E-11</v>
      </c>
      <c r="AC129" s="22">
        <f t="shared" si="57"/>
        <v>25.795915164017202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-2.8421709430404007E-13</v>
      </c>
      <c r="AJ129" s="13">
        <f>AI129*VLOOKUP('Données projet'!$B$10,Paramètres!$A$1:$I$89,3,0)*VLOOKUP('Données projet'!$B$10,Paramètres!$A$1:$I$89,5,0)</f>
        <v>-1.69961822393816E-13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195.14508560011791</v>
      </c>
      <c r="AO129" s="59">
        <f t="shared" si="90"/>
        <v>285.1531413455931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20.724617783276223</v>
      </c>
      <c r="AV129" s="21">
        <f>EXP(-LN(2)/25)*AV128+(1-EXP(-LN(2)/25))/(LN(2)/25)*Calculateur!AQ129*Calculateur!AS129*VLOOKUP('Données projet'!$B$10,Paramètres!$A$1:$I$89,3,0)*0.475*44/12</f>
        <v>5.0712973807171222</v>
      </c>
      <c r="AW129" s="21">
        <f>EXP(-LN(2)/2)*AW128+(1-EXP(-LN(2)/2))/(LN(2)/2)*AQ129*AT129*VLOOKUP('Données projet'!$B$10,Paramètres!$A$1:$I$89,3,0)*0.475*44/12</f>
        <v>2.3855509167881864E-11</v>
      </c>
      <c r="AX129" s="21">
        <f t="shared" si="60"/>
        <v>25.795915164017202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2.2339743600000048</v>
      </c>
      <c r="BD129" s="12">
        <f>IF('Données projet'!$A$88&gt;35,BD128+BC129-BL128,IF(A129&lt;'Données projet'!$A$88,$BA$205^A129,IF(A129='Données projet'!$A$88,'Données projet'!$B$88,BD128+BC129-BL128)))</f>
        <v>101.12500004</v>
      </c>
      <c r="BE129" s="13">
        <f>BD129*VLOOKUP('Données projet'!$B$11,Paramètres!$A$1:$I$89,3,0)*VLOOKUP('Données projet'!$B$11,Paramètres!$A$1:$I$89,5,0)</f>
        <v>85.187700033696004</v>
      </c>
      <c r="BF129" s="13">
        <f t="shared" si="91"/>
        <v>23.400928383982677</v>
      </c>
      <c r="BG129" s="20">
        <f t="shared" si="61"/>
        <v>189.12519449412366</v>
      </c>
      <c r="BH129" s="59">
        <f t="shared" si="62"/>
        <v>482.45852782745698</v>
      </c>
      <c r="BI129" s="59">
        <f ca="1">AVERAGE(OFFSET($BH$3,0,0,'Données projet'!$E$11+1,1))-AVERAGE(OFFSET($H$3,0,0,'Données projet'!$E$11+1,1))</f>
        <v>179.55753939285887</v>
      </c>
      <c r="BJ129" s="59">
        <f t="shared" si="92"/>
        <v>147.29214162149162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109.13482009167768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109.13482009167768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-2.8421709430404007E-13</v>
      </c>
      <c r="O130" s="13">
        <f>N130*VLOOKUP('Données projet'!$B$9,Paramètres!$A$1:$I$89,3,0)*VLOOKUP('Données projet'!$B$9,Paramètres!$A$1:$I$89,5,0)</f>
        <v>-1.69961822393816E-13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195.14508560011791</v>
      </c>
      <c r="T130" s="59">
        <f t="shared" si="88"/>
        <v>285.1531413455931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20.318220669314851</v>
      </c>
      <c r="AA130" s="21">
        <f>EXP(-LN(2)/25)*AA129+(1-EXP(-LN(2)/25))/(LN(2)/25)*Calculateur!V130*Calculateur!X130*VLOOKUP('Données projet'!$B$9,Paramètres!$A$1:$I$89,3,0)*0.475*44/12</f>
        <v>4.9326224871534743</v>
      </c>
      <c r="AB130" s="21">
        <f>EXP(-LN(2)/2)*AB129+(1-EXP(-LN(2)/2))/(LN(2)/2)*V130*Y130*VLOOKUP('Données projet'!$B$9,Paramètres!$A$1:$I$89,3,0)*0.475*44/12</f>
        <v>1.6868392301267119E-11</v>
      </c>
      <c r="AC130" s="22">
        <f t="shared" si="57"/>
        <v>25.250843156485193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-2.8421709430404007E-13</v>
      </c>
      <c r="AJ130" s="13">
        <f>AI130*VLOOKUP('Données projet'!$B$10,Paramètres!$A$1:$I$89,3,0)*VLOOKUP('Données projet'!$B$10,Paramètres!$A$1:$I$89,5,0)</f>
        <v>-1.69961822393816E-13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195.14508560011791</v>
      </c>
      <c r="AO130" s="59">
        <f t="shared" si="90"/>
        <v>285.1531413455931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20.318220669314851</v>
      </c>
      <c r="AV130" s="21">
        <f>EXP(-LN(2)/25)*AV129+(1-EXP(-LN(2)/25))/(LN(2)/25)*Calculateur!AQ130*Calculateur!AS130*VLOOKUP('Données projet'!$B$10,Paramètres!$A$1:$I$89,3,0)*0.475*44/12</f>
        <v>4.9326224871534743</v>
      </c>
      <c r="AW130" s="21">
        <f>EXP(-LN(2)/2)*AW129+(1-EXP(-LN(2)/2))/(LN(2)/2)*AQ130*AT130*VLOOKUP('Données projet'!$B$10,Paramètres!$A$1:$I$89,3,0)*0.475*44/12</f>
        <v>1.6868392301267119E-11</v>
      </c>
      <c r="AX130" s="21">
        <f t="shared" si="60"/>
        <v>25.250843156485193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>
        <f>VLOOKUP(A130,'Données projet'!$A$87:$I$107,2,0)</f>
        <v>103.35897439999999</v>
      </c>
      <c r="BB130" s="12">
        <f>VLOOKUP(A130,'Données projet'!$A$87:$I$107,9,0)</f>
        <v>2.2339743600000048</v>
      </c>
      <c r="BC130" s="12">
        <f t="array" ref="BC130">INDEX(BB:BB,MIN(IF(ISNUMBER(BB130:BB326),ROW(BB130:BB326),"")))</f>
        <v>2.2339743600000048</v>
      </c>
      <c r="BD130" s="12">
        <f>IF('Données projet'!$A$88&gt;35,BD129+BC130-BL129,IF(A130&lt;'Données projet'!$A$88,$BA$205^A130,IF(A130='Données projet'!$A$88,'Données projet'!$B$88,BD129+BC130-BL129)))</f>
        <v>103.35897440000001</v>
      </c>
      <c r="BE130" s="13">
        <f>BD130*VLOOKUP('Données projet'!$B$11,Paramètres!$A$1:$I$89,3,0)*VLOOKUP('Données projet'!$B$11,Paramètres!$A$1:$I$89,5,0)</f>
        <v>87.069600034560011</v>
      </c>
      <c r="BF130" s="13">
        <f t="shared" si="91"/>
        <v>23.85712730303468</v>
      </c>
      <c r="BG130" s="20">
        <f t="shared" si="61"/>
        <v>193.19738344631071</v>
      </c>
      <c r="BH130" s="59">
        <f t="shared" si="62"/>
        <v>486.53071677964402</v>
      </c>
      <c r="BI130" s="59">
        <f ca="1">AVERAGE(OFFSET($BH$3,0,0,'Données projet'!$E$11+1,1))-AVERAGE(OFFSET($H$3,0,0,'Données projet'!$E$11+1,1))</f>
        <v>179.55753939285887</v>
      </c>
      <c r="BJ130" s="59">
        <f t="shared" si="92"/>
        <v>147.29214162149162</v>
      </c>
      <c r="BK130" s="15">
        <f>IF(ISNA(VLOOKUP(A130,'Données projet'!$A$87:$I$107,3,0)),0,VLOOKUP(A130,'Données projet'!$A$87:$I$107,3,0))</f>
        <v>13</v>
      </c>
      <c r="BL130" s="15">
        <f>IF(ISNA(VLOOKUP(A130,'Données projet'!$A$87:$I$107,4,0)),0,VLOOKUP(A130,'Données projet'!$A$87:$I$107,4,0))</f>
        <v>31.42307692</v>
      </c>
      <c r="BM130" s="16">
        <f>IF(ISNA(VLOOKUP(A130,'Données projet'!$A$87:$I$107,5,0)),0%,VLOOKUP(A130,'Données projet'!$A$87:$I$107,5,0)*VLOOKUP('Données projet'!$B$11,Paramètres!$A$1:$I$89,7,0))</f>
        <v>0.38700000000000001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118.31941205406173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118.31941205406173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-2.8421709430404007E-13</v>
      </c>
      <c r="O131" s="13">
        <f>N131*VLOOKUP('Données projet'!$B$9,Paramètres!$A$1:$I$89,3,0)*VLOOKUP('Données projet'!$B$9,Paramètres!$A$1:$I$89,5,0)</f>
        <v>-1.69961822393816E-13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195.14508560011791</v>
      </c>
      <c r="T131" s="59">
        <f t="shared" si="88"/>
        <v>285.1531413455931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19.919792754880497</v>
      </c>
      <c r="AA131" s="21">
        <f>EXP(-LN(2)/25)*AA130+(1-EXP(-LN(2)/25))/(LN(2)/25)*Calculateur!V131*Calculateur!X131*VLOOKUP('Données projet'!$B$9,Paramètres!$A$1:$I$89,3,0)*0.475*44/12</f>
        <v>4.7977396658469198</v>
      </c>
      <c r="AB131" s="21">
        <f>EXP(-LN(2)/2)*AB130+(1-EXP(-LN(2)/2))/(LN(2)/2)*V131*Y131*VLOOKUP('Données projet'!$B$9,Paramètres!$A$1:$I$89,3,0)*0.475*44/12</f>
        <v>1.1927754583940932E-11</v>
      </c>
      <c r="AC131" s="22">
        <f t="shared" si="57"/>
        <v>24.717532420739342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-2.8421709430404007E-13</v>
      </c>
      <c r="AJ131" s="13">
        <f>AI131*VLOOKUP('Données projet'!$B$10,Paramètres!$A$1:$I$89,3,0)*VLOOKUP('Données projet'!$B$10,Paramètres!$A$1:$I$89,5,0)</f>
        <v>-1.69961822393816E-13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195.14508560011791</v>
      </c>
      <c r="AO131" s="59">
        <f t="shared" si="90"/>
        <v>285.1531413455931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19.919792754880497</v>
      </c>
      <c r="AV131" s="21">
        <f>EXP(-LN(2)/25)*AV130+(1-EXP(-LN(2)/25))/(LN(2)/25)*Calculateur!AQ131*Calculateur!AS131*VLOOKUP('Données projet'!$B$10,Paramètres!$A$1:$I$89,3,0)*0.475*44/12</f>
        <v>4.7977396658469198</v>
      </c>
      <c r="AW131" s="21">
        <f>EXP(-LN(2)/2)*AW130+(1-EXP(-LN(2)/2))/(LN(2)/2)*AQ131*AT131*VLOOKUP('Données projet'!$B$10,Paramètres!$A$1:$I$89,3,0)*0.475*44/12</f>
        <v>1.1927754583940932E-11</v>
      </c>
      <c r="AX131" s="21">
        <f t="shared" si="60"/>
        <v>24.717532420739342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1.6367521233333331</v>
      </c>
      <c r="BD131" s="12">
        <f>IF('Données projet'!$A$88&gt;35,BD130+BC131-BL130,IF(A131&lt;'Données projet'!$A$88,$BA$205^A131,IF(A131='Données projet'!$A$88,'Données projet'!$B$88,BD130+BC131-BL130)))</f>
        <v>73.572649603333346</v>
      </c>
      <c r="BE131" s="13">
        <f>BD131*VLOOKUP('Données projet'!$B$11,Paramètres!$A$1:$I$89,3,0)*VLOOKUP('Données projet'!$B$11,Paramètres!$A$1:$I$89,5,0)</f>
        <v>61.97760002584802</v>
      </c>
      <c r="BF131" s="13">
        <f t="shared" si="91"/>
        <v>17.667320774723688</v>
      </c>
      <c r="BG131" s="20">
        <f t="shared" si="61"/>
        <v>138.7149037276624</v>
      </c>
      <c r="BH131" s="59">
        <f t="shared" si="62"/>
        <v>432.04823706099569</v>
      </c>
      <c r="BI131" s="59">
        <f ca="1">AVERAGE(OFFSET($BH$3,0,0,'Données projet'!$E$11+1,1))-AVERAGE(OFFSET($H$3,0,0,'Données projet'!$E$11+1,1))</f>
        <v>179.55753939285887</v>
      </c>
      <c r="BJ131" s="59">
        <f t="shared" si="92"/>
        <v>147.29214162149162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115.99924055139697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115.99924055139697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-2.8421709430404007E-13</v>
      </c>
      <c r="O132" s="13">
        <f>N132*VLOOKUP('Données projet'!$B$9,Paramètres!$A$1:$I$89,3,0)*VLOOKUP('Données projet'!$B$9,Paramètres!$A$1:$I$89,5,0)</f>
        <v>-1.69961822393816E-13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195.14508560011791</v>
      </c>
      <c r="T132" s="59">
        <f t="shared" si="88"/>
        <v>285.1531413455931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19.529177768831172</v>
      </c>
      <c r="AA132" s="21">
        <f>EXP(-LN(2)/25)*AA131+(1-EXP(-LN(2)/25))/(LN(2)/25)*Calculateur!V132*Calculateur!X132*VLOOKUP('Données projet'!$B$9,Paramètres!$A$1:$I$89,3,0)*0.475*44/12</f>
        <v>4.6665452223821724</v>
      </c>
      <c r="AB132" s="21">
        <f>EXP(-LN(2)/2)*AB131+(1-EXP(-LN(2)/2))/(LN(2)/2)*V132*Y132*VLOOKUP('Données projet'!$B$9,Paramètres!$A$1:$I$89,3,0)*0.475*44/12</f>
        <v>8.4341961506335597E-12</v>
      </c>
      <c r="AC132" s="22">
        <f t="shared" ref="AC132:AC153" si="111">SUM(Z132:AB132)</f>
        <v>24.195722991221778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-2.8421709430404007E-13</v>
      </c>
      <c r="AJ132" s="13">
        <f>AI132*VLOOKUP('Données projet'!$B$10,Paramètres!$A$1:$I$89,3,0)*VLOOKUP('Données projet'!$B$10,Paramètres!$A$1:$I$89,5,0)</f>
        <v>-1.69961822393816E-13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195.14508560011791</v>
      </c>
      <c r="AO132" s="59">
        <f t="shared" si="90"/>
        <v>285.1531413455931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19.529177768831172</v>
      </c>
      <c r="AV132" s="21">
        <f>EXP(-LN(2)/25)*AV131+(1-EXP(-LN(2)/25))/(LN(2)/25)*Calculateur!AQ132*Calculateur!AS132*VLOOKUP('Données projet'!$B$10,Paramètres!$A$1:$I$89,3,0)*0.475*44/12</f>
        <v>4.6665452223821724</v>
      </c>
      <c r="AW132" s="21">
        <f>EXP(-LN(2)/2)*AW131+(1-EXP(-LN(2)/2))/(LN(2)/2)*AQ132*AT132*VLOOKUP('Données projet'!$B$10,Paramètres!$A$1:$I$89,3,0)*0.475*44/12</f>
        <v>8.4341961506335597E-12</v>
      </c>
      <c r="AX132" s="21">
        <f t="shared" ref="AX132:AX153" si="114">SUM(AU132:AW132)</f>
        <v>24.195722991221778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1.6367521233333331</v>
      </c>
      <c r="BD132" s="12">
        <f>IF('Données projet'!$A$88&gt;35,BD131+BC132-BL131,IF(A132&lt;'Données projet'!$A$88,$BA$205^A132,IF(A132='Données projet'!$A$88,'Données projet'!$B$88,BD131+BC132-BL131)))</f>
        <v>75.209401726666684</v>
      </c>
      <c r="BE132" s="13">
        <f>BD132*VLOOKUP('Données projet'!$B$11,Paramètres!$A$1:$I$89,3,0)*VLOOKUP('Données projet'!$B$11,Paramètres!$A$1:$I$89,5,0)</f>
        <v>63.356400014544022</v>
      </c>
      <c r="BF132" s="13">
        <f t="shared" si="91"/>
        <v>18.014165307417773</v>
      </c>
      <c r="BG132" s="20">
        <f t="shared" ref="BG132:BG153" si="115">(BE132+BF132)*0.475*44/12</f>
        <v>141.72040126908345</v>
      </c>
      <c r="BH132" s="59">
        <f t="shared" ref="BH132:BH195" si="116">BG132+(AY132+AZ132)*44/12</f>
        <v>435.05373460241674</v>
      </c>
      <c r="BI132" s="59">
        <f ca="1">AVERAGE(OFFSET($BH$3,0,0,'Données projet'!$E$11+1,1))-AVERAGE(OFFSET($H$3,0,0,'Données projet'!$E$11+1,1))</f>
        <v>179.55753939285887</v>
      </c>
      <c r="BJ132" s="59">
        <f t="shared" si="92"/>
        <v>147.29214162149162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113.72456619673457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113.72456619673457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-2.8421709430404007E-13</v>
      </c>
      <c r="O133" s="13">
        <f>N133*VLOOKUP('Données projet'!$B$9,Paramètres!$A$1:$I$89,3,0)*VLOOKUP('Données projet'!$B$9,Paramètres!$A$1:$I$89,5,0)</f>
        <v>-1.69961822393816E-13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195.14508560011791</v>
      </c>
      <c r="T133" s="59">
        <f t="shared" ref="T133:T196" si="142">$T$3</f>
        <v>285.1531413455931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19.146222504406655</v>
      </c>
      <c r="AA133" s="21">
        <f>EXP(-LN(2)/25)*AA132+(1-EXP(-LN(2)/25))/(LN(2)/25)*Calculateur!V133*Calculateur!X133*VLOOKUP('Données projet'!$B$9,Paramètres!$A$1:$I$89,3,0)*0.475*44/12</f>
        <v>4.5389382978731838</v>
      </c>
      <c r="AB133" s="21">
        <f>EXP(-LN(2)/2)*AB132+(1-EXP(-LN(2)/2))/(LN(2)/2)*V133*Y133*VLOOKUP('Données projet'!$B$9,Paramètres!$A$1:$I$89,3,0)*0.475*44/12</f>
        <v>5.963877291970466E-12</v>
      </c>
      <c r="AC133" s="22">
        <f t="shared" si="111"/>
        <v>23.685160802285804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-2.8421709430404007E-13</v>
      </c>
      <c r="AJ133" s="13">
        <f>AI133*VLOOKUP('Données projet'!$B$10,Paramètres!$A$1:$I$89,3,0)*VLOOKUP('Données projet'!$B$10,Paramètres!$A$1:$I$89,5,0)</f>
        <v>-1.69961822393816E-13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195.14508560011791</v>
      </c>
      <c r="AO133" s="59">
        <f t="shared" ref="AO133:AO196" si="144">$AO$3</f>
        <v>285.1531413455931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19.146222504406655</v>
      </c>
      <c r="AV133" s="21">
        <f>EXP(-LN(2)/25)*AV132+(1-EXP(-LN(2)/25))/(LN(2)/25)*Calculateur!AQ133*Calculateur!AS133*VLOOKUP('Données projet'!$B$10,Paramètres!$A$1:$I$89,3,0)*0.475*44/12</f>
        <v>4.5389382978731838</v>
      </c>
      <c r="AW133" s="21">
        <f>EXP(-LN(2)/2)*AW132+(1-EXP(-LN(2)/2))/(LN(2)/2)*AQ133*AT133*VLOOKUP('Données projet'!$B$10,Paramètres!$A$1:$I$89,3,0)*0.475*44/12</f>
        <v>5.963877291970466E-12</v>
      </c>
      <c r="AX133" s="21">
        <f t="shared" si="114"/>
        <v>23.685160802285804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76.846153849999993</v>
      </c>
      <c r="BB133" s="12">
        <f>VLOOKUP(A133,'Données projet'!$A$87:$I$107,9,0)</f>
        <v>1.6367521233333331</v>
      </c>
      <c r="BC133" s="12">
        <f t="array" ref="BC133">INDEX(BB:BB,MIN(IF(ISNUMBER(BB133:BB329),ROW(BB133:BB329),"")))</f>
        <v>1.6367521233333331</v>
      </c>
      <c r="BD133" s="12">
        <f>IF('Données projet'!$A$88&gt;35,BD132+BC133-BL132,IF(A133&lt;'Données projet'!$A$88,$BA$205^A133,IF(A133='Données projet'!$A$88,'Données projet'!$B$88,BD132+BC133-BL132)))</f>
        <v>76.846153850000022</v>
      </c>
      <c r="BE133" s="13">
        <f>BD133*VLOOKUP('Données projet'!$B$11,Paramètres!$A$1:$I$89,3,0)*VLOOKUP('Données projet'!$B$11,Paramètres!$A$1:$I$89,5,0)</f>
        <v>64.735200003240024</v>
      </c>
      <c r="BF133" s="13">
        <f t="shared" ref="BF133:BF153" si="145">EXP(-1.0587+0.8836*LN(BE133)+0.284)</f>
        <v>18.360132263795041</v>
      </c>
      <c r="BG133" s="20">
        <f t="shared" si="115"/>
        <v>144.72437036508606</v>
      </c>
      <c r="BH133" s="59">
        <f t="shared" si="116"/>
        <v>438.05770369841935</v>
      </c>
      <c r="BI133" s="59">
        <f ca="1">AVERAGE(OFFSET($BH$3,0,0,'Données projet'!$E$11+1,1))-AVERAGE(OFFSET($H$3,0,0,'Données projet'!$E$11+1,1))</f>
        <v>179.55753939285887</v>
      </c>
      <c r="BJ133" s="59">
        <f t="shared" ref="BJ133:BJ196" si="146">$BJ$3</f>
        <v>147.29214162149162</v>
      </c>
      <c r="BK133" s="15">
        <f>IF(ISNA(VLOOKUP(A133,'Données projet'!$A$87:$I$107,3,0)),0,VLOOKUP(A133,'Données projet'!$A$87:$I$107,3,0))</f>
        <v>14</v>
      </c>
      <c r="BL133" s="15">
        <f>IF(ISNA(VLOOKUP(A133,'Données projet'!$A$87:$I$107,4,0)),0,VLOOKUP(A133,'Données projet'!$A$87:$I$107,4,0))</f>
        <v>76.846153849999993</v>
      </c>
      <c r="BM133" s="16">
        <f>IF(ISNA(VLOOKUP(A133,'Données projet'!$A$87:$I$107,5,0)),0%,VLOOKUP(A133,'Données projet'!$A$87:$I$107,5,0)*VLOOKUP('Données projet'!$B$11,Paramètres!$A$1:$I$89,7,0))</f>
        <v>0.38700000000000001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139.18931826592461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139.18931826592461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-2.8421709430404007E-13</v>
      </c>
      <c r="O134" s="13">
        <f>N134*VLOOKUP('Données projet'!$B$9,Paramètres!$A$1:$I$89,3,0)*VLOOKUP('Données projet'!$B$9,Paramètres!$A$1:$I$89,5,0)</f>
        <v>-1.69961822393816E-13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195.14508560011791</v>
      </c>
      <c r="T134" s="59">
        <f t="shared" si="142"/>
        <v>285.1531413455931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18.770776759137856</v>
      </c>
      <c r="AA134" s="21">
        <f>EXP(-LN(2)/25)*AA133+(1-EXP(-LN(2)/25))/(LN(2)/25)*Calculateur!V134*Calculateur!X134*VLOOKUP('Données projet'!$B$9,Paramètres!$A$1:$I$89,3,0)*0.475*44/12</f>
        <v>4.4148207914254503</v>
      </c>
      <c r="AB134" s="21">
        <f>EXP(-LN(2)/2)*AB133+(1-EXP(-LN(2)/2))/(LN(2)/2)*V134*Y134*VLOOKUP('Données projet'!$B$9,Paramètres!$A$1:$I$89,3,0)*0.475*44/12</f>
        <v>4.2170980753167799E-12</v>
      </c>
      <c r="AC134" s="22">
        <f t="shared" si="111"/>
        <v>23.185597550567525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-2.8421709430404007E-13</v>
      </c>
      <c r="AJ134" s="13">
        <f>AI134*VLOOKUP('Données projet'!$B$10,Paramètres!$A$1:$I$89,3,0)*VLOOKUP('Données projet'!$B$10,Paramètres!$A$1:$I$89,5,0)</f>
        <v>-1.69961822393816E-13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195.14508560011791</v>
      </c>
      <c r="AO134" s="59">
        <f t="shared" si="144"/>
        <v>285.1531413455931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18.770776759137856</v>
      </c>
      <c r="AV134" s="21">
        <f>EXP(-LN(2)/25)*AV133+(1-EXP(-LN(2)/25))/(LN(2)/25)*Calculateur!AQ134*Calculateur!AS134*VLOOKUP('Données projet'!$B$10,Paramètres!$A$1:$I$89,3,0)*0.475*44/12</f>
        <v>4.4148207914254503</v>
      </c>
      <c r="AW134" s="21">
        <f>EXP(-LN(2)/2)*AW133+(1-EXP(-LN(2)/2))/(LN(2)/2)*AQ134*AT134*VLOOKUP('Données projet'!$B$10,Paramètres!$A$1:$I$89,3,0)*0.475*44/12</f>
        <v>4.2170980753167799E-12</v>
      </c>
      <c r="AX134" s="21">
        <f t="shared" si="114"/>
        <v>23.185597550567525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2.8421709430404007E-14</v>
      </c>
      <c r="BE134" s="13">
        <f>BD134*VLOOKUP('Données projet'!$B$11,Paramètres!$A$1:$I$89,3,0)*VLOOKUP('Données projet'!$B$11,Paramètres!$A$1:$I$89,5,0)</f>
        <v>2.3942448024172337E-14</v>
      </c>
      <c r="BF134" s="13">
        <f t="shared" si="145"/>
        <v>4.2480087102361523E-13</v>
      </c>
      <c r="BG134" s="20">
        <f t="shared" si="115"/>
        <v>7.8156128067489661E-13</v>
      </c>
      <c r="BH134" s="59">
        <f t="shared" si="116"/>
        <v>293.33333333333411</v>
      </c>
      <c r="BI134" s="59">
        <f ca="1">AVERAGE(OFFSET($BH$3,0,0,'Données projet'!$E$11+1,1))-AVERAGE(OFFSET($H$3,0,0,'Données projet'!$E$11+1,1))</f>
        <v>179.55753939285887</v>
      </c>
      <c r="BJ134" s="59">
        <f t="shared" si="146"/>
        <v>147.29214162149162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136.45990063183109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136.45990063183109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-2.8421709430404007E-13</v>
      </c>
      <c r="O135" s="13">
        <f>N135*VLOOKUP('Données projet'!$B$9,Paramètres!$A$1:$I$89,3,0)*VLOOKUP('Données projet'!$B$9,Paramètres!$A$1:$I$89,5,0)</f>
        <v>-1.69961822393816E-13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195.14508560011791</v>
      </c>
      <c r="T135" s="59">
        <f t="shared" si="142"/>
        <v>285.1531413455931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18.402693275934485</v>
      </c>
      <c r="AA135" s="21">
        <f>EXP(-LN(2)/25)*AA134+(1-EXP(-LN(2)/25))/(LN(2)/25)*Calculateur!V135*Calculateur!X135*VLOOKUP('Données projet'!$B$9,Paramètres!$A$1:$I$89,3,0)*0.475*44/12</f>
        <v>4.2940972847185863</v>
      </c>
      <c r="AB135" s="21">
        <f>EXP(-LN(2)/2)*AB134+(1-EXP(-LN(2)/2))/(LN(2)/2)*V135*Y135*VLOOKUP('Données projet'!$B$9,Paramètres!$A$1:$I$89,3,0)*0.475*44/12</f>
        <v>2.981938645985233E-12</v>
      </c>
      <c r="AC135" s="22">
        <f t="shared" si="111"/>
        <v>22.696790560656051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-2.8421709430404007E-13</v>
      </c>
      <c r="AJ135" s="13">
        <f>AI135*VLOOKUP('Données projet'!$B$10,Paramètres!$A$1:$I$89,3,0)*VLOOKUP('Données projet'!$B$10,Paramètres!$A$1:$I$89,5,0)</f>
        <v>-1.69961822393816E-13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195.14508560011791</v>
      </c>
      <c r="AO135" s="59">
        <f t="shared" si="144"/>
        <v>285.1531413455931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18.402693275934485</v>
      </c>
      <c r="AV135" s="21">
        <f>EXP(-LN(2)/25)*AV134+(1-EXP(-LN(2)/25))/(LN(2)/25)*Calculateur!AQ135*Calculateur!AS135*VLOOKUP('Données projet'!$B$10,Paramètres!$A$1:$I$89,3,0)*0.475*44/12</f>
        <v>4.2940972847185863</v>
      </c>
      <c r="AW135" s="21">
        <f>EXP(-LN(2)/2)*AW134+(1-EXP(-LN(2)/2))/(LN(2)/2)*AQ135*AT135*VLOOKUP('Données projet'!$B$10,Paramètres!$A$1:$I$89,3,0)*0.475*44/12</f>
        <v>2.981938645985233E-12</v>
      </c>
      <c r="AX135" s="21">
        <f t="shared" si="114"/>
        <v>22.696790560656051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2.8421709430404007E-14</v>
      </c>
      <c r="BE135" s="13">
        <f>BD135*VLOOKUP('Données projet'!$B$11,Paramètres!$A$1:$I$89,3,0)*VLOOKUP('Données projet'!$B$11,Paramètres!$A$1:$I$89,5,0)</f>
        <v>2.3942448024172337E-14</v>
      </c>
      <c r="BF135" s="13">
        <f t="shared" si="145"/>
        <v>4.2480087102361523E-13</v>
      </c>
      <c r="BG135" s="20">
        <f t="shared" si="115"/>
        <v>7.8156128067489661E-13</v>
      </c>
      <c r="BH135" s="59">
        <f t="shared" si="116"/>
        <v>293.33333333333411</v>
      </c>
      <c r="BI135" s="59">
        <f ca="1">AVERAGE(OFFSET($BH$3,0,0,'Données projet'!$E$11+1,1))-AVERAGE(OFFSET($H$3,0,0,'Données projet'!$E$11+1,1))</f>
        <v>179.55753939285887</v>
      </c>
      <c r="BJ135" s="59">
        <f t="shared" si="146"/>
        <v>147.29214162149162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133.78400521276177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133.78400521276177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-2.8421709430404007E-13</v>
      </c>
      <c r="O136" s="13">
        <f>N136*VLOOKUP('Données projet'!$B$9,Paramètres!$A$1:$I$89,3,0)*VLOOKUP('Données projet'!$B$9,Paramètres!$A$1:$I$89,5,0)</f>
        <v>-1.69961822393816E-13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195.14508560011791</v>
      </c>
      <c r="T136" s="59">
        <f t="shared" si="142"/>
        <v>285.1531413455931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18.041827685327977</v>
      </c>
      <c r="AA136" s="21">
        <f>EXP(-LN(2)/25)*AA135+(1-EXP(-LN(2)/25))/(LN(2)/25)*Calculateur!V136*Calculateur!X136*VLOOKUP('Données projet'!$B$9,Paramètres!$A$1:$I$89,3,0)*0.475*44/12</f>
        <v>4.176674968651195</v>
      </c>
      <c r="AB136" s="21">
        <f>EXP(-LN(2)/2)*AB135+(1-EXP(-LN(2)/2))/(LN(2)/2)*V136*Y136*VLOOKUP('Données projet'!$B$9,Paramètres!$A$1:$I$89,3,0)*0.475*44/12</f>
        <v>2.1085490376583899E-12</v>
      </c>
      <c r="AC136" s="22">
        <f t="shared" si="111"/>
        <v>22.218502653981282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-2.8421709430404007E-13</v>
      </c>
      <c r="AJ136" s="13">
        <f>AI136*VLOOKUP('Données projet'!$B$10,Paramètres!$A$1:$I$89,3,0)*VLOOKUP('Données projet'!$B$10,Paramètres!$A$1:$I$89,5,0)</f>
        <v>-1.69961822393816E-13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195.14508560011791</v>
      </c>
      <c r="AO136" s="59">
        <f t="shared" si="144"/>
        <v>285.1531413455931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18.041827685327977</v>
      </c>
      <c r="AV136" s="21">
        <f>EXP(-LN(2)/25)*AV135+(1-EXP(-LN(2)/25))/(LN(2)/25)*Calculateur!AQ136*Calculateur!AS136*VLOOKUP('Données projet'!$B$10,Paramètres!$A$1:$I$89,3,0)*0.475*44/12</f>
        <v>4.176674968651195</v>
      </c>
      <c r="AW136" s="21">
        <f>EXP(-LN(2)/2)*AW135+(1-EXP(-LN(2)/2))/(LN(2)/2)*AQ136*AT136*VLOOKUP('Données projet'!$B$10,Paramètres!$A$1:$I$89,3,0)*0.475*44/12</f>
        <v>2.1085490376583899E-12</v>
      </c>
      <c r="AX136" s="21">
        <f t="shared" si="114"/>
        <v>22.218502653981282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2.8421709430404007E-14</v>
      </c>
      <c r="BE136" s="13">
        <f>BD136*VLOOKUP('Données projet'!$B$11,Paramètres!$A$1:$I$89,3,0)*VLOOKUP('Données projet'!$B$11,Paramètres!$A$1:$I$89,5,0)</f>
        <v>2.3942448024172337E-14</v>
      </c>
      <c r="BF136" s="13">
        <f t="shared" si="145"/>
        <v>4.2480087102361523E-13</v>
      </c>
      <c r="BG136" s="20">
        <f t="shared" si="115"/>
        <v>7.8156128067489661E-13</v>
      </c>
      <c r="BH136" s="59">
        <f t="shared" si="116"/>
        <v>293.33333333333411</v>
      </c>
      <c r="BI136" s="59">
        <f ca="1">AVERAGE(OFFSET($BH$3,0,0,'Données projet'!$E$11+1,1))-AVERAGE(OFFSET($H$3,0,0,'Données projet'!$E$11+1,1))</f>
        <v>179.55753939285887</v>
      </c>
      <c r="BJ136" s="59">
        <f t="shared" si="146"/>
        <v>147.29214162149162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131.16058247072533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131.16058247072533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-2.8421709430404007E-13</v>
      </c>
      <c r="O137" s="13">
        <f>N137*VLOOKUP('Données projet'!$B$9,Paramètres!$A$1:$I$89,3,0)*VLOOKUP('Données projet'!$B$9,Paramètres!$A$1:$I$89,5,0)</f>
        <v>-1.69961822393816E-13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195.14508560011791</v>
      </c>
      <c r="T137" s="59">
        <f t="shared" si="142"/>
        <v>285.1531413455931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17.688038448846985</v>
      </c>
      <c r="AA137" s="21">
        <f>EXP(-LN(2)/25)*AA136+(1-EXP(-LN(2)/25))/(LN(2)/25)*Calculateur!V137*Calculateur!X137*VLOOKUP('Données projet'!$B$9,Paramètres!$A$1:$I$89,3,0)*0.475*44/12</f>
        <v>4.0624635719916373</v>
      </c>
      <c r="AB137" s="21">
        <f>EXP(-LN(2)/2)*AB136+(1-EXP(-LN(2)/2))/(LN(2)/2)*V137*Y137*VLOOKUP('Données projet'!$B$9,Paramètres!$A$1:$I$89,3,0)*0.475*44/12</f>
        <v>1.4909693229926165E-12</v>
      </c>
      <c r="AC137" s="22">
        <f t="shared" si="111"/>
        <v>21.750502020840116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-2.8421709430404007E-13</v>
      </c>
      <c r="AJ137" s="13">
        <f>AI137*VLOOKUP('Données projet'!$B$10,Paramètres!$A$1:$I$89,3,0)*VLOOKUP('Données projet'!$B$10,Paramètres!$A$1:$I$89,5,0)</f>
        <v>-1.69961822393816E-13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195.14508560011791</v>
      </c>
      <c r="AO137" s="59">
        <f t="shared" si="144"/>
        <v>285.1531413455931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17.688038448846985</v>
      </c>
      <c r="AV137" s="21">
        <f>EXP(-LN(2)/25)*AV136+(1-EXP(-LN(2)/25))/(LN(2)/25)*Calculateur!AQ137*Calculateur!AS137*VLOOKUP('Données projet'!$B$10,Paramètres!$A$1:$I$89,3,0)*0.475*44/12</f>
        <v>4.0624635719916373</v>
      </c>
      <c r="AW137" s="21">
        <f>EXP(-LN(2)/2)*AW136+(1-EXP(-LN(2)/2))/(LN(2)/2)*AQ137*AT137*VLOOKUP('Données projet'!$B$10,Paramètres!$A$1:$I$89,3,0)*0.475*44/12</f>
        <v>1.4909693229926165E-12</v>
      </c>
      <c r="AX137" s="21">
        <f t="shared" si="114"/>
        <v>21.750502020840116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2.8421709430404007E-14</v>
      </c>
      <c r="BE137" s="13">
        <f>BD137*VLOOKUP('Données projet'!$B$11,Paramètres!$A$1:$I$89,3,0)*VLOOKUP('Données projet'!$B$11,Paramètres!$A$1:$I$89,5,0)</f>
        <v>2.3942448024172337E-14</v>
      </c>
      <c r="BF137" s="13">
        <f t="shared" si="145"/>
        <v>4.2480087102361523E-13</v>
      </c>
      <c r="BG137" s="20">
        <f t="shared" si="115"/>
        <v>7.8156128067489661E-13</v>
      </c>
      <c r="BH137" s="59">
        <f t="shared" si="116"/>
        <v>293.33333333333411</v>
      </c>
      <c r="BI137" s="59">
        <f ca="1">AVERAGE(OFFSET($BH$3,0,0,'Données projet'!$E$11+1,1))-AVERAGE(OFFSET($H$3,0,0,'Données projet'!$E$11+1,1))</f>
        <v>179.55753939285887</v>
      </c>
      <c r="BJ137" s="59">
        <f t="shared" si="146"/>
        <v>147.29214162149162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128.58860344853036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128.58860344853036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-2.8421709430404007E-13</v>
      </c>
      <c r="O138" s="13">
        <f>N138*VLOOKUP('Données projet'!$B$9,Paramètres!$A$1:$I$89,3,0)*VLOOKUP('Données projet'!$B$9,Paramètres!$A$1:$I$89,5,0)</f>
        <v>-1.69961822393816E-13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195.14508560011791</v>
      </c>
      <c r="T138" s="59">
        <f t="shared" si="142"/>
        <v>285.1531413455931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17.341186803503259</v>
      </c>
      <c r="AA138" s="21">
        <f>EXP(-LN(2)/25)*AA137+(1-EXP(-LN(2)/25))/(LN(2)/25)*Calculateur!V138*Calculateur!X138*VLOOKUP('Données projet'!$B$9,Paramètres!$A$1:$I$89,3,0)*0.475*44/12</f>
        <v>3.9513752919798515</v>
      </c>
      <c r="AB138" s="21">
        <f>EXP(-LN(2)/2)*AB137+(1-EXP(-LN(2)/2))/(LN(2)/2)*V138*Y138*VLOOKUP('Données projet'!$B$9,Paramètres!$A$1:$I$89,3,0)*0.475*44/12</f>
        <v>1.054274518829195E-12</v>
      </c>
      <c r="AC138" s="22">
        <f t="shared" si="111"/>
        <v>21.292562095484165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-2.8421709430404007E-13</v>
      </c>
      <c r="AJ138" s="13">
        <f>AI138*VLOOKUP('Données projet'!$B$10,Paramètres!$A$1:$I$89,3,0)*VLOOKUP('Données projet'!$B$10,Paramètres!$A$1:$I$89,5,0)</f>
        <v>-1.69961822393816E-13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195.14508560011791</v>
      </c>
      <c r="AO138" s="59">
        <f t="shared" si="144"/>
        <v>285.1531413455931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17.341186803503259</v>
      </c>
      <c r="AV138" s="21">
        <f>EXP(-LN(2)/25)*AV137+(1-EXP(-LN(2)/25))/(LN(2)/25)*Calculateur!AQ138*Calculateur!AS138*VLOOKUP('Données projet'!$B$10,Paramètres!$A$1:$I$89,3,0)*0.475*44/12</f>
        <v>3.9513752919798515</v>
      </c>
      <c r="AW138" s="21">
        <f>EXP(-LN(2)/2)*AW137+(1-EXP(-LN(2)/2))/(LN(2)/2)*AQ138*AT138*VLOOKUP('Données projet'!$B$10,Paramètres!$A$1:$I$89,3,0)*0.475*44/12</f>
        <v>1.054274518829195E-12</v>
      </c>
      <c r="AX138" s="21">
        <f t="shared" si="114"/>
        <v>21.292562095484165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2.8421709430404007E-14</v>
      </c>
      <c r="BE138" s="13">
        <f>BD138*VLOOKUP('Données projet'!$B$11,Paramètres!$A$1:$I$89,3,0)*VLOOKUP('Données projet'!$B$11,Paramètres!$A$1:$I$89,5,0)</f>
        <v>2.3942448024172337E-14</v>
      </c>
      <c r="BF138" s="13">
        <f t="shared" si="145"/>
        <v>4.2480087102361523E-13</v>
      </c>
      <c r="BG138" s="20">
        <f t="shared" si="115"/>
        <v>7.8156128067489661E-13</v>
      </c>
      <c r="BH138" s="59">
        <f t="shared" si="116"/>
        <v>293.33333333333411</v>
      </c>
      <c r="BI138" s="59">
        <f ca="1">AVERAGE(OFFSET($BH$3,0,0,'Données projet'!$E$11+1,1))-AVERAGE(OFFSET($H$3,0,0,'Données projet'!$E$11+1,1))</f>
        <v>179.55753939285887</v>
      </c>
      <c r="BJ138" s="59">
        <f t="shared" si="146"/>
        <v>147.29214162149162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126.06705936620834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126.06705936620834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-2.8421709430404007E-13</v>
      </c>
      <c r="O139" s="13">
        <f>N139*VLOOKUP('Données projet'!$B$9,Paramètres!$A$1:$I$89,3,0)*VLOOKUP('Données projet'!$B$9,Paramètres!$A$1:$I$89,5,0)</f>
        <v>-1.69961822393816E-13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195.14508560011791</v>
      </c>
      <c r="T139" s="59">
        <f t="shared" si="142"/>
        <v>285.1531413455931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17.001136707366111</v>
      </c>
      <c r="AA139" s="21">
        <f>EXP(-LN(2)/25)*AA138+(1-EXP(-LN(2)/25))/(LN(2)/25)*Calculateur!V139*Calculateur!X139*VLOOKUP('Données projet'!$B$9,Paramètres!$A$1:$I$89,3,0)*0.475*44/12</f>
        <v>3.8433247268268667</v>
      </c>
      <c r="AB139" s="21">
        <f>EXP(-LN(2)/2)*AB138+(1-EXP(-LN(2)/2))/(LN(2)/2)*V139*Y139*VLOOKUP('Données projet'!$B$9,Paramètres!$A$1:$I$89,3,0)*0.475*44/12</f>
        <v>7.4548466149630825E-13</v>
      </c>
      <c r="AC139" s="22">
        <f t="shared" si="111"/>
        <v>20.844461434193725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-2.8421709430404007E-13</v>
      </c>
      <c r="AJ139" s="13">
        <f>AI139*VLOOKUP('Données projet'!$B$10,Paramètres!$A$1:$I$89,3,0)*VLOOKUP('Données projet'!$B$10,Paramètres!$A$1:$I$89,5,0)</f>
        <v>-1.69961822393816E-13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195.14508560011791</v>
      </c>
      <c r="AO139" s="59">
        <f t="shared" si="144"/>
        <v>285.1531413455931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17.001136707366111</v>
      </c>
      <c r="AV139" s="21">
        <f>EXP(-LN(2)/25)*AV138+(1-EXP(-LN(2)/25))/(LN(2)/25)*Calculateur!AQ139*Calculateur!AS139*VLOOKUP('Données projet'!$B$10,Paramètres!$A$1:$I$89,3,0)*0.475*44/12</f>
        <v>3.8433247268268667</v>
      </c>
      <c r="AW139" s="21">
        <f>EXP(-LN(2)/2)*AW138+(1-EXP(-LN(2)/2))/(LN(2)/2)*AQ139*AT139*VLOOKUP('Données projet'!$B$10,Paramètres!$A$1:$I$89,3,0)*0.475*44/12</f>
        <v>7.4548466149630825E-13</v>
      </c>
      <c r="AX139" s="21">
        <f t="shared" si="114"/>
        <v>20.844461434193725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2.8421709430404007E-14</v>
      </c>
      <c r="BE139" s="13">
        <f>BD139*VLOOKUP('Données projet'!$B$11,Paramètres!$A$1:$I$89,3,0)*VLOOKUP('Données projet'!$B$11,Paramètres!$A$1:$I$89,5,0)</f>
        <v>2.3942448024172337E-14</v>
      </c>
      <c r="BF139" s="13">
        <f t="shared" si="145"/>
        <v>4.2480087102361523E-13</v>
      </c>
      <c r="BG139" s="20">
        <f t="shared" si="115"/>
        <v>7.8156128067489661E-13</v>
      </c>
      <c r="BH139" s="59">
        <f t="shared" si="116"/>
        <v>293.33333333333411</v>
      </c>
      <c r="BI139" s="59">
        <f ca="1">AVERAGE(OFFSET($BH$3,0,0,'Données projet'!$E$11+1,1))-AVERAGE(OFFSET($H$3,0,0,'Données projet'!$E$11+1,1))</f>
        <v>179.55753939285887</v>
      </c>
      <c r="BJ139" s="59">
        <f t="shared" si="146"/>
        <v>147.29214162149162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123.59496122535063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123.59496122535063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-2.8421709430404007E-13</v>
      </c>
      <c r="O140" s="13">
        <f>N140*VLOOKUP('Données projet'!$B$9,Paramètres!$A$1:$I$89,3,0)*VLOOKUP('Données projet'!$B$9,Paramètres!$A$1:$I$89,5,0)</f>
        <v>-1.69961822393816E-13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195.14508560011791</v>
      </c>
      <c r="T140" s="59">
        <f t="shared" si="142"/>
        <v>285.1531413455931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16.667754786204135</v>
      </c>
      <c r="AA140" s="21">
        <f>EXP(-LN(2)/25)*AA139+(1-EXP(-LN(2)/25))/(LN(2)/25)*Calculateur!V140*Calculateur!X140*VLOOKUP('Données projet'!$B$9,Paramètres!$A$1:$I$89,3,0)*0.475*44/12</f>
        <v>3.7382288100601224</v>
      </c>
      <c r="AB140" s="21">
        <f>EXP(-LN(2)/2)*AB139+(1-EXP(-LN(2)/2))/(LN(2)/2)*V140*Y140*VLOOKUP('Données projet'!$B$9,Paramètres!$A$1:$I$89,3,0)*0.475*44/12</f>
        <v>5.2713725941459748E-13</v>
      </c>
      <c r="AC140" s="22">
        <f t="shared" si="111"/>
        <v>20.405983596264782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-2.8421709430404007E-13</v>
      </c>
      <c r="AJ140" s="13">
        <f>AI140*VLOOKUP('Données projet'!$B$10,Paramètres!$A$1:$I$89,3,0)*VLOOKUP('Données projet'!$B$10,Paramètres!$A$1:$I$89,5,0)</f>
        <v>-1.69961822393816E-13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195.14508560011791</v>
      </c>
      <c r="AO140" s="59">
        <f t="shared" si="144"/>
        <v>285.1531413455931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16.667754786204135</v>
      </c>
      <c r="AV140" s="21">
        <f>EXP(-LN(2)/25)*AV139+(1-EXP(-LN(2)/25))/(LN(2)/25)*Calculateur!AQ140*Calculateur!AS140*VLOOKUP('Données projet'!$B$10,Paramètres!$A$1:$I$89,3,0)*0.475*44/12</f>
        <v>3.7382288100601224</v>
      </c>
      <c r="AW140" s="21">
        <f>EXP(-LN(2)/2)*AW139+(1-EXP(-LN(2)/2))/(LN(2)/2)*AQ140*AT140*VLOOKUP('Données projet'!$B$10,Paramètres!$A$1:$I$89,3,0)*0.475*44/12</f>
        <v>5.2713725941459748E-13</v>
      </c>
      <c r="AX140" s="21">
        <f t="shared" si="114"/>
        <v>20.405983596264782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2.8421709430404007E-14</v>
      </c>
      <c r="BE140" s="13">
        <f>BD140*VLOOKUP('Données projet'!$B$11,Paramètres!$A$1:$I$89,3,0)*VLOOKUP('Données projet'!$B$11,Paramètres!$A$1:$I$89,5,0)</f>
        <v>2.3942448024172337E-14</v>
      </c>
      <c r="BF140" s="13">
        <f t="shared" si="145"/>
        <v>4.2480087102361523E-13</v>
      </c>
      <c r="BG140" s="20">
        <f t="shared" si="115"/>
        <v>7.8156128067489661E-13</v>
      </c>
      <c r="BH140" s="59">
        <f t="shared" si="116"/>
        <v>293.33333333333411</v>
      </c>
      <c r="BI140" s="59">
        <f ca="1">AVERAGE(OFFSET($BH$3,0,0,'Données projet'!$E$11+1,1))-AVERAGE(OFFSET($H$3,0,0,'Données projet'!$E$11+1,1))</f>
        <v>179.55753939285887</v>
      </c>
      <c r="BJ140" s="59">
        <f t="shared" si="146"/>
        <v>147.29214162149162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121.17133942120415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121.17133942120415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-2.8421709430404007E-13</v>
      </c>
      <c r="O141" s="13">
        <f>N141*VLOOKUP('Données projet'!$B$9,Paramètres!$A$1:$I$89,3,0)*VLOOKUP('Données projet'!$B$9,Paramètres!$A$1:$I$89,5,0)</f>
        <v>-1.69961822393816E-13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195.14508560011791</v>
      </c>
      <c r="T141" s="59">
        <f t="shared" si="142"/>
        <v>285.1531413455931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16.340910281173251</v>
      </c>
      <c r="AA141" s="21">
        <f>EXP(-LN(2)/25)*AA140+(1-EXP(-LN(2)/25))/(LN(2)/25)*Calculateur!V141*Calculateur!X141*VLOOKUP('Données projet'!$B$9,Paramètres!$A$1:$I$89,3,0)*0.475*44/12</f>
        <v>3.636006746664119</v>
      </c>
      <c r="AB141" s="21">
        <f>EXP(-LN(2)/2)*AB140+(1-EXP(-LN(2)/2))/(LN(2)/2)*V141*Y141*VLOOKUP('Données projet'!$B$9,Paramètres!$A$1:$I$89,3,0)*0.475*44/12</f>
        <v>3.7274233074815412E-13</v>
      </c>
      <c r="AC141" s="22">
        <f t="shared" si="111"/>
        <v>19.976917027837743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-2.8421709430404007E-13</v>
      </c>
      <c r="AJ141" s="13">
        <f>AI141*VLOOKUP('Données projet'!$B$10,Paramètres!$A$1:$I$89,3,0)*VLOOKUP('Données projet'!$B$10,Paramètres!$A$1:$I$89,5,0)</f>
        <v>-1.69961822393816E-13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195.14508560011791</v>
      </c>
      <c r="AO141" s="59">
        <f t="shared" si="144"/>
        <v>285.1531413455931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16.340910281173251</v>
      </c>
      <c r="AV141" s="21">
        <f>EXP(-LN(2)/25)*AV140+(1-EXP(-LN(2)/25))/(LN(2)/25)*Calculateur!AQ141*Calculateur!AS141*VLOOKUP('Données projet'!$B$10,Paramètres!$A$1:$I$89,3,0)*0.475*44/12</f>
        <v>3.636006746664119</v>
      </c>
      <c r="AW141" s="21">
        <f>EXP(-LN(2)/2)*AW140+(1-EXP(-LN(2)/2))/(LN(2)/2)*AQ141*AT141*VLOOKUP('Données projet'!$B$10,Paramètres!$A$1:$I$89,3,0)*0.475*44/12</f>
        <v>3.7274233074815412E-13</v>
      </c>
      <c r="AX141" s="21">
        <f t="shared" si="114"/>
        <v>19.976917027837743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2.8421709430404007E-14</v>
      </c>
      <c r="BE141" s="13">
        <f>BD141*VLOOKUP('Données projet'!$B$11,Paramètres!$A$1:$I$89,3,0)*VLOOKUP('Données projet'!$B$11,Paramètres!$A$1:$I$89,5,0)</f>
        <v>2.3942448024172337E-14</v>
      </c>
      <c r="BF141" s="13">
        <f t="shared" si="145"/>
        <v>4.2480087102361523E-13</v>
      </c>
      <c r="BG141" s="20">
        <f t="shared" si="115"/>
        <v>7.8156128067489661E-13</v>
      </c>
      <c r="BH141" s="59">
        <f t="shared" si="116"/>
        <v>293.33333333333411</v>
      </c>
      <c r="BI141" s="59">
        <f ca="1">AVERAGE(OFFSET($BH$3,0,0,'Données projet'!$E$11+1,1))-AVERAGE(OFFSET($H$3,0,0,'Données projet'!$E$11+1,1))</f>
        <v>179.55753939285887</v>
      </c>
      <c r="BJ141" s="59">
        <f t="shared" si="146"/>
        <v>147.29214162149162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118.79524336237365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118.79524336237365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-2.8421709430404007E-13</v>
      </c>
      <c r="O142" s="13">
        <f>N142*VLOOKUP('Données projet'!$B$9,Paramètres!$A$1:$I$89,3,0)*VLOOKUP('Données projet'!$B$9,Paramètres!$A$1:$I$89,5,0)</f>
        <v>-1.69961822393816E-13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195.14508560011791</v>
      </c>
      <c r="T142" s="59">
        <f t="shared" si="142"/>
        <v>285.1531413455931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16.02047499753056</v>
      </c>
      <c r="AA142" s="21">
        <f>EXP(-LN(2)/25)*AA141+(1-EXP(-LN(2)/25))/(LN(2)/25)*Calculateur!V142*Calculateur!X142*VLOOKUP('Données projet'!$B$9,Paramètres!$A$1:$I$89,3,0)*0.475*44/12</f>
        <v>3.5365799509673042</v>
      </c>
      <c r="AB142" s="21">
        <f>EXP(-LN(2)/2)*AB141+(1-EXP(-LN(2)/2))/(LN(2)/2)*V142*Y142*VLOOKUP('Données projet'!$B$9,Paramètres!$A$1:$I$89,3,0)*0.475*44/12</f>
        <v>2.6356862970729874E-13</v>
      </c>
      <c r="AC142" s="22">
        <f t="shared" si="111"/>
        <v>19.557054948498127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-2.8421709430404007E-13</v>
      </c>
      <c r="AJ142" s="13">
        <f>AI142*VLOOKUP('Données projet'!$B$10,Paramètres!$A$1:$I$89,3,0)*VLOOKUP('Données projet'!$B$10,Paramètres!$A$1:$I$89,5,0)</f>
        <v>-1.69961822393816E-13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195.14508560011791</v>
      </c>
      <c r="AO142" s="59">
        <f t="shared" si="144"/>
        <v>285.1531413455931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16.02047499753056</v>
      </c>
      <c r="AV142" s="21">
        <f>EXP(-LN(2)/25)*AV141+(1-EXP(-LN(2)/25))/(LN(2)/25)*Calculateur!AQ142*Calculateur!AS142*VLOOKUP('Données projet'!$B$10,Paramètres!$A$1:$I$89,3,0)*0.475*44/12</f>
        <v>3.5365799509673042</v>
      </c>
      <c r="AW142" s="21">
        <f>EXP(-LN(2)/2)*AW141+(1-EXP(-LN(2)/2))/(LN(2)/2)*AQ142*AT142*VLOOKUP('Données projet'!$B$10,Paramètres!$A$1:$I$89,3,0)*0.475*44/12</f>
        <v>2.6356862970729874E-13</v>
      </c>
      <c r="AX142" s="21">
        <f t="shared" si="114"/>
        <v>19.557054948498127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2.8421709430404007E-14</v>
      </c>
      <c r="BE142" s="13">
        <f>BD142*VLOOKUP('Données projet'!$B$11,Paramètres!$A$1:$I$89,3,0)*VLOOKUP('Données projet'!$B$11,Paramètres!$A$1:$I$89,5,0)</f>
        <v>2.3942448024172337E-14</v>
      </c>
      <c r="BF142" s="13">
        <f t="shared" si="145"/>
        <v>4.2480087102361523E-13</v>
      </c>
      <c r="BG142" s="20">
        <f t="shared" si="115"/>
        <v>7.8156128067489661E-13</v>
      </c>
      <c r="BH142" s="59">
        <f t="shared" si="116"/>
        <v>293.33333333333411</v>
      </c>
      <c r="BI142" s="59">
        <f ca="1">AVERAGE(OFFSET($BH$3,0,0,'Données projet'!$E$11+1,1))-AVERAGE(OFFSET($H$3,0,0,'Données projet'!$E$11+1,1))</f>
        <v>179.55753939285887</v>
      </c>
      <c r="BJ142" s="59">
        <f t="shared" si="146"/>
        <v>147.29214162149162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116.46574109798134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116.46574109798134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-2.8421709430404007E-13</v>
      </c>
      <c r="O143" s="13">
        <f>N143*VLOOKUP('Données projet'!$B$9,Paramètres!$A$1:$I$89,3,0)*VLOOKUP('Données projet'!$B$9,Paramètres!$A$1:$I$89,5,0)</f>
        <v>-1.69961822393816E-13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195.14508560011791</v>
      </c>
      <c r="T143" s="59">
        <f t="shared" si="142"/>
        <v>285.1531413455931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15.706323254353876</v>
      </c>
      <c r="AA143" s="21">
        <f>EXP(-LN(2)/25)*AA142+(1-EXP(-LN(2)/25))/(LN(2)/25)*Calculateur!V143*Calculateur!X143*VLOOKUP('Données projet'!$B$9,Paramètres!$A$1:$I$89,3,0)*0.475*44/12</f>
        <v>3.4398719862274465</v>
      </c>
      <c r="AB143" s="21">
        <f>EXP(-LN(2)/2)*AB142+(1-EXP(-LN(2)/2))/(LN(2)/2)*V143*Y143*VLOOKUP('Données projet'!$B$9,Paramètres!$A$1:$I$89,3,0)*0.475*44/12</f>
        <v>1.8637116537407706E-13</v>
      </c>
      <c r="AC143" s="22">
        <f t="shared" si="111"/>
        <v>19.146195240581505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-2.8421709430404007E-13</v>
      </c>
      <c r="AJ143" s="13">
        <f>AI143*VLOOKUP('Données projet'!$B$10,Paramètres!$A$1:$I$89,3,0)*VLOOKUP('Données projet'!$B$10,Paramètres!$A$1:$I$89,5,0)</f>
        <v>-1.69961822393816E-13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195.14508560011791</v>
      </c>
      <c r="AO143" s="59">
        <f t="shared" si="144"/>
        <v>285.1531413455931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15.706323254353876</v>
      </c>
      <c r="AV143" s="21">
        <f>EXP(-LN(2)/25)*AV142+(1-EXP(-LN(2)/25))/(LN(2)/25)*Calculateur!AQ143*Calculateur!AS143*VLOOKUP('Données projet'!$B$10,Paramètres!$A$1:$I$89,3,0)*0.475*44/12</f>
        <v>3.4398719862274465</v>
      </c>
      <c r="AW143" s="21">
        <f>EXP(-LN(2)/2)*AW142+(1-EXP(-LN(2)/2))/(LN(2)/2)*AQ143*AT143*VLOOKUP('Données projet'!$B$10,Paramètres!$A$1:$I$89,3,0)*0.475*44/12</f>
        <v>1.8637116537407706E-13</v>
      </c>
      <c r="AX143" s="21">
        <f t="shared" si="114"/>
        <v>19.146195240581505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2.8421709430404007E-14</v>
      </c>
      <c r="BE143" s="13">
        <f>BD143*VLOOKUP('Données projet'!$B$11,Paramètres!$A$1:$I$89,3,0)*VLOOKUP('Données projet'!$B$11,Paramètres!$A$1:$I$89,5,0)</f>
        <v>2.3942448024172337E-14</v>
      </c>
      <c r="BF143" s="13">
        <f t="shared" si="145"/>
        <v>4.2480087102361523E-13</v>
      </c>
      <c r="BG143" s="20">
        <f t="shared" si="115"/>
        <v>7.8156128067489661E-13</v>
      </c>
      <c r="BH143" s="59">
        <f t="shared" si="116"/>
        <v>293.33333333333411</v>
      </c>
      <c r="BI143" s="59">
        <f ca="1">AVERAGE(OFFSET($BH$3,0,0,'Données projet'!$E$11+1,1))-AVERAGE(OFFSET($H$3,0,0,'Données projet'!$E$11+1,1))</f>
        <v>179.55753939285887</v>
      </c>
      <c r="BJ143" s="59">
        <f t="shared" si="146"/>
        <v>147.29214162149162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114.18191895213766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114.18191895213766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-2.8421709430404007E-13</v>
      </c>
      <c r="O144" s="13">
        <f>N144*VLOOKUP('Données projet'!$B$9,Paramètres!$A$1:$I$89,3,0)*VLOOKUP('Données projet'!$B$9,Paramètres!$A$1:$I$89,5,0)</f>
        <v>-1.69961822393816E-13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195.14508560011791</v>
      </c>
      <c r="T144" s="59">
        <f t="shared" si="142"/>
        <v>285.1531413455931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15.398331835247244</v>
      </c>
      <c r="AA144" s="21">
        <f>EXP(-LN(2)/25)*AA143+(1-EXP(-LN(2)/25))/(LN(2)/25)*Calculateur!V144*Calculateur!X144*VLOOKUP('Données projet'!$B$9,Paramètres!$A$1:$I$89,3,0)*0.475*44/12</f>
        <v>3.345808505869051</v>
      </c>
      <c r="AB144" s="21">
        <f>EXP(-LN(2)/2)*AB143+(1-EXP(-LN(2)/2))/(LN(2)/2)*V144*Y144*VLOOKUP('Données projet'!$B$9,Paramètres!$A$1:$I$89,3,0)*0.475*44/12</f>
        <v>1.3178431485364937E-13</v>
      </c>
      <c r="AC144" s="22">
        <f t="shared" si="111"/>
        <v>18.744140341116427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-2.8421709430404007E-13</v>
      </c>
      <c r="AJ144" s="13">
        <f>AI144*VLOOKUP('Données projet'!$B$10,Paramètres!$A$1:$I$89,3,0)*VLOOKUP('Données projet'!$B$10,Paramètres!$A$1:$I$89,5,0)</f>
        <v>-1.69961822393816E-13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195.14508560011791</v>
      </c>
      <c r="AO144" s="59">
        <f t="shared" si="144"/>
        <v>285.1531413455931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15.398331835247244</v>
      </c>
      <c r="AV144" s="21">
        <f>EXP(-LN(2)/25)*AV143+(1-EXP(-LN(2)/25))/(LN(2)/25)*Calculateur!AQ144*Calculateur!AS144*VLOOKUP('Données projet'!$B$10,Paramètres!$A$1:$I$89,3,0)*0.475*44/12</f>
        <v>3.345808505869051</v>
      </c>
      <c r="AW144" s="21">
        <f>EXP(-LN(2)/2)*AW143+(1-EXP(-LN(2)/2))/(LN(2)/2)*AQ144*AT144*VLOOKUP('Données projet'!$B$10,Paramètres!$A$1:$I$89,3,0)*0.475*44/12</f>
        <v>1.3178431485364937E-13</v>
      </c>
      <c r="AX144" s="21">
        <f t="shared" si="114"/>
        <v>18.744140341116427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2.8421709430404007E-14</v>
      </c>
      <c r="BE144" s="13">
        <f>BD144*VLOOKUP('Données projet'!$B$11,Paramètres!$A$1:$I$89,3,0)*VLOOKUP('Données projet'!$B$11,Paramètres!$A$1:$I$89,5,0)</f>
        <v>2.3942448024172337E-14</v>
      </c>
      <c r="BF144" s="13">
        <f t="shared" si="145"/>
        <v>4.2480087102361523E-13</v>
      </c>
      <c r="BG144" s="20">
        <f t="shared" si="115"/>
        <v>7.8156128067489661E-13</v>
      </c>
      <c r="BH144" s="59">
        <f t="shared" si="116"/>
        <v>293.33333333333411</v>
      </c>
      <c r="BI144" s="59">
        <f ca="1">AVERAGE(OFFSET($BH$3,0,0,'Données projet'!$E$11+1,1))-AVERAGE(OFFSET($H$3,0,0,'Données projet'!$E$11+1,1))</f>
        <v>179.55753939285887</v>
      </c>
      <c r="BJ144" s="59">
        <f t="shared" si="146"/>
        <v>147.29214162149162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111.94288116558002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111.94288116558002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-2.8421709430404007E-13</v>
      </c>
      <c r="O145" s="13">
        <f>N145*VLOOKUP('Données projet'!$B$9,Paramètres!$A$1:$I$89,3,0)*VLOOKUP('Données projet'!$B$9,Paramètres!$A$1:$I$89,5,0)</f>
        <v>-1.69961822393816E-13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195.14508560011791</v>
      </c>
      <c r="T145" s="59">
        <f t="shared" si="142"/>
        <v>285.1531413455931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15.096379940013078</v>
      </c>
      <c r="AA145" s="21">
        <f>EXP(-LN(2)/25)*AA144+(1-EXP(-LN(2)/25))/(LN(2)/25)*Calculateur!V145*Calculateur!X145*VLOOKUP('Données projet'!$B$9,Paramètres!$A$1:$I$89,3,0)*0.475*44/12</f>
        <v>3.2543171963276394</v>
      </c>
      <c r="AB145" s="21">
        <f>EXP(-LN(2)/2)*AB144+(1-EXP(-LN(2)/2))/(LN(2)/2)*V145*Y145*VLOOKUP('Données projet'!$B$9,Paramètres!$A$1:$I$89,3,0)*0.475*44/12</f>
        <v>9.3185582687038531E-14</v>
      </c>
      <c r="AC145" s="22">
        <f t="shared" si="111"/>
        <v>18.350697136340809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-2.8421709430404007E-13</v>
      </c>
      <c r="AJ145" s="13">
        <f>AI145*VLOOKUP('Données projet'!$B$10,Paramètres!$A$1:$I$89,3,0)*VLOOKUP('Données projet'!$B$10,Paramètres!$A$1:$I$89,5,0)</f>
        <v>-1.69961822393816E-13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195.14508560011791</v>
      </c>
      <c r="AO145" s="59">
        <f t="shared" si="144"/>
        <v>285.1531413455931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15.096379940013078</v>
      </c>
      <c r="AV145" s="21">
        <f>EXP(-LN(2)/25)*AV144+(1-EXP(-LN(2)/25))/(LN(2)/25)*Calculateur!AQ145*Calculateur!AS145*VLOOKUP('Données projet'!$B$10,Paramètres!$A$1:$I$89,3,0)*0.475*44/12</f>
        <v>3.2543171963276394</v>
      </c>
      <c r="AW145" s="21">
        <f>EXP(-LN(2)/2)*AW144+(1-EXP(-LN(2)/2))/(LN(2)/2)*AQ145*AT145*VLOOKUP('Données projet'!$B$10,Paramètres!$A$1:$I$89,3,0)*0.475*44/12</f>
        <v>9.3185582687038531E-14</v>
      </c>
      <c r="AX145" s="21">
        <f t="shared" si="114"/>
        <v>18.350697136340809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2.8421709430404007E-14</v>
      </c>
      <c r="BE145" s="13">
        <f>BD145*VLOOKUP('Données projet'!$B$11,Paramètres!$A$1:$I$89,3,0)*VLOOKUP('Données projet'!$B$11,Paramètres!$A$1:$I$89,5,0)</f>
        <v>2.3942448024172337E-14</v>
      </c>
      <c r="BF145" s="13">
        <f t="shared" si="145"/>
        <v>4.2480087102361523E-13</v>
      </c>
      <c r="BG145" s="20">
        <f t="shared" si="115"/>
        <v>7.8156128067489661E-13</v>
      </c>
      <c r="BH145" s="59">
        <f t="shared" si="116"/>
        <v>293.33333333333411</v>
      </c>
      <c r="BI145" s="59">
        <f ca="1">AVERAGE(OFFSET($BH$3,0,0,'Données projet'!$E$11+1,1))-AVERAGE(OFFSET($H$3,0,0,'Données projet'!$E$11+1,1))</f>
        <v>179.55753939285887</v>
      </c>
      <c r="BJ145" s="59">
        <f t="shared" si="146"/>
        <v>147.29214162149162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109.74774954433857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109.74774954433857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-2.8421709430404007E-13</v>
      </c>
      <c r="O146" s="13">
        <f>N146*VLOOKUP('Données projet'!$B$9,Paramètres!$A$1:$I$89,3,0)*VLOOKUP('Données projet'!$B$9,Paramètres!$A$1:$I$89,5,0)</f>
        <v>-1.69961822393816E-13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195.14508560011791</v>
      </c>
      <c r="T146" s="59">
        <f t="shared" si="142"/>
        <v>285.1531413455931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14.800349137271981</v>
      </c>
      <c r="AA146" s="21">
        <f>EXP(-LN(2)/25)*AA145+(1-EXP(-LN(2)/25))/(LN(2)/25)*Calculateur!V146*Calculateur!X146*VLOOKUP('Données projet'!$B$9,Paramètres!$A$1:$I$89,3,0)*0.475*44/12</f>
        <v>3.1653277214569564</v>
      </c>
      <c r="AB146" s="21">
        <f>EXP(-LN(2)/2)*AB145+(1-EXP(-LN(2)/2))/(LN(2)/2)*V146*Y146*VLOOKUP('Données projet'!$B$9,Paramètres!$A$1:$I$89,3,0)*0.475*44/12</f>
        <v>6.5892157426824685E-14</v>
      </c>
      <c r="AC146" s="22">
        <f t="shared" si="111"/>
        <v>17.965676858729005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-2.8421709430404007E-13</v>
      </c>
      <c r="AJ146" s="13">
        <f>AI146*VLOOKUP('Données projet'!$B$10,Paramètres!$A$1:$I$89,3,0)*VLOOKUP('Données projet'!$B$10,Paramètres!$A$1:$I$89,5,0)</f>
        <v>-1.69961822393816E-13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195.14508560011791</v>
      </c>
      <c r="AO146" s="59">
        <f t="shared" si="144"/>
        <v>285.1531413455931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14.800349137271981</v>
      </c>
      <c r="AV146" s="21">
        <f>EXP(-LN(2)/25)*AV145+(1-EXP(-LN(2)/25))/(LN(2)/25)*Calculateur!AQ146*Calculateur!AS146*VLOOKUP('Données projet'!$B$10,Paramètres!$A$1:$I$89,3,0)*0.475*44/12</f>
        <v>3.1653277214569564</v>
      </c>
      <c r="AW146" s="21">
        <f>EXP(-LN(2)/2)*AW145+(1-EXP(-LN(2)/2))/(LN(2)/2)*AQ146*AT146*VLOOKUP('Données projet'!$B$10,Paramètres!$A$1:$I$89,3,0)*0.475*44/12</f>
        <v>6.5892157426824685E-14</v>
      </c>
      <c r="AX146" s="21">
        <f t="shared" si="114"/>
        <v>17.965676858729005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2.8421709430404007E-14</v>
      </c>
      <c r="BE146" s="13">
        <f>BD146*VLOOKUP('Données projet'!$B$11,Paramètres!$A$1:$I$89,3,0)*VLOOKUP('Données projet'!$B$11,Paramètres!$A$1:$I$89,5,0)</f>
        <v>2.3942448024172337E-14</v>
      </c>
      <c r="BF146" s="13">
        <f t="shared" si="145"/>
        <v>4.2480087102361523E-13</v>
      </c>
      <c r="BG146" s="20">
        <f t="shared" si="115"/>
        <v>7.8156128067489661E-13</v>
      </c>
      <c r="BH146" s="59">
        <f t="shared" si="116"/>
        <v>293.33333333333411</v>
      </c>
      <c r="BI146" s="59">
        <f ca="1">AVERAGE(OFFSET($BH$3,0,0,'Données projet'!$E$11+1,1))-AVERAGE(OFFSET($H$3,0,0,'Données projet'!$E$11+1,1))</f>
        <v>179.55753939285887</v>
      </c>
      <c r="BJ146" s="59">
        <f t="shared" si="146"/>
        <v>147.29214162149162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107.59566311529159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107.59566311529159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-2.8421709430404007E-13</v>
      </c>
      <c r="O147" s="13">
        <f>N147*VLOOKUP('Données projet'!$B$9,Paramètres!$A$1:$I$89,3,0)*VLOOKUP('Données projet'!$B$9,Paramètres!$A$1:$I$89,5,0)</f>
        <v>-1.69961822393816E-13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195.14508560011791</v>
      </c>
      <c r="T147" s="59">
        <f t="shared" si="142"/>
        <v>285.1531413455931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14.510123318011678</v>
      </c>
      <c r="AA147" s="21">
        <f>EXP(-LN(2)/25)*AA146+(1-EXP(-LN(2)/25))/(LN(2)/25)*Calculateur!V147*Calculateur!X147*VLOOKUP('Données projet'!$B$9,Paramètres!$A$1:$I$89,3,0)*0.475*44/12</f>
        <v>3.0787716684563655</v>
      </c>
      <c r="AB147" s="21">
        <f>EXP(-LN(2)/2)*AB146+(1-EXP(-LN(2)/2))/(LN(2)/2)*V147*Y147*VLOOKUP('Données projet'!$B$9,Paramètres!$A$1:$I$89,3,0)*0.475*44/12</f>
        <v>4.6592791343519266E-14</v>
      </c>
      <c r="AC147" s="22">
        <f t="shared" si="111"/>
        <v>17.588894986468087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-2.8421709430404007E-13</v>
      </c>
      <c r="AJ147" s="13">
        <f>AI147*VLOOKUP('Données projet'!$B$10,Paramètres!$A$1:$I$89,3,0)*VLOOKUP('Données projet'!$B$10,Paramètres!$A$1:$I$89,5,0)</f>
        <v>-1.69961822393816E-13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195.14508560011791</v>
      </c>
      <c r="AO147" s="59">
        <f t="shared" si="144"/>
        <v>285.1531413455931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14.510123318011678</v>
      </c>
      <c r="AV147" s="21">
        <f>EXP(-LN(2)/25)*AV146+(1-EXP(-LN(2)/25))/(LN(2)/25)*Calculateur!AQ147*Calculateur!AS147*VLOOKUP('Données projet'!$B$10,Paramètres!$A$1:$I$89,3,0)*0.475*44/12</f>
        <v>3.0787716684563655</v>
      </c>
      <c r="AW147" s="21">
        <f>EXP(-LN(2)/2)*AW146+(1-EXP(-LN(2)/2))/(LN(2)/2)*AQ147*AT147*VLOOKUP('Données projet'!$B$10,Paramètres!$A$1:$I$89,3,0)*0.475*44/12</f>
        <v>4.6592791343519266E-14</v>
      </c>
      <c r="AX147" s="21">
        <f t="shared" si="114"/>
        <v>17.588894986468087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2.8421709430404007E-14</v>
      </c>
      <c r="BE147" s="13">
        <f>BD147*VLOOKUP('Données projet'!$B$11,Paramètres!$A$1:$I$89,3,0)*VLOOKUP('Données projet'!$B$11,Paramètres!$A$1:$I$89,5,0)</f>
        <v>2.3942448024172337E-14</v>
      </c>
      <c r="BF147" s="13">
        <f t="shared" si="145"/>
        <v>4.2480087102361523E-13</v>
      </c>
      <c r="BG147" s="20">
        <f t="shared" si="115"/>
        <v>7.8156128067489661E-13</v>
      </c>
      <c r="BH147" s="59">
        <f t="shared" si="116"/>
        <v>293.33333333333411</v>
      </c>
      <c r="BI147" s="59">
        <f ca="1">AVERAGE(OFFSET($BH$3,0,0,'Données projet'!$E$11+1,1))-AVERAGE(OFFSET($H$3,0,0,'Données projet'!$E$11+1,1))</f>
        <v>179.55753939285887</v>
      </c>
      <c r="BJ147" s="59">
        <f t="shared" si="146"/>
        <v>147.29214162149162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105.4857777884751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105.4857777884751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-2.8421709430404007E-13</v>
      </c>
      <c r="O148" s="13">
        <f>N148*VLOOKUP('Données projet'!$B$9,Paramètres!$A$1:$I$89,3,0)*VLOOKUP('Données projet'!$B$9,Paramètres!$A$1:$I$89,5,0)</f>
        <v>-1.69961822393816E-13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195.14508560011791</v>
      </c>
      <c r="T148" s="59">
        <f t="shared" si="142"/>
        <v>285.1531413455931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14.225588650046799</v>
      </c>
      <c r="AA148" s="21">
        <f>EXP(-LN(2)/25)*AA147+(1-EXP(-LN(2)/25))/(LN(2)/25)*Calculateur!V148*Calculateur!X148*VLOOKUP('Données projet'!$B$9,Paramètres!$A$1:$I$89,3,0)*0.475*44/12</f>
        <v>2.9945824952768607</v>
      </c>
      <c r="AB148" s="21">
        <f>EXP(-LN(2)/2)*AB147+(1-EXP(-LN(2)/2))/(LN(2)/2)*V148*Y148*VLOOKUP('Données projet'!$B$9,Paramètres!$A$1:$I$89,3,0)*0.475*44/12</f>
        <v>3.2946078713412343E-14</v>
      </c>
      <c r="AC148" s="22">
        <f t="shared" si="111"/>
        <v>17.220171145323693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-2.8421709430404007E-13</v>
      </c>
      <c r="AJ148" s="13">
        <f>AI148*VLOOKUP('Données projet'!$B$10,Paramètres!$A$1:$I$89,3,0)*VLOOKUP('Données projet'!$B$10,Paramètres!$A$1:$I$89,5,0)</f>
        <v>-1.69961822393816E-13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195.14508560011791</v>
      </c>
      <c r="AO148" s="59">
        <f t="shared" si="144"/>
        <v>285.1531413455931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14.225588650046799</v>
      </c>
      <c r="AV148" s="21">
        <f>EXP(-LN(2)/25)*AV147+(1-EXP(-LN(2)/25))/(LN(2)/25)*Calculateur!AQ148*Calculateur!AS148*VLOOKUP('Données projet'!$B$10,Paramètres!$A$1:$I$89,3,0)*0.475*44/12</f>
        <v>2.9945824952768607</v>
      </c>
      <c r="AW148" s="21">
        <f>EXP(-LN(2)/2)*AW147+(1-EXP(-LN(2)/2))/(LN(2)/2)*AQ148*AT148*VLOOKUP('Données projet'!$B$10,Paramètres!$A$1:$I$89,3,0)*0.475*44/12</f>
        <v>3.2946078713412343E-14</v>
      </c>
      <c r="AX148" s="21">
        <f t="shared" si="114"/>
        <v>17.220171145323693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2.8421709430404007E-14</v>
      </c>
      <c r="BE148" s="13">
        <f>BD148*VLOOKUP('Données projet'!$B$11,Paramètres!$A$1:$I$89,3,0)*VLOOKUP('Données projet'!$B$11,Paramètres!$A$1:$I$89,5,0)</f>
        <v>2.3942448024172337E-14</v>
      </c>
      <c r="BF148" s="13">
        <f t="shared" si="145"/>
        <v>4.2480087102361523E-13</v>
      </c>
      <c r="BG148" s="20">
        <f t="shared" si="115"/>
        <v>7.8156128067489661E-13</v>
      </c>
      <c r="BH148" s="59">
        <f t="shared" si="116"/>
        <v>293.33333333333411</v>
      </c>
      <c r="BI148" s="59">
        <f ca="1">AVERAGE(OFFSET($BH$3,0,0,'Données projet'!$E$11+1,1))-AVERAGE(OFFSET($H$3,0,0,'Données projet'!$E$11+1,1))</f>
        <v>179.55753939285887</v>
      </c>
      <c r="BJ148" s="59">
        <f t="shared" si="146"/>
        <v>147.29214162149162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103.41726602601452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103.41726602601452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-2.8421709430404007E-13</v>
      </c>
      <c r="O149" s="13">
        <f>N149*VLOOKUP('Données projet'!$B$9,Paramètres!$A$1:$I$89,3,0)*VLOOKUP('Données projet'!$B$9,Paramètres!$A$1:$I$89,5,0)</f>
        <v>-1.69961822393816E-13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195.14508560011791</v>
      </c>
      <c r="T149" s="59">
        <f t="shared" si="142"/>
        <v>285.1531413455931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13.946633533371699</v>
      </c>
      <c r="AA149" s="21">
        <f>EXP(-LN(2)/25)*AA148+(1-EXP(-LN(2)/25))/(LN(2)/25)*Calculateur!V149*Calculateur!X149*VLOOKUP('Données projet'!$B$9,Paramètres!$A$1:$I$89,3,0)*0.475*44/12</f>
        <v>2.9126954794652655</v>
      </c>
      <c r="AB149" s="21">
        <f>EXP(-LN(2)/2)*AB148+(1-EXP(-LN(2)/2))/(LN(2)/2)*V149*Y149*VLOOKUP('Données projet'!$B$9,Paramètres!$A$1:$I$89,3,0)*0.475*44/12</f>
        <v>2.3296395671759633E-14</v>
      </c>
      <c r="AC149" s="22">
        <f t="shared" si="111"/>
        <v>16.859329012836991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-2.8421709430404007E-13</v>
      </c>
      <c r="AJ149" s="13">
        <f>AI149*VLOOKUP('Données projet'!$B$10,Paramètres!$A$1:$I$89,3,0)*VLOOKUP('Données projet'!$B$10,Paramètres!$A$1:$I$89,5,0)</f>
        <v>-1.69961822393816E-13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195.14508560011791</v>
      </c>
      <c r="AO149" s="59">
        <f t="shared" si="144"/>
        <v>285.1531413455931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13.946633533371699</v>
      </c>
      <c r="AV149" s="21">
        <f>EXP(-LN(2)/25)*AV148+(1-EXP(-LN(2)/25))/(LN(2)/25)*Calculateur!AQ149*Calculateur!AS149*VLOOKUP('Données projet'!$B$10,Paramètres!$A$1:$I$89,3,0)*0.475*44/12</f>
        <v>2.9126954794652655</v>
      </c>
      <c r="AW149" s="21">
        <f>EXP(-LN(2)/2)*AW148+(1-EXP(-LN(2)/2))/(LN(2)/2)*AQ149*AT149*VLOOKUP('Données projet'!$B$10,Paramètres!$A$1:$I$89,3,0)*0.475*44/12</f>
        <v>2.3296395671759633E-14</v>
      </c>
      <c r="AX149" s="21">
        <f t="shared" si="114"/>
        <v>16.859329012836991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2.8421709430404007E-14</v>
      </c>
      <c r="BE149" s="13">
        <f>BD149*VLOOKUP('Données projet'!$B$11,Paramètres!$A$1:$I$89,3,0)*VLOOKUP('Données projet'!$B$11,Paramètres!$A$1:$I$89,5,0)</f>
        <v>2.3942448024172337E-14</v>
      </c>
      <c r="BF149" s="13">
        <f t="shared" si="145"/>
        <v>4.2480087102361523E-13</v>
      </c>
      <c r="BG149" s="20">
        <f t="shared" si="115"/>
        <v>7.8156128067489661E-13</v>
      </c>
      <c r="BH149" s="59">
        <f t="shared" si="116"/>
        <v>293.33333333333411</v>
      </c>
      <c r="BI149" s="59">
        <f ca="1">AVERAGE(OFFSET($BH$3,0,0,'Données projet'!$E$11+1,1))-AVERAGE(OFFSET($H$3,0,0,'Données projet'!$E$11+1,1))</f>
        <v>179.55753939285887</v>
      </c>
      <c r="BJ149" s="59">
        <f t="shared" si="146"/>
        <v>147.29214162149162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101.38931651754818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101.38931651754818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-2.8421709430404007E-13</v>
      </c>
      <c r="O150" s="13">
        <f>N150*VLOOKUP('Données projet'!$B$9,Paramètres!$A$1:$I$89,3,0)*VLOOKUP('Données projet'!$B$9,Paramètres!$A$1:$I$89,5,0)</f>
        <v>-1.69961822393816E-13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195.14508560011791</v>
      </c>
      <c r="T150" s="59">
        <f t="shared" si="142"/>
        <v>285.1531413455931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13.673148556388778</v>
      </c>
      <c r="AA150" s="21">
        <f>EXP(-LN(2)/25)*AA149+(1-EXP(-LN(2)/25))/(LN(2)/25)*Calculateur!V150*Calculateur!X150*VLOOKUP('Données projet'!$B$9,Paramètres!$A$1:$I$89,3,0)*0.475*44/12</f>
        <v>2.8330476684072896</v>
      </c>
      <c r="AB150" s="21">
        <f>EXP(-LN(2)/2)*AB149+(1-EXP(-LN(2)/2))/(LN(2)/2)*V150*Y150*VLOOKUP('Données projet'!$B$9,Paramètres!$A$1:$I$89,3,0)*0.475*44/12</f>
        <v>1.6473039356706171E-14</v>
      </c>
      <c r="AC150" s="22">
        <f t="shared" si="111"/>
        <v>16.506196224796085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-2.8421709430404007E-13</v>
      </c>
      <c r="AJ150" s="13">
        <f>AI150*VLOOKUP('Données projet'!$B$10,Paramètres!$A$1:$I$89,3,0)*VLOOKUP('Données projet'!$B$10,Paramètres!$A$1:$I$89,5,0)</f>
        <v>-1.69961822393816E-13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195.14508560011791</v>
      </c>
      <c r="AO150" s="59">
        <f t="shared" si="144"/>
        <v>285.1531413455931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13.673148556388778</v>
      </c>
      <c r="AV150" s="21">
        <f>EXP(-LN(2)/25)*AV149+(1-EXP(-LN(2)/25))/(LN(2)/25)*Calculateur!AQ150*Calculateur!AS150*VLOOKUP('Données projet'!$B$10,Paramètres!$A$1:$I$89,3,0)*0.475*44/12</f>
        <v>2.8330476684072896</v>
      </c>
      <c r="AW150" s="21">
        <f>EXP(-LN(2)/2)*AW149+(1-EXP(-LN(2)/2))/(LN(2)/2)*AQ150*AT150*VLOOKUP('Données projet'!$B$10,Paramètres!$A$1:$I$89,3,0)*0.475*44/12</f>
        <v>1.6473039356706171E-14</v>
      </c>
      <c r="AX150" s="21">
        <f t="shared" si="114"/>
        <v>16.506196224796085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2.8421709430404007E-14</v>
      </c>
      <c r="BE150" s="13">
        <f>BD150*VLOOKUP('Données projet'!$B$11,Paramètres!$A$1:$I$89,3,0)*VLOOKUP('Données projet'!$B$11,Paramètres!$A$1:$I$89,5,0)</f>
        <v>2.3942448024172337E-14</v>
      </c>
      <c r="BF150" s="13">
        <f t="shared" si="145"/>
        <v>4.2480087102361523E-13</v>
      </c>
      <c r="BG150" s="20">
        <f t="shared" si="115"/>
        <v>7.8156128067489661E-13</v>
      </c>
      <c r="BH150" s="59">
        <f t="shared" si="116"/>
        <v>293.33333333333411</v>
      </c>
      <c r="BI150" s="59">
        <f ca="1">AVERAGE(OFFSET($BH$3,0,0,'Données projet'!$E$11+1,1))-AVERAGE(OFFSET($H$3,0,0,'Données projet'!$E$11+1,1))</f>
        <v>179.55753939285887</v>
      </c>
      <c r="BJ150" s="59">
        <f t="shared" si="146"/>
        <v>147.29214162149162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99.401133862015811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99.401133862015811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-2.8421709430404007E-13</v>
      </c>
      <c r="O151" s="13">
        <f>N151*VLOOKUP('Données projet'!$B$9,Paramètres!$A$1:$I$89,3,0)*VLOOKUP('Données projet'!$B$9,Paramètres!$A$1:$I$89,5,0)</f>
        <v>-1.69961822393816E-13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195.14508560011791</v>
      </c>
      <c r="T151" s="59">
        <f t="shared" si="142"/>
        <v>285.1531413455931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13.405026452995127</v>
      </c>
      <c r="AA151" s="21">
        <f>EXP(-LN(2)/25)*AA150+(1-EXP(-LN(2)/25))/(LN(2)/25)*Calculateur!V151*Calculateur!X151*VLOOKUP('Données projet'!$B$9,Paramètres!$A$1:$I$89,3,0)*0.475*44/12</f>
        <v>2.7555778309311902</v>
      </c>
      <c r="AB151" s="21">
        <f>EXP(-LN(2)/2)*AB150+(1-EXP(-LN(2)/2))/(LN(2)/2)*V151*Y151*VLOOKUP('Données projet'!$B$9,Paramètres!$A$1:$I$89,3,0)*0.475*44/12</f>
        <v>1.1648197835879816E-14</v>
      </c>
      <c r="AC151" s="22">
        <f t="shared" si="111"/>
        <v>16.160604283926329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-2.8421709430404007E-13</v>
      </c>
      <c r="AJ151" s="13">
        <f>AI151*VLOOKUP('Données projet'!$B$10,Paramètres!$A$1:$I$89,3,0)*VLOOKUP('Données projet'!$B$10,Paramètres!$A$1:$I$89,5,0)</f>
        <v>-1.69961822393816E-13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195.14508560011791</v>
      </c>
      <c r="AO151" s="59">
        <f t="shared" si="144"/>
        <v>285.1531413455931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13.405026452995127</v>
      </c>
      <c r="AV151" s="21">
        <f>EXP(-LN(2)/25)*AV150+(1-EXP(-LN(2)/25))/(LN(2)/25)*Calculateur!AQ151*Calculateur!AS151*VLOOKUP('Données projet'!$B$10,Paramètres!$A$1:$I$89,3,0)*0.475*44/12</f>
        <v>2.7555778309311902</v>
      </c>
      <c r="AW151" s="21">
        <f>EXP(-LN(2)/2)*AW150+(1-EXP(-LN(2)/2))/(LN(2)/2)*AQ151*AT151*VLOOKUP('Données projet'!$B$10,Paramètres!$A$1:$I$89,3,0)*0.475*44/12</f>
        <v>1.1648197835879816E-14</v>
      </c>
      <c r="AX151" s="21">
        <f t="shared" si="114"/>
        <v>16.160604283926329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2.8421709430404007E-14</v>
      </c>
      <c r="BE151" s="13">
        <f>BD151*VLOOKUP('Données projet'!$B$11,Paramètres!$A$1:$I$89,3,0)*VLOOKUP('Données projet'!$B$11,Paramètres!$A$1:$I$89,5,0)</f>
        <v>2.3942448024172337E-14</v>
      </c>
      <c r="BF151" s="13">
        <f t="shared" si="145"/>
        <v>4.2480087102361523E-13</v>
      </c>
      <c r="BG151" s="20">
        <f t="shared" si="115"/>
        <v>7.8156128067489661E-13</v>
      </c>
      <c r="BH151" s="59">
        <f t="shared" si="116"/>
        <v>293.33333333333411</v>
      </c>
      <c r="BI151" s="59">
        <f ca="1">AVERAGE(OFFSET($BH$3,0,0,'Données projet'!$E$11+1,1))-AVERAGE(OFFSET($H$3,0,0,'Données projet'!$E$11+1,1))</f>
        <v>179.55753939285887</v>
      </c>
      <c r="BJ151" s="59">
        <f t="shared" si="146"/>
        <v>147.29214162149162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97.451938255686755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97.451938255686755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-2.8421709430404007E-13</v>
      </c>
      <c r="O152" s="13">
        <f>N152*VLOOKUP('Données projet'!$B$9,Paramètres!$A$1:$I$89,3,0)*VLOOKUP('Données projet'!$B$9,Paramètres!$A$1:$I$89,5,0)</f>
        <v>-1.69961822393816E-13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195.14508560011791</v>
      </c>
      <c r="T152" s="59">
        <f t="shared" si="142"/>
        <v>285.1531413455931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13.142162060510691</v>
      </c>
      <c r="AA152" s="21">
        <f>EXP(-LN(2)/25)*AA151+(1-EXP(-LN(2)/25))/(LN(2)/25)*Calculateur!V152*Calculateur!X152*VLOOKUP('Données projet'!$B$9,Paramètres!$A$1:$I$89,3,0)*0.475*44/12</f>
        <v>2.6802264102348365</v>
      </c>
      <c r="AB152" s="21">
        <f>EXP(-LN(2)/2)*AB151+(1-EXP(-LN(2)/2))/(LN(2)/2)*V152*Y152*VLOOKUP('Données projet'!$B$9,Paramètres!$A$1:$I$89,3,0)*0.475*44/12</f>
        <v>8.2365196783530857E-15</v>
      </c>
      <c r="AC152" s="22">
        <f t="shared" si="111"/>
        <v>15.822388470745535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-2.8421709430404007E-13</v>
      </c>
      <c r="AJ152" s="13">
        <f>AI152*VLOOKUP('Données projet'!$B$10,Paramètres!$A$1:$I$89,3,0)*VLOOKUP('Données projet'!$B$10,Paramètres!$A$1:$I$89,5,0)</f>
        <v>-1.69961822393816E-13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195.14508560011791</v>
      </c>
      <c r="AO152" s="59">
        <f t="shared" si="144"/>
        <v>285.1531413455931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13.142162060510691</v>
      </c>
      <c r="AV152" s="21">
        <f>EXP(-LN(2)/25)*AV151+(1-EXP(-LN(2)/25))/(LN(2)/25)*Calculateur!AQ152*Calculateur!AS152*VLOOKUP('Données projet'!$B$10,Paramètres!$A$1:$I$89,3,0)*0.475*44/12</f>
        <v>2.6802264102348365</v>
      </c>
      <c r="AW152" s="21">
        <f>EXP(-LN(2)/2)*AW151+(1-EXP(-LN(2)/2))/(LN(2)/2)*AQ152*AT152*VLOOKUP('Données projet'!$B$10,Paramètres!$A$1:$I$89,3,0)*0.475*44/12</f>
        <v>8.2365196783530857E-15</v>
      </c>
      <c r="AX152" s="21">
        <f t="shared" si="114"/>
        <v>15.822388470745535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2.8421709430404007E-14</v>
      </c>
      <c r="BE152" s="13">
        <f>BD152*VLOOKUP('Données projet'!$B$11,Paramètres!$A$1:$I$89,3,0)*VLOOKUP('Données projet'!$B$11,Paramètres!$A$1:$I$89,5,0)</f>
        <v>2.3942448024172337E-14</v>
      </c>
      <c r="BF152" s="13">
        <f t="shared" si="145"/>
        <v>4.2480087102361523E-13</v>
      </c>
      <c r="BG152" s="20">
        <f t="shared" si="115"/>
        <v>7.8156128067489661E-13</v>
      </c>
      <c r="BH152" s="59">
        <f t="shared" si="116"/>
        <v>293.33333333333411</v>
      </c>
      <c r="BI152" s="59">
        <f ca="1">AVERAGE(OFFSET($BH$3,0,0,'Données projet'!$E$11+1,1))-AVERAGE(OFFSET($H$3,0,0,'Données projet'!$E$11+1,1))</f>
        <v>179.55753939285887</v>
      </c>
      <c r="BJ152" s="59">
        <f t="shared" si="146"/>
        <v>147.29214162149162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95.540965186305883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95.540965186305883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-2.8421709430404007E-13</v>
      </c>
      <c r="O153" s="13">
        <f>N153*VLOOKUP('Données projet'!$B$9,Paramètres!$A$1:$I$89,3,0)*VLOOKUP('Données projet'!$B$9,Paramètres!$A$1:$I$89,5,0)</f>
        <v>-1.69961822393816E-13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195.14508560011791</v>
      </c>
      <c r="T153" s="59">
        <f t="shared" si="142"/>
        <v>285.1531413455931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12.884452278431425</v>
      </c>
      <c r="AA153" s="21">
        <f>EXP(-LN(2)/25)*AA152+(1-EXP(-LN(2)/25))/(LN(2)/25)*Calculateur!V153*Calculateur!X153*VLOOKUP('Données projet'!$B$9,Paramètres!$A$1:$I$89,3,0)*0.475*44/12</f>
        <v>2.6069354780999836</v>
      </c>
      <c r="AB153" s="21">
        <f>EXP(-LN(2)/2)*AB152+(1-EXP(-LN(2)/2))/(LN(2)/2)*V153*Y153*VLOOKUP('Données projet'!$B$9,Paramètres!$A$1:$I$89,3,0)*0.475*44/12</f>
        <v>5.8240989179399082E-15</v>
      </c>
      <c r="AC153" s="22">
        <f t="shared" si="111"/>
        <v>15.491387756531415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-2.8421709430404007E-13</v>
      </c>
      <c r="AJ153" s="13">
        <f>AI153*VLOOKUP('Données projet'!$B$10,Paramètres!$A$1:$I$89,3,0)*VLOOKUP('Données projet'!$B$10,Paramètres!$A$1:$I$89,5,0)</f>
        <v>-1.69961822393816E-13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195.14508560011791</v>
      </c>
      <c r="AO153" s="59">
        <f t="shared" si="144"/>
        <v>285.1531413455931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12.884452278431425</v>
      </c>
      <c r="AV153" s="21">
        <f>EXP(-LN(2)/25)*AV152+(1-EXP(-LN(2)/25))/(LN(2)/25)*Calculateur!AQ153*Calculateur!AS153*VLOOKUP('Données projet'!$B$10,Paramètres!$A$1:$I$89,3,0)*0.475*44/12</f>
        <v>2.6069354780999836</v>
      </c>
      <c r="AW153" s="21">
        <f>EXP(-LN(2)/2)*AW152+(1-EXP(-LN(2)/2))/(LN(2)/2)*AQ153*AT153*VLOOKUP('Données projet'!$B$10,Paramètres!$A$1:$I$89,3,0)*0.475*44/12</f>
        <v>5.8240989179399082E-15</v>
      </c>
      <c r="AX153" s="21">
        <f t="shared" si="114"/>
        <v>15.491387756531415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2.8421709430404007E-14</v>
      </c>
      <c r="BE153" s="13">
        <f>BD153*VLOOKUP('Données projet'!$B$11,Paramètres!$A$1:$I$89,3,0)*VLOOKUP('Données projet'!$B$11,Paramètres!$A$1:$I$89,5,0)</f>
        <v>2.3942448024172337E-14</v>
      </c>
      <c r="BF153" s="13">
        <f t="shared" si="145"/>
        <v>4.2480087102361523E-13</v>
      </c>
      <c r="BG153" s="20">
        <f t="shared" si="115"/>
        <v>7.8156128067489661E-13</v>
      </c>
      <c r="BH153" s="59">
        <f t="shared" si="116"/>
        <v>293.33333333333411</v>
      </c>
      <c r="BI153" s="59">
        <f ca="1">AVERAGE(OFFSET($BH$3,0,0,'Données projet'!$E$11+1,1))-AVERAGE(OFFSET($H$3,0,0,'Données projet'!$E$11+1,1))</f>
        <v>179.55753939285887</v>
      </c>
      <c r="BJ153" s="59">
        <f t="shared" si="146"/>
        <v>147.29214162149162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93.667465133237087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93.667465133237087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-2.8421709430404007E-13</v>
      </c>
      <c r="O154" s="13">
        <f>N154*VLOOKUP('Données projet'!$B$9,Paramètres!$A$1:$I$89,3,0)*VLOOKUP('Données projet'!$B$9,Paramètres!$A$1:$I$89,5,0)</f>
        <v>-1.69961822393816E-13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195.14508560011791</v>
      </c>
      <c r="T154" s="59">
        <f t="shared" si="142"/>
        <v>285.1531413455931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12.631796027991289</v>
      </c>
      <c r="AA154" s="21">
        <f>EXP(-LN(2)/25)*AA153+(1-EXP(-LN(2)/25))/(LN(2)/25)*Calculateur!V154*Calculateur!X154*VLOOKUP('Données projet'!$B$9,Paramètres!$A$1:$I$89,3,0)*0.475*44/12</f>
        <v>2.5356486903585611</v>
      </c>
      <c r="AB154" s="21">
        <f>EXP(-LN(2)/2)*AB153+(1-EXP(-LN(2)/2))/(LN(2)/2)*V154*Y154*VLOOKUP('Données projet'!$B$9,Paramètres!$A$1:$I$89,3,0)*0.475*44/12</f>
        <v>4.1182598391765428E-15</v>
      </c>
      <c r="AC154" s="22">
        <f t="shared" ref="AC154:AC203" si="163">SUM(Z154:AB154)</f>
        <v>15.167444718349854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-2.8421709430404007E-13</v>
      </c>
      <c r="AJ154" s="13">
        <f>AI154*VLOOKUP('Données projet'!$B$10,Paramètres!$A$1:$I$89,3,0)*VLOOKUP('Données projet'!$B$10,Paramètres!$A$1:$I$89,5,0)</f>
        <v>-1.69961822393816E-13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195.14508560011791</v>
      </c>
      <c r="AO154" s="59">
        <f t="shared" si="144"/>
        <v>285.1531413455931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12.631796027991289</v>
      </c>
      <c r="AV154" s="21">
        <f>EXP(-LN(2)/25)*AV153+(1-EXP(-LN(2)/25))/(LN(2)/25)*Calculateur!AQ154*Calculateur!AS154*VLOOKUP('Données projet'!$B$10,Paramètres!$A$1:$I$89,3,0)*0.475*44/12</f>
        <v>2.5356486903585611</v>
      </c>
      <c r="AW154" s="21">
        <f>EXP(-LN(2)/2)*AW153+(1-EXP(-LN(2)/2))/(LN(2)/2)*AQ154*AT154*VLOOKUP('Données projet'!$B$10,Paramètres!$A$1:$I$89,3,0)*0.475*44/12</f>
        <v>4.1182598391765428E-15</v>
      </c>
      <c r="AX154" s="21">
        <f t="shared" ref="AX154:AX203" si="166">SUM(AU154:AW154)</f>
        <v>15.167444718349854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2.8421709430404007E-14</v>
      </c>
      <c r="BE154" s="13">
        <f>BD154*VLOOKUP('Données projet'!$B$11,Paramètres!$A$1:$I$89,3,0)*VLOOKUP('Données projet'!$B$11,Paramètres!$A$1:$I$89,5,0)</f>
        <v>2.3942448024172337E-14</v>
      </c>
      <c r="BF154" s="13">
        <f t="shared" ref="BF154:BF203" si="167">EXP(-1.0587+0.8836*LN(BE154)+0.284)</f>
        <v>4.2480087102361523E-13</v>
      </c>
      <c r="BG154" s="20">
        <f t="shared" ref="BG154:BG203" si="168">(BE154+BF154)*0.475*44/12</f>
        <v>7.8156128067489661E-13</v>
      </c>
      <c r="BH154" s="59">
        <f t="shared" si="116"/>
        <v>293.33333333333411</v>
      </c>
      <c r="BI154" s="59">
        <f ca="1">AVERAGE(OFFSET($BH$3,0,0,'Données projet'!$E$11+1,1))-AVERAGE(OFFSET($H$3,0,0,'Données projet'!$E$11+1,1))</f>
        <v>179.55753939285887</v>
      </c>
      <c r="BJ154" s="59">
        <f t="shared" si="146"/>
        <v>147.29214162149162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91.830703273486776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91.830703273486776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-2.8421709430404007E-13</v>
      </c>
      <c r="O155" s="13">
        <f>N155*VLOOKUP('Données projet'!$B$9,Paramètres!$A$1:$I$89,3,0)*VLOOKUP('Données projet'!$B$9,Paramètres!$A$1:$I$89,5,0)</f>
        <v>-1.69961822393816E-13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195.14508560011791</v>
      </c>
      <c r="T155" s="59">
        <f t="shared" si="142"/>
        <v>285.1531413455931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12.384094212517187</v>
      </c>
      <c r="AA155" s="21">
        <f>EXP(-LN(2)/25)*AA154+(1-EXP(-LN(2)/25))/(LN(2)/25)*Calculateur!V155*Calculateur!X155*VLOOKUP('Données projet'!$B$9,Paramètres!$A$1:$I$89,3,0)*0.475*44/12</f>
        <v>2.4663112435767371</v>
      </c>
      <c r="AB155" s="21">
        <f>EXP(-LN(2)/2)*AB154+(1-EXP(-LN(2)/2))/(LN(2)/2)*V155*Y155*VLOOKUP('Données projet'!$B$9,Paramètres!$A$1:$I$89,3,0)*0.475*44/12</f>
        <v>2.9120494589699541E-15</v>
      </c>
      <c r="AC155" s="22">
        <f t="shared" si="163"/>
        <v>14.850405456093927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-2.8421709430404007E-13</v>
      </c>
      <c r="AJ155" s="13">
        <f>AI155*VLOOKUP('Données projet'!$B$10,Paramètres!$A$1:$I$89,3,0)*VLOOKUP('Données projet'!$B$10,Paramètres!$A$1:$I$89,5,0)</f>
        <v>-1.69961822393816E-13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195.14508560011791</v>
      </c>
      <c r="AO155" s="59">
        <f t="shared" si="144"/>
        <v>285.1531413455931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12.384094212517187</v>
      </c>
      <c r="AV155" s="21">
        <f>EXP(-LN(2)/25)*AV154+(1-EXP(-LN(2)/25))/(LN(2)/25)*Calculateur!AQ155*Calculateur!AS155*VLOOKUP('Données projet'!$B$10,Paramètres!$A$1:$I$89,3,0)*0.475*44/12</f>
        <v>2.4663112435767371</v>
      </c>
      <c r="AW155" s="21">
        <f>EXP(-LN(2)/2)*AW154+(1-EXP(-LN(2)/2))/(LN(2)/2)*AQ155*AT155*VLOOKUP('Données projet'!$B$10,Paramètres!$A$1:$I$89,3,0)*0.475*44/12</f>
        <v>2.9120494589699541E-15</v>
      </c>
      <c r="AX155" s="21">
        <f t="shared" si="166"/>
        <v>14.850405456093927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2.8421709430404007E-14</v>
      </c>
      <c r="BE155" s="13">
        <f>BD155*VLOOKUP('Données projet'!$B$11,Paramètres!$A$1:$I$89,3,0)*VLOOKUP('Données projet'!$B$11,Paramètres!$A$1:$I$89,5,0)</f>
        <v>2.3942448024172337E-14</v>
      </c>
      <c r="BF155" s="13">
        <f t="shared" si="167"/>
        <v>4.2480087102361523E-13</v>
      </c>
      <c r="BG155" s="20">
        <f t="shared" si="168"/>
        <v>7.8156128067489661E-13</v>
      </c>
      <c r="BH155" s="59">
        <f t="shared" si="116"/>
        <v>293.33333333333411</v>
      </c>
      <c r="BI155" s="59">
        <f ca="1">AVERAGE(OFFSET($BH$3,0,0,'Données projet'!$E$11+1,1))-AVERAGE(OFFSET($H$3,0,0,'Données projet'!$E$11+1,1))</f>
        <v>179.55753939285887</v>
      </c>
      <c r="BJ155" s="59">
        <f t="shared" si="146"/>
        <v>147.29214162149162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90.029959193492047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90.029959193492047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-2.8421709430404007E-13</v>
      </c>
      <c r="O156" s="13">
        <f>N156*VLOOKUP('Données projet'!$B$9,Paramètres!$A$1:$I$89,3,0)*VLOOKUP('Données projet'!$B$9,Paramètres!$A$1:$I$89,5,0)</f>
        <v>-1.69961822393816E-13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195.14508560011791</v>
      </c>
      <c r="T156" s="59">
        <f t="shared" si="142"/>
        <v>285.1531413455931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12.141249678561344</v>
      </c>
      <c r="AA156" s="21">
        <f>EXP(-LN(2)/25)*AA155+(1-EXP(-LN(2)/25))/(LN(2)/25)*Calculateur!V156*Calculateur!X156*VLOOKUP('Données projet'!$B$9,Paramètres!$A$1:$I$89,3,0)*0.475*44/12</f>
        <v>2.3988698329234599</v>
      </c>
      <c r="AB156" s="21">
        <f>EXP(-LN(2)/2)*AB155+(1-EXP(-LN(2)/2))/(LN(2)/2)*V156*Y156*VLOOKUP('Données projet'!$B$9,Paramètres!$A$1:$I$89,3,0)*0.475*44/12</f>
        <v>2.0591299195882714E-15</v>
      </c>
      <c r="AC156" s="22">
        <f t="shared" si="163"/>
        <v>14.540119511484805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-2.8421709430404007E-13</v>
      </c>
      <c r="AJ156" s="13">
        <f>AI156*VLOOKUP('Données projet'!$B$10,Paramètres!$A$1:$I$89,3,0)*VLOOKUP('Données projet'!$B$10,Paramètres!$A$1:$I$89,5,0)</f>
        <v>-1.69961822393816E-13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195.14508560011791</v>
      </c>
      <c r="AO156" s="59">
        <f t="shared" si="144"/>
        <v>285.1531413455931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12.141249678561344</v>
      </c>
      <c r="AV156" s="21">
        <f>EXP(-LN(2)/25)*AV155+(1-EXP(-LN(2)/25))/(LN(2)/25)*Calculateur!AQ156*Calculateur!AS156*VLOOKUP('Données projet'!$B$10,Paramètres!$A$1:$I$89,3,0)*0.475*44/12</f>
        <v>2.3988698329234599</v>
      </c>
      <c r="AW156" s="21">
        <f>EXP(-LN(2)/2)*AW155+(1-EXP(-LN(2)/2))/(LN(2)/2)*AQ156*AT156*VLOOKUP('Données projet'!$B$10,Paramètres!$A$1:$I$89,3,0)*0.475*44/12</f>
        <v>2.0591299195882714E-15</v>
      </c>
      <c r="AX156" s="21">
        <f t="shared" si="166"/>
        <v>14.540119511484805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2.8421709430404007E-14</v>
      </c>
      <c r="BE156" s="13">
        <f>BD156*VLOOKUP('Données projet'!$B$11,Paramètres!$A$1:$I$89,3,0)*VLOOKUP('Données projet'!$B$11,Paramètres!$A$1:$I$89,5,0)</f>
        <v>2.3942448024172337E-14</v>
      </c>
      <c r="BF156" s="13">
        <f t="shared" si="167"/>
        <v>4.2480087102361523E-13</v>
      </c>
      <c r="BG156" s="20">
        <f t="shared" si="168"/>
        <v>7.8156128067489661E-13</v>
      </c>
      <c r="BH156" s="59">
        <f t="shared" si="116"/>
        <v>293.33333333333411</v>
      </c>
      <c r="BI156" s="59">
        <f ca="1">AVERAGE(OFFSET($BH$3,0,0,'Données projet'!$E$11+1,1))-AVERAGE(OFFSET($H$3,0,0,'Données projet'!$E$11+1,1))</f>
        <v>179.55753939285887</v>
      </c>
      <c r="BJ156" s="59">
        <f t="shared" si="146"/>
        <v>147.29214162149162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88.26452660656058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88.26452660656058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-2.8421709430404007E-13</v>
      </c>
      <c r="O157" s="13">
        <f>N157*VLOOKUP('Données projet'!$B$9,Paramètres!$A$1:$I$89,3,0)*VLOOKUP('Données projet'!$B$9,Paramètres!$A$1:$I$89,5,0)</f>
        <v>-1.69961822393816E-13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195.14508560011791</v>
      </c>
      <c r="T157" s="59">
        <f t="shared" si="142"/>
        <v>285.1531413455931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11.903167177795835</v>
      </c>
      <c r="AA157" s="21">
        <f>EXP(-LN(2)/25)*AA156+(1-EXP(-LN(2)/25))/(LN(2)/25)*Calculateur!V157*Calculateur!X157*VLOOKUP('Données projet'!$B$9,Paramètres!$A$1:$I$89,3,0)*0.475*44/12</f>
        <v>2.3332726111910862</v>
      </c>
      <c r="AB157" s="21">
        <f>EXP(-LN(2)/2)*AB156+(1-EXP(-LN(2)/2))/(LN(2)/2)*V157*Y157*VLOOKUP('Données projet'!$B$9,Paramètres!$A$1:$I$89,3,0)*0.475*44/12</f>
        <v>1.456024729484977E-15</v>
      </c>
      <c r="AC157" s="22">
        <f t="shared" si="163"/>
        <v>14.236439788986923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-2.8421709430404007E-13</v>
      </c>
      <c r="AJ157" s="13">
        <f>AI157*VLOOKUP('Données projet'!$B$10,Paramètres!$A$1:$I$89,3,0)*VLOOKUP('Données projet'!$B$10,Paramètres!$A$1:$I$89,5,0)</f>
        <v>-1.69961822393816E-13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195.14508560011791</v>
      </c>
      <c r="AO157" s="59">
        <f t="shared" si="144"/>
        <v>285.1531413455931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11.903167177795835</v>
      </c>
      <c r="AV157" s="21">
        <f>EXP(-LN(2)/25)*AV156+(1-EXP(-LN(2)/25))/(LN(2)/25)*Calculateur!AQ157*Calculateur!AS157*VLOOKUP('Données projet'!$B$10,Paramètres!$A$1:$I$89,3,0)*0.475*44/12</f>
        <v>2.3332726111910862</v>
      </c>
      <c r="AW157" s="21">
        <f>EXP(-LN(2)/2)*AW156+(1-EXP(-LN(2)/2))/(LN(2)/2)*AQ157*AT157*VLOOKUP('Données projet'!$B$10,Paramètres!$A$1:$I$89,3,0)*0.475*44/12</f>
        <v>1.456024729484977E-15</v>
      </c>
      <c r="AX157" s="21">
        <f t="shared" si="166"/>
        <v>14.236439788986923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2.8421709430404007E-14</v>
      </c>
      <c r="BE157" s="13">
        <f>BD157*VLOOKUP('Données projet'!$B$11,Paramètres!$A$1:$I$89,3,0)*VLOOKUP('Données projet'!$B$11,Paramètres!$A$1:$I$89,5,0)</f>
        <v>2.3942448024172337E-14</v>
      </c>
      <c r="BF157" s="13">
        <f t="shared" si="167"/>
        <v>4.2480087102361523E-13</v>
      </c>
      <c r="BG157" s="20">
        <f t="shared" si="168"/>
        <v>7.8156128067489661E-13</v>
      </c>
      <c r="BH157" s="59">
        <f t="shared" si="116"/>
        <v>293.33333333333411</v>
      </c>
      <c r="BI157" s="59">
        <f ca="1">AVERAGE(OFFSET($BH$3,0,0,'Données projet'!$E$11+1,1))-AVERAGE(OFFSET($H$3,0,0,'Données projet'!$E$11+1,1))</f>
        <v>179.55753939285887</v>
      </c>
      <c r="BJ157" s="59">
        <f t="shared" si="146"/>
        <v>147.29214162149162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86.533713075851296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86.533713075851296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-2.8421709430404007E-13</v>
      </c>
      <c r="O158" s="13">
        <f>N158*VLOOKUP('Données projet'!$B$9,Paramètres!$A$1:$I$89,3,0)*VLOOKUP('Données projet'!$B$9,Paramètres!$A$1:$I$89,5,0)</f>
        <v>-1.69961822393816E-13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195.14508560011791</v>
      </c>
      <c r="T158" s="59">
        <f t="shared" si="142"/>
        <v>285.1531413455931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11.66975332965435</v>
      </c>
      <c r="AA158" s="21">
        <f>EXP(-LN(2)/25)*AA157+(1-EXP(-LN(2)/25))/(LN(2)/25)*Calculateur!V158*Calculateur!X158*VLOOKUP('Données projet'!$B$9,Paramètres!$A$1:$I$89,3,0)*0.475*44/12</f>
        <v>2.2694691489365919</v>
      </c>
      <c r="AB158" s="21">
        <f>EXP(-LN(2)/2)*AB157+(1-EXP(-LN(2)/2))/(LN(2)/2)*V158*Y158*VLOOKUP('Données projet'!$B$9,Paramètres!$A$1:$I$89,3,0)*0.475*44/12</f>
        <v>1.0295649597941357E-15</v>
      </c>
      <c r="AC158" s="22">
        <f t="shared" si="163"/>
        <v>13.939222478590944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-2.8421709430404007E-13</v>
      </c>
      <c r="AJ158" s="13">
        <f>AI158*VLOOKUP('Données projet'!$B$10,Paramètres!$A$1:$I$89,3,0)*VLOOKUP('Données projet'!$B$10,Paramètres!$A$1:$I$89,5,0)</f>
        <v>-1.69961822393816E-13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195.14508560011791</v>
      </c>
      <c r="AO158" s="59">
        <f t="shared" si="144"/>
        <v>285.1531413455931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11.66975332965435</v>
      </c>
      <c r="AV158" s="21">
        <f>EXP(-LN(2)/25)*AV157+(1-EXP(-LN(2)/25))/(LN(2)/25)*Calculateur!AQ158*Calculateur!AS158*VLOOKUP('Données projet'!$B$10,Paramètres!$A$1:$I$89,3,0)*0.475*44/12</f>
        <v>2.2694691489365919</v>
      </c>
      <c r="AW158" s="21">
        <f>EXP(-LN(2)/2)*AW157+(1-EXP(-LN(2)/2))/(LN(2)/2)*AQ158*AT158*VLOOKUP('Données projet'!$B$10,Paramètres!$A$1:$I$89,3,0)*0.475*44/12</f>
        <v>1.0295649597941357E-15</v>
      </c>
      <c r="AX158" s="21">
        <f t="shared" si="166"/>
        <v>13.939222478590944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2.8421709430404007E-14</v>
      </c>
      <c r="BE158" s="13">
        <f>BD158*VLOOKUP('Données projet'!$B$11,Paramètres!$A$1:$I$89,3,0)*VLOOKUP('Données projet'!$B$11,Paramètres!$A$1:$I$89,5,0)</f>
        <v>2.3942448024172337E-14</v>
      </c>
      <c r="BF158" s="13">
        <f t="shared" si="167"/>
        <v>4.2480087102361523E-13</v>
      </c>
      <c r="BG158" s="20">
        <f t="shared" si="168"/>
        <v>7.8156128067489661E-13</v>
      </c>
      <c r="BH158" s="59">
        <f t="shared" si="116"/>
        <v>293.33333333333411</v>
      </c>
      <c r="BI158" s="59">
        <f ca="1">AVERAGE(OFFSET($BH$3,0,0,'Données projet'!$E$11+1,1))-AVERAGE(OFFSET($H$3,0,0,'Données projet'!$E$11+1,1))</f>
        <v>179.55753939285887</v>
      </c>
      <c r="BJ158" s="59">
        <f t="shared" si="146"/>
        <v>147.29214162149162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84.836839742787205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84.836839742787205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-2.8421709430404007E-13</v>
      </c>
      <c r="O159" s="13">
        <f>N159*VLOOKUP('Données projet'!$B$9,Paramètres!$A$1:$I$89,3,0)*VLOOKUP('Données projet'!$B$9,Paramètres!$A$1:$I$89,5,0)</f>
        <v>-1.69961822393816E-13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195.14508560011791</v>
      </c>
      <c r="T159" s="59">
        <f t="shared" si="142"/>
        <v>285.1531413455931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11.44091658470653</v>
      </c>
      <c r="AA159" s="21">
        <f>EXP(-LN(2)/25)*AA158+(1-EXP(-LN(2)/25))/(LN(2)/25)*Calculateur!V159*Calculateur!X159*VLOOKUP('Données projet'!$B$9,Paramètres!$A$1:$I$89,3,0)*0.475*44/12</f>
        <v>2.2074103957127251</v>
      </c>
      <c r="AB159" s="21">
        <f>EXP(-LN(2)/2)*AB158+(1-EXP(-LN(2)/2))/(LN(2)/2)*V159*Y159*VLOOKUP('Données projet'!$B$9,Paramètres!$A$1:$I$89,3,0)*0.475*44/12</f>
        <v>7.2801236474248852E-16</v>
      </c>
      <c r="AC159" s="22">
        <f t="shared" si="163"/>
        <v>13.648326980419256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-2.8421709430404007E-13</v>
      </c>
      <c r="AJ159" s="13">
        <f>AI159*VLOOKUP('Données projet'!$B$10,Paramètres!$A$1:$I$89,3,0)*VLOOKUP('Données projet'!$B$10,Paramètres!$A$1:$I$89,5,0)</f>
        <v>-1.69961822393816E-13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195.14508560011791</v>
      </c>
      <c r="AO159" s="59">
        <f t="shared" si="144"/>
        <v>285.1531413455931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11.44091658470653</v>
      </c>
      <c r="AV159" s="21">
        <f>EXP(-LN(2)/25)*AV158+(1-EXP(-LN(2)/25))/(LN(2)/25)*Calculateur!AQ159*Calculateur!AS159*VLOOKUP('Données projet'!$B$10,Paramètres!$A$1:$I$89,3,0)*0.475*44/12</f>
        <v>2.2074103957127251</v>
      </c>
      <c r="AW159" s="21">
        <f>EXP(-LN(2)/2)*AW158+(1-EXP(-LN(2)/2))/(LN(2)/2)*AQ159*AT159*VLOOKUP('Données projet'!$B$10,Paramètres!$A$1:$I$89,3,0)*0.475*44/12</f>
        <v>7.2801236474248852E-16</v>
      </c>
      <c r="AX159" s="21">
        <f t="shared" si="166"/>
        <v>13.648326980419256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2.8421709430404007E-14</v>
      </c>
      <c r="BE159" s="13">
        <f>BD159*VLOOKUP('Données projet'!$B$11,Paramètres!$A$1:$I$89,3,0)*VLOOKUP('Données projet'!$B$11,Paramètres!$A$1:$I$89,5,0)</f>
        <v>2.3942448024172337E-14</v>
      </c>
      <c r="BF159" s="13">
        <f t="shared" si="167"/>
        <v>4.2480087102361523E-13</v>
      </c>
      <c r="BG159" s="20">
        <f t="shared" si="168"/>
        <v>7.8156128067489661E-13</v>
      </c>
      <c r="BH159" s="59">
        <f t="shared" si="116"/>
        <v>293.33333333333411</v>
      </c>
      <c r="BI159" s="59">
        <f ca="1">AVERAGE(OFFSET($BH$3,0,0,'Données projet'!$E$11+1,1))-AVERAGE(OFFSET($H$3,0,0,'Données projet'!$E$11+1,1))</f>
        <v>179.55753939285887</v>
      </c>
      <c r="BJ159" s="59">
        <f t="shared" si="146"/>
        <v>147.29214162149162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83.173241060793956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83.173241060793956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-2.8421709430404007E-13</v>
      </c>
      <c r="O160" s="13">
        <f>N160*VLOOKUP('Données projet'!$B$9,Paramètres!$A$1:$I$89,3,0)*VLOOKUP('Données projet'!$B$9,Paramètres!$A$1:$I$89,5,0)</f>
        <v>-1.69961822393816E-13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195.14508560011791</v>
      </c>
      <c r="T160" s="59">
        <f t="shared" si="142"/>
        <v>285.1531413455931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11.216567188750505</v>
      </c>
      <c r="AA160" s="21">
        <f>EXP(-LN(2)/25)*AA159+(1-EXP(-LN(2)/25))/(LN(2)/25)*Calculateur!V160*Calculateur!X160*VLOOKUP('Données projet'!$B$9,Paramètres!$A$1:$I$89,3,0)*0.475*44/12</f>
        <v>2.1470486423592932</v>
      </c>
      <c r="AB160" s="21">
        <f>EXP(-LN(2)/2)*AB159+(1-EXP(-LN(2)/2))/(LN(2)/2)*V160*Y160*VLOOKUP('Données projet'!$B$9,Paramètres!$A$1:$I$89,3,0)*0.475*44/12</f>
        <v>5.1478247989706785E-16</v>
      </c>
      <c r="AC160" s="22">
        <f t="shared" si="163"/>
        <v>13.363615831109797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-2.8421709430404007E-13</v>
      </c>
      <c r="AJ160" s="13">
        <f>AI160*VLOOKUP('Données projet'!$B$10,Paramètres!$A$1:$I$89,3,0)*VLOOKUP('Données projet'!$B$10,Paramètres!$A$1:$I$89,5,0)</f>
        <v>-1.69961822393816E-13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195.14508560011791</v>
      </c>
      <c r="AO160" s="59">
        <f t="shared" si="144"/>
        <v>285.1531413455931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11.216567188750505</v>
      </c>
      <c r="AV160" s="21">
        <f>EXP(-LN(2)/25)*AV159+(1-EXP(-LN(2)/25))/(LN(2)/25)*Calculateur!AQ160*Calculateur!AS160*VLOOKUP('Données projet'!$B$10,Paramètres!$A$1:$I$89,3,0)*0.475*44/12</f>
        <v>2.1470486423592932</v>
      </c>
      <c r="AW160" s="21">
        <f>EXP(-LN(2)/2)*AW159+(1-EXP(-LN(2)/2))/(LN(2)/2)*AQ160*AT160*VLOOKUP('Données projet'!$B$10,Paramètres!$A$1:$I$89,3,0)*0.475*44/12</f>
        <v>5.1478247989706785E-16</v>
      </c>
      <c r="AX160" s="21">
        <f t="shared" si="166"/>
        <v>13.363615831109797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2.8421709430404007E-14</v>
      </c>
      <c r="BE160" s="13">
        <f>BD160*VLOOKUP('Données projet'!$B$11,Paramètres!$A$1:$I$89,3,0)*VLOOKUP('Données projet'!$B$11,Paramètres!$A$1:$I$89,5,0)</f>
        <v>2.3942448024172337E-14</v>
      </c>
      <c r="BF160" s="13">
        <f t="shared" si="167"/>
        <v>4.2480087102361523E-13</v>
      </c>
      <c r="BG160" s="20">
        <f t="shared" si="168"/>
        <v>7.8156128067489661E-13</v>
      </c>
      <c r="BH160" s="59">
        <f t="shared" si="116"/>
        <v>293.33333333333411</v>
      </c>
      <c r="BI160" s="59">
        <f ca="1">AVERAGE(OFFSET($BH$3,0,0,'Données projet'!$E$11+1,1))-AVERAGE(OFFSET($H$3,0,0,'Données projet'!$E$11+1,1))</f>
        <v>179.55753939285887</v>
      </c>
      <c r="BJ160" s="59">
        <f t="shared" si="146"/>
        <v>147.29214162149162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81.542264534259601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81.542264534259601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-2.8421709430404007E-13</v>
      </c>
      <c r="O161" s="13">
        <f>N161*VLOOKUP('Données projet'!$B$9,Paramètres!$A$1:$I$89,3,0)*VLOOKUP('Données projet'!$B$9,Paramètres!$A$1:$I$89,5,0)</f>
        <v>-1.69961822393816E-13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195.14508560011791</v>
      </c>
      <c r="T161" s="59">
        <f t="shared" si="142"/>
        <v>285.1531413455931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10.996617147609557</v>
      </c>
      <c r="AA161" s="21">
        <f>EXP(-LN(2)/25)*AA160+(1-EXP(-LN(2)/25))/(LN(2)/25)*Calculateur!V161*Calculateur!X161*VLOOKUP('Données projet'!$B$9,Paramètres!$A$1:$I$89,3,0)*0.475*44/12</f>
        <v>2.0883374843255975</v>
      </c>
      <c r="AB161" s="21">
        <f>EXP(-LN(2)/2)*AB160+(1-EXP(-LN(2)/2))/(LN(2)/2)*V161*Y161*VLOOKUP('Données projet'!$B$9,Paramètres!$A$1:$I$89,3,0)*0.475*44/12</f>
        <v>3.6400618237124426E-16</v>
      </c>
      <c r="AC161" s="22">
        <f t="shared" si="163"/>
        <v>13.084954631935155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-2.8421709430404007E-13</v>
      </c>
      <c r="AJ161" s="13">
        <f>AI161*VLOOKUP('Données projet'!$B$10,Paramètres!$A$1:$I$89,3,0)*VLOOKUP('Données projet'!$B$10,Paramètres!$A$1:$I$89,5,0)</f>
        <v>-1.69961822393816E-13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195.14508560011791</v>
      </c>
      <c r="AO161" s="59">
        <f t="shared" si="144"/>
        <v>285.1531413455931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10.996617147609557</v>
      </c>
      <c r="AV161" s="21">
        <f>EXP(-LN(2)/25)*AV160+(1-EXP(-LN(2)/25))/(LN(2)/25)*Calculateur!AQ161*Calculateur!AS161*VLOOKUP('Données projet'!$B$10,Paramètres!$A$1:$I$89,3,0)*0.475*44/12</f>
        <v>2.0883374843255975</v>
      </c>
      <c r="AW161" s="21">
        <f>EXP(-LN(2)/2)*AW160+(1-EXP(-LN(2)/2))/(LN(2)/2)*AQ161*AT161*VLOOKUP('Données projet'!$B$10,Paramètres!$A$1:$I$89,3,0)*0.475*44/12</f>
        <v>3.6400618237124426E-16</v>
      </c>
      <c r="AX161" s="21">
        <f t="shared" si="166"/>
        <v>13.084954631935155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2.8421709430404007E-14</v>
      </c>
      <c r="BE161" s="13">
        <f>BD161*VLOOKUP('Données projet'!$B$11,Paramètres!$A$1:$I$89,3,0)*VLOOKUP('Données projet'!$B$11,Paramètres!$A$1:$I$89,5,0)</f>
        <v>2.3942448024172337E-14</v>
      </c>
      <c r="BF161" s="13">
        <f t="shared" si="167"/>
        <v>4.2480087102361523E-13</v>
      </c>
      <c r="BG161" s="20">
        <f t="shared" si="168"/>
        <v>7.8156128067489661E-13</v>
      </c>
      <c r="BH161" s="59">
        <f t="shared" si="116"/>
        <v>293.33333333333411</v>
      </c>
      <c r="BI161" s="59">
        <f ca="1">AVERAGE(OFFSET($BH$3,0,0,'Données projet'!$E$11+1,1))-AVERAGE(OFFSET($H$3,0,0,'Données projet'!$E$11+1,1))</f>
        <v>179.55753939285887</v>
      </c>
      <c r="BJ161" s="59">
        <f t="shared" si="146"/>
        <v>147.29214162149162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79.943270462613128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79.943270462613128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-2.8421709430404007E-13</v>
      </c>
      <c r="O162" s="13">
        <f>N162*VLOOKUP('Données projet'!$B$9,Paramètres!$A$1:$I$89,3,0)*VLOOKUP('Données projet'!$B$9,Paramètres!$A$1:$I$89,5,0)</f>
        <v>-1.69961822393816E-13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195.14508560011791</v>
      </c>
      <c r="T162" s="59">
        <f t="shared" si="142"/>
        <v>285.1531413455931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10.780980192619106</v>
      </c>
      <c r="AA162" s="21">
        <f>EXP(-LN(2)/25)*AA161+(1-EXP(-LN(2)/25))/(LN(2)/25)*Calculateur!V162*Calculateur!X162*VLOOKUP('Données projet'!$B$9,Paramètres!$A$1:$I$89,3,0)*0.475*44/12</f>
        <v>2.0312317859958187</v>
      </c>
      <c r="AB162" s="21">
        <f>EXP(-LN(2)/2)*AB161+(1-EXP(-LN(2)/2))/(LN(2)/2)*V162*Y162*VLOOKUP('Données projet'!$B$9,Paramètres!$A$1:$I$89,3,0)*0.475*44/12</f>
        <v>2.5739123994853393E-16</v>
      </c>
      <c r="AC162" s="22">
        <f t="shared" si="163"/>
        <v>12.812211978614926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-2.8421709430404007E-13</v>
      </c>
      <c r="AJ162" s="13">
        <f>AI162*VLOOKUP('Données projet'!$B$10,Paramètres!$A$1:$I$89,3,0)*VLOOKUP('Données projet'!$B$10,Paramètres!$A$1:$I$89,5,0)</f>
        <v>-1.69961822393816E-13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195.14508560011791</v>
      </c>
      <c r="AO162" s="59">
        <f t="shared" si="144"/>
        <v>285.1531413455931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10.780980192619106</v>
      </c>
      <c r="AV162" s="21">
        <f>EXP(-LN(2)/25)*AV161+(1-EXP(-LN(2)/25))/(LN(2)/25)*Calculateur!AQ162*Calculateur!AS162*VLOOKUP('Données projet'!$B$10,Paramètres!$A$1:$I$89,3,0)*0.475*44/12</f>
        <v>2.0312317859958187</v>
      </c>
      <c r="AW162" s="21">
        <f>EXP(-LN(2)/2)*AW161+(1-EXP(-LN(2)/2))/(LN(2)/2)*AQ162*AT162*VLOOKUP('Données projet'!$B$10,Paramètres!$A$1:$I$89,3,0)*0.475*44/12</f>
        <v>2.5739123994853393E-16</v>
      </c>
      <c r="AX162" s="21">
        <f t="shared" si="166"/>
        <v>12.812211978614926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2.8421709430404007E-14</v>
      </c>
      <c r="BE162" s="13">
        <f>BD162*VLOOKUP('Données projet'!$B$11,Paramètres!$A$1:$I$89,3,0)*VLOOKUP('Données projet'!$B$11,Paramètres!$A$1:$I$89,5,0)</f>
        <v>2.3942448024172337E-14</v>
      </c>
      <c r="BF162" s="13">
        <f t="shared" si="167"/>
        <v>4.2480087102361523E-13</v>
      </c>
      <c r="BG162" s="20">
        <f t="shared" si="168"/>
        <v>7.8156128067489661E-13</v>
      </c>
      <c r="BH162" s="59">
        <f t="shared" si="116"/>
        <v>293.33333333333411</v>
      </c>
      <c r="BI162" s="59">
        <f ca="1">AVERAGE(OFFSET($BH$3,0,0,'Données projet'!$E$11+1,1))-AVERAGE(OFFSET($H$3,0,0,'Données projet'!$E$11+1,1))</f>
        <v>179.55753939285887</v>
      </c>
      <c r="BJ162" s="59">
        <f t="shared" si="146"/>
        <v>147.29214162149162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78.375631689421553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78.375631689421553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-2.8421709430404007E-13</v>
      </c>
      <c r="O163" s="13">
        <f>N163*VLOOKUP('Données projet'!$B$9,Paramètres!$A$1:$I$89,3,0)*VLOOKUP('Données projet'!$B$9,Paramètres!$A$1:$I$89,5,0)</f>
        <v>-1.69961822393816E-13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195.14508560011791</v>
      </c>
      <c r="T163" s="59">
        <f t="shared" si="142"/>
        <v>285.1531413455931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10.569571746790462</v>
      </c>
      <c r="AA163" s="21">
        <f>EXP(-LN(2)/25)*AA162+(1-EXP(-LN(2)/25))/(LN(2)/25)*Calculateur!V163*Calculateur!X163*VLOOKUP('Données projet'!$B$9,Paramètres!$A$1:$I$89,3,0)*0.475*44/12</f>
        <v>1.9756876459899257</v>
      </c>
      <c r="AB163" s="21">
        <f>EXP(-LN(2)/2)*AB162+(1-EXP(-LN(2)/2))/(LN(2)/2)*V163*Y163*VLOOKUP('Données projet'!$B$9,Paramètres!$A$1:$I$89,3,0)*0.475*44/12</f>
        <v>1.8200309118562213E-16</v>
      </c>
      <c r="AC163" s="22">
        <f t="shared" si="163"/>
        <v>12.545259392780387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-2.8421709430404007E-13</v>
      </c>
      <c r="AJ163" s="13">
        <f>AI163*VLOOKUP('Données projet'!$B$10,Paramètres!$A$1:$I$89,3,0)*VLOOKUP('Données projet'!$B$10,Paramètres!$A$1:$I$89,5,0)</f>
        <v>-1.69961822393816E-13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195.14508560011791</v>
      </c>
      <c r="AO163" s="59">
        <f t="shared" si="144"/>
        <v>285.1531413455931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10.569571746790462</v>
      </c>
      <c r="AV163" s="21">
        <f>EXP(-LN(2)/25)*AV162+(1-EXP(-LN(2)/25))/(LN(2)/25)*Calculateur!AQ163*Calculateur!AS163*VLOOKUP('Données projet'!$B$10,Paramètres!$A$1:$I$89,3,0)*0.475*44/12</f>
        <v>1.9756876459899257</v>
      </c>
      <c r="AW163" s="21">
        <f>EXP(-LN(2)/2)*AW162+(1-EXP(-LN(2)/2))/(LN(2)/2)*AQ163*AT163*VLOOKUP('Données projet'!$B$10,Paramètres!$A$1:$I$89,3,0)*0.475*44/12</f>
        <v>1.8200309118562213E-16</v>
      </c>
      <c r="AX163" s="21">
        <f t="shared" si="166"/>
        <v>12.545259392780387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2.8421709430404007E-14</v>
      </c>
      <c r="BE163" s="13">
        <f>BD163*VLOOKUP('Données projet'!$B$11,Paramètres!$A$1:$I$89,3,0)*VLOOKUP('Données projet'!$B$11,Paramètres!$A$1:$I$89,5,0)</f>
        <v>2.3942448024172337E-14</v>
      </c>
      <c r="BF163" s="13">
        <f t="shared" si="167"/>
        <v>4.2480087102361523E-13</v>
      </c>
      <c r="BG163" s="20">
        <f t="shared" si="168"/>
        <v>7.8156128067489661E-13</v>
      </c>
      <c r="BH163" s="59">
        <f t="shared" si="116"/>
        <v>293.33333333333411</v>
      </c>
      <c r="BI163" s="59">
        <f ca="1">AVERAGE(OFFSET($BH$3,0,0,'Données projet'!$E$11+1,1))-AVERAGE(OFFSET($H$3,0,0,'Données projet'!$E$11+1,1))</f>
        <v>179.55753939285887</v>
      </c>
      <c r="BJ163" s="59">
        <f t="shared" si="146"/>
        <v>147.29214162149162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76.838733356407033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76.838733356407033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-2.8421709430404007E-13</v>
      </c>
      <c r="O164" s="13">
        <f>N164*VLOOKUP('Données projet'!$B$9,Paramètres!$A$1:$I$89,3,0)*VLOOKUP('Données projet'!$B$9,Paramètres!$A$1:$I$89,5,0)</f>
        <v>-1.69961822393816E-13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195.14508560011791</v>
      </c>
      <c r="T164" s="59">
        <f t="shared" si="142"/>
        <v>285.1531413455931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10.362308891638097</v>
      </c>
      <c r="AA164" s="21">
        <f>EXP(-LN(2)/25)*AA163+(1-EXP(-LN(2)/25))/(LN(2)/25)*Calculateur!V164*Calculateur!X164*VLOOKUP('Données projet'!$B$9,Paramètres!$A$1:$I$89,3,0)*0.475*44/12</f>
        <v>1.9216623634134333</v>
      </c>
      <c r="AB164" s="21">
        <f>EXP(-LN(2)/2)*AB163+(1-EXP(-LN(2)/2))/(LN(2)/2)*V164*Y164*VLOOKUP('Données projet'!$B$9,Paramètres!$A$1:$I$89,3,0)*0.475*44/12</f>
        <v>1.2869561997426696E-16</v>
      </c>
      <c r="AC164" s="22">
        <f t="shared" si="163"/>
        <v>12.283971255051531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-2.8421709430404007E-13</v>
      </c>
      <c r="AJ164" s="13">
        <f>AI164*VLOOKUP('Données projet'!$B$10,Paramètres!$A$1:$I$89,3,0)*VLOOKUP('Données projet'!$B$10,Paramètres!$A$1:$I$89,5,0)</f>
        <v>-1.69961822393816E-13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195.14508560011791</v>
      </c>
      <c r="AO164" s="59">
        <f t="shared" si="144"/>
        <v>285.1531413455931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10.362308891638097</v>
      </c>
      <c r="AV164" s="21">
        <f>EXP(-LN(2)/25)*AV163+(1-EXP(-LN(2)/25))/(LN(2)/25)*Calculateur!AQ164*Calculateur!AS164*VLOOKUP('Données projet'!$B$10,Paramètres!$A$1:$I$89,3,0)*0.475*44/12</f>
        <v>1.9216623634134333</v>
      </c>
      <c r="AW164" s="21">
        <f>EXP(-LN(2)/2)*AW163+(1-EXP(-LN(2)/2))/(LN(2)/2)*AQ164*AT164*VLOOKUP('Données projet'!$B$10,Paramètres!$A$1:$I$89,3,0)*0.475*44/12</f>
        <v>1.2869561997426696E-16</v>
      </c>
      <c r="AX164" s="21">
        <f t="shared" si="166"/>
        <v>12.283971255051531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2.8421709430404007E-14</v>
      </c>
      <c r="BE164" s="13">
        <f>BD164*VLOOKUP('Données projet'!$B$11,Paramètres!$A$1:$I$89,3,0)*VLOOKUP('Données projet'!$B$11,Paramètres!$A$1:$I$89,5,0)</f>
        <v>2.3942448024172337E-14</v>
      </c>
      <c r="BF164" s="13">
        <f t="shared" si="167"/>
        <v>4.2480087102361523E-13</v>
      </c>
      <c r="BG164" s="20">
        <f t="shared" si="168"/>
        <v>7.8156128067489661E-13</v>
      </c>
      <c r="BH164" s="59">
        <f t="shared" si="116"/>
        <v>293.33333333333411</v>
      </c>
      <c r="BI164" s="59">
        <f ca="1">AVERAGE(OFFSET($BH$3,0,0,'Données projet'!$E$11+1,1))-AVERAGE(OFFSET($H$3,0,0,'Données projet'!$E$11+1,1))</f>
        <v>179.55753939285887</v>
      </c>
      <c r="BJ164" s="59">
        <f t="shared" si="146"/>
        <v>147.29214162149162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75.331972662287512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75.331972662287512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-2.8421709430404007E-13</v>
      </c>
      <c r="O165" s="13">
        <f>N165*VLOOKUP('Données projet'!$B$9,Paramètres!$A$1:$I$89,3,0)*VLOOKUP('Données projet'!$B$9,Paramètres!$A$1:$I$89,5,0)</f>
        <v>-1.69961822393816E-13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195.14508560011791</v>
      </c>
      <c r="T165" s="59">
        <f t="shared" si="142"/>
        <v>285.1531413455931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10.159110334657411</v>
      </c>
      <c r="AA165" s="21">
        <f>EXP(-LN(2)/25)*AA164+(1-EXP(-LN(2)/25))/(LN(2)/25)*Calculateur!V165*Calculateur!X165*VLOOKUP('Données projet'!$B$9,Paramètres!$A$1:$I$89,3,0)*0.475*44/12</f>
        <v>1.8691144050300612</v>
      </c>
      <c r="AB165" s="21">
        <f>EXP(-LN(2)/2)*AB164+(1-EXP(-LN(2)/2))/(LN(2)/2)*V165*Y165*VLOOKUP('Données projet'!$B$9,Paramètres!$A$1:$I$89,3,0)*0.475*44/12</f>
        <v>9.1001545592811066E-17</v>
      </c>
      <c r="AC165" s="22">
        <f t="shared" si="163"/>
        <v>12.028224739687472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-2.8421709430404007E-13</v>
      </c>
      <c r="AJ165" s="13">
        <f>AI165*VLOOKUP('Données projet'!$B$10,Paramètres!$A$1:$I$89,3,0)*VLOOKUP('Données projet'!$B$10,Paramètres!$A$1:$I$89,5,0)</f>
        <v>-1.69961822393816E-13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195.14508560011791</v>
      </c>
      <c r="AO165" s="59">
        <f t="shared" si="144"/>
        <v>285.1531413455931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10.159110334657411</v>
      </c>
      <c r="AV165" s="21">
        <f>EXP(-LN(2)/25)*AV164+(1-EXP(-LN(2)/25))/(LN(2)/25)*Calculateur!AQ165*Calculateur!AS165*VLOOKUP('Données projet'!$B$10,Paramètres!$A$1:$I$89,3,0)*0.475*44/12</f>
        <v>1.8691144050300612</v>
      </c>
      <c r="AW165" s="21">
        <f>EXP(-LN(2)/2)*AW164+(1-EXP(-LN(2)/2))/(LN(2)/2)*AQ165*AT165*VLOOKUP('Données projet'!$B$10,Paramètres!$A$1:$I$89,3,0)*0.475*44/12</f>
        <v>9.1001545592811066E-17</v>
      </c>
      <c r="AX165" s="21">
        <f t="shared" si="166"/>
        <v>12.028224739687472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2.8421709430404007E-14</v>
      </c>
      <c r="BE165" s="13">
        <f>BD165*VLOOKUP('Données projet'!$B$11,Paramètres!$A$1:$I$89,3,0)*VLOOKUP('Données projet'!$B$11,Paramètres!$A$1:$I$89,5,0)</f>
        <v>2.3942448024172337E-14</v>
      </c>
      <c r="BF165" s="13">
        <f t="shared" si="167"/>
        <v>4.2480087102361523E-13</v>
      </c>
      <c r="BG165" s="20">
        <f t="shared" si="168"/>
        <v>7.8156128067489661E-13</v>
      </c>
      <c r="BH165" s="59">
        <f t="shared" si="116"/>
        <v>293.33333333333411</v>
      </c>
      <c r="BI165" s="59">
        <f ca="1">AVERAGE(OFFSET($BH$3,0,0,'Données projet'!$E$11+1,1))-AVERAGE(OFFSET($H$3,0,0,'Données projet'!$E$11+1,1))</f>
        <v>179.55753939285887</v>
      </c>
      <c r="BJ165" s="59">
        <f t="shared" si="146"/>
        <v>147.29214162149162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73.854758626346396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73.854758626346396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-2.8421709430404007E-13</v>
      </c>
      <c r="O166" s="13">
        <f>N166*VLOOKUP('Données projet'!$B$9,Paramètres!$A$1:$I$89,3,0)*VLOOKUP('Données projet'!$B$9,Paramètres!$A$1:$I$89,5,0)</f>
        <v>-1.69961822393816E-13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195.14508560011791</v>
      </c>
      <c r="T166" s="59">
        <f t="shared" si="142"/>
        <v>285.1531413455931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9.959896377440236</v>
      </c>
      <c r="AA166" s="21">
        <f>EXP(-LN(2)/25)*AA165+(1-EXP(-LN(2)/25))/(LN(2)/25)*Calculateur!V166*Calculateur!X166*VLOOKUP('Données projet'!$B$9,Paramètres!$A$1:$I$89,3,0)*0.475*44/12</f>
        <v>1.8180033733320595</v>
      </c>
      <c r="AB166" s="21">
        <f>EXP(-LN(2)/2)*AB165+(1-EXP(-LN(2)/2))/(LN(2)/2)*V166*Y166*VLOOKUP('Données projet'!$B$9,Paramètres!$A$1:$I$89,3,0)*0.475*44/12</f>
        <v>6.4347809987133482E-17</v>
      </c>
      <c r="AC166" s="22">
        <f t="shared" si="163"/>
        <v>11.777899750772296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-2.8421709430404007E-13</v>
      </c>
      <c r="AJ166" s="13">
        <f>AI166*VLOOKUP('Données projet'!$B$10,Paramètres!$A$1:$I$89,3,0)*VLOOKUP('Données projet'!$B$10,Paramètres!$A$1:$I$89,5,0)</f>
        <v>-1.69961822393816E-13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195.14508560011791</v>
      </c>
      <c r="AO166" s="59">
        <f t="shared" si="144"/>
        <v>285.1531413455931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9.959896377440236</v>
      </c>
      <c r="AV166" s="21">
        <f>EXP(-LN(2)/25)*AV165+(1-EXP(-LN(2)/25))/(LN(2)/25)*Calculateur!AQ166*Calculateur!AS166*VLOOKUP('Données projet'!$B$10,Paramètres!$A$1:$I$89,3,0)*0.475*44/12</f>
        <v>1.8180033733320595</v>
      </c>
      <c r="AW166" s="21">
        <f>EXP(-LN(2)/2)*AW165+(1-EXP(-LN(2)/2))/(LN(2)/2)*AQ166*AT166*VLOOKUP('Données projet'!$B$10,Paramètres!$A$1:$I$89,3,0)*0.475*44/12</f>
        <v>6.4347809987133482E-17</v>
      </c>
      <c r="AX166" s="21">
        <f t="shared" si="166"/>
        <v>11.777899750772296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2.8421709430404007E-14</v>
      </c>
      <c r="BE166" s="13">
        <f>BD166*VLOOKUP('Données projet'!$B$11,Paramètres!$A$1:$I$89,3,0)*VLOOKUP('Données projet'!$B$11,Paramètres!$A$1:$I$89,5,0)</f>
        <v>2.3942448024172337E-14</v>
      </c>
      <c r="BF166" s="13">
        <f t="shared" si="167"/>
        <v>4.2480087102361523E-13</v>
      </c>
      <c r="BG166" s="20">
        <f t="shared" si="168"/>
        <v>7.8156128067489661E-13</v>
      </c>
      <c r="BH166" s="59">
        <f t="shared" si="116"/>
        <v>293.33333333333411</v>
      </c>
      <c r="BI166" s="59">
        <f ca="1">AVERAGE(OFFSET($BH$3,0,0,'Données projet'!$E$11+1,1))-AVERAGE(OFFSET($H$3,0,0,'Données projet'!$E$11+1,1))</f>
        <v>179.55753939285887</v>
      </c>
      <c r="BJ166" s="59">
        <f t="shared" si="146"/>
        <v>147.29214162149162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72.406511856638488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72.406511856638488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-2.8421709430404007E-13</v>
      </c>
      <c r="O167" s="13">
        <f>N167*VLOOKUP('Données projet'!$B$9,Paramètres!$A$1:$I$89,3,0)*VLOOKUP('Données projet'!$B$9,Paramètres!$A$1:$I$89,5,0)</f>
        <v>-1.69961822393816E-13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195.14508560011791</v>
      </c>
      <c r="T167" s="59">
        <f t="shared" si="142"/>
        <v>285.1531413455931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9.7645888844155735</v>
      </c>
      <c r="AA167" s="21">
        <f>EXP(-LN(2)/25)*AA166+(1-EXP(-LN(2)/25))/(LN(2)/25)*Calculateur!V167*Calculateur!X167*VLOOKUP('Données projet'!$B$9,Paramètres!$A$1:$I$89,3,0)*0.475*44/12</f>
        <v>1.7682899754836521</v>
      </c>
      <c r="AB167" s="21">
        <f>EXP(-LN(2)/2)*AB166+(1-EXP(-LN(2)/2))/(LN(2)/2)*V167*Y167*VLOOKUP('Données projet'!$B$9,Paramètres!$A$1:$I$89,3,0)*0.475*44/12</f>
        <v>4.5500772796405533E-17</v>
      </c>
      <c r="AC167" s="22">
        <f t="shared" si="163"/>
        <v>11.532878859899226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-2.8421709430404007E-13</v>
      </c>
      <c r="AJ167" s="13">
        <f>AI167*VLOOKUP('Données projet'!$B$10,Paramètres!$A$1:$I$89,3,0)*VLOOKUP('Données projet'!$B$10,Paramètres!$A$1:$I$89,5,0)</f>
        <v>-1.69961822393816E-13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195.14508560011791</v>
      </c>
      <c r="AO167" s="59">
        <f t="shared" si="144"/>
        <v>285.1531413455931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9.7645888844155735</v>
      </c>
      <c r="AV167" s="21">
        <f>EXP(-LN(2)/25)*AV166+(1-EXP(-LN(2)/25))/(LN(2)/25)*Calculateur!AQ167*Calculateur!AS167*VLOOKUP('Données projet'!$B$10,Paramètres!$A$1:$I$89,3,0)*0.475*44/12</f>
        <v>1.7682899754836521</v>
      </c>
      <c r="AW167" s="21">
        <f>EXP(-LN(2)/2)*AW166+(1-EXP(-LN(2)/2))/(LN(2)/2)*AQ167*AT167*VLOOKUP('Données projet'!$B$10,Paramètres!$A$1:$I$89,3,0)*0.475*44/12</f>
        <v>4.5500772796405533E-17</v>
      </c>
      <c r="AX167" s="21">
        <f t="shared" si="166"/>
        <v>11.532878859899226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2.8421709430404007E-14</v>
      </c>
      <c r="BE167" s="13">
        <f>BD167*VLOOKUP('Données projet'!$B$11,Paramètres!$A$1:$I$89,3,0)*VLOOKUP('Données projet'!$B$11,Paramètres!$A$1:$I$89,5,0)</f>
        <v>2.3942448024172337E-14</v>
      </c>
      <c r="BF167" s="13">
        <f t="shared" si="167"/>
        <v>4.2480087102361523E-13</v>
      </c>
      <c r="BG167" s="20">
        <f t="shared" si="168"/>
        <v>7.8156128067489661E-13</v>
      </c>
      <c r="BH167" s="59">
        <f t="shared" si="116"/>
        <v>293.33333333333411</v>
      </c>
      <c r="BI167" s="59">
        <f ca="1">AVERAGE(OFFSET($BH$3,0,0,'Données projet'!$E$11+1,1))-AVERAGE(OFFSET($H$3,0,0,'Données projet'!$E$11+1,1))</f>
        <v>179.55753939285887</v>
      </c>
      <c r="BJ167" s="59">
        <f t="shared" si="146"/>
        <v>147.29214162149162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70.986664322741248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70.986664322741248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-2.8421709430404007E-13</v>
      </c>
      <c r="O168" s="13">
        <f>N168*VLOOKUP('Données projet'!$B$9,Paramètres!$A$1:$I$89,3,0)*VLOOKUP('Données projet'!$B$9,Paramètres!$A$1:$I$89,5,0)</f>
        <v>-1.69961822393816E-13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195.14508560011791</v>
      </c>
      <c r="T168" s="59">
        <f t="shared" si="142"/>
        <v>285.1531413455931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9.5731112522033168</v>
      </c>
      <c r="AA168" s="21">
        <f>EXP(-LN(2)/25)*AA167+(1-EXP(-LN(2)/25))/(LN(2)/25)*Calculateur!V168*Calculateur!X168*VLOOKUP('Données projet'!$B$9,Paramètres!$A$1:$I$89,3,0)*0.475*44/12</f>
        <v>1.7199359931137232</v>
      </c>
      <c r="AB168" s="21">
        <f>EXP(-LN(2)/2)*AB167+(1-EXP(-LN(2)/2))/(LN(2)/2)*V168*Y168*VLOOKUP('Données projet'!$B$9,Paramètres!$A$1:$I$89,3,0)*0.475*44/12</f>
        <v>3.2173904993566741E-17</v>
      </c>
      <c r="AC168" s="22">
        <f t="shared" si="163"/>
        <v>11.293047245317041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-2.8421709430404007E-13</v>
      </c>
      <c r="AJ168" s="13">
        <f>AI168*VLOOKUP('Données projet'!$B$10,Paramètres!$A$1:$I$89,3,0)*VLOOKUP('Données projet'!$B$10,Paramètres!$A$1:$I$89,5,0)</f>
        <v>-1.69961822393816E-13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195.14508560011791</v>
      </c>
      <c r="AO168" s="59">
        <f t="shared" si="144"/>
        <v>285.1531413455931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9.5731112522033168</v>
      </c>
      <c r="AV168" s="21">
        <f>EXP(-LN(2)/25)*AV167+(1-EXP(-LN(2)/25))/(LN(2)/25)*Calculateur!AQ168*Calculateur!AS168*VLOOKUP('Données projet'!$B$10,Paramètres!$A$1:$I$89,3,0)*0.475*44/12</f>
        <v>1.7199359931137232</v>
      </c>
      <c r="AW168" s="21">
        <f>EXP(-LN(2)/2)*AW167+(1-EXP(-LN(2)/2))/(LN(2)/2)*AQ168*AT168*VLOOKUP('Données projet'!$B$10,Paramètres!$A$1:$I$89,3,0)*0.475*44/12</f>
        <v>3.2173904993566741E-17</v>
      </c>
      <c r="AX168" s="21">
        <f t="shared" si="166"/>
        <v>11.293047245317041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2.8421709430404007E-14</v>
      </c>
      <c r="BE168" s="13">
        <f>BD168*VLOOKUP('Données projet'!$B$11,Paramètres!$A$1:$I$89,3,0)*VLOOKUP('Données projet'!$B$11,Paramètres!$A$1:$I$89,5,0)</f>
        <v>2.3942448024172337E-14</v>
      </c>
      <c r="BF168" s="13">
        <f t="shared" si="167"/>
        <v>4.2480087102361523E-13</v>
      </c>
      <c r="BG168" s="20">
        <f t="shared" si="168"/>
        <v>7.8156128067489661E-13</v>
      </c>
      <c r="BH168" s="59">
        <f t="shared" si="116"/>
        <v>293.33333333333411</v>
      </c>
      <c r="BI168" s="59">
        <f ca="1">AVERAGE(OFFSET($BH$3,0,0,'Données projet'!$E$11+1,1))-AVERAGE(OFFSET($H$3,0,0,'Données projet'!$E$11+1,1))</f>
        <v>179.55753939285887</v>
      </c>
      <c r="BJ168" s="59">
        <f t="shared" si="146"/>
        <v>147.29214162149162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69.594659132962249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69.594659132962249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-2.8421709430404007E-13</v>
      </c>
      <c r="O169" s="13">
        <f>N169*VLOOKUP('Données projet'!$B$9,Paramètres!$A$1:$I$89,3,0)*VLOOKUP('Données projet'!$B$9,Paramètres!$A$1:$I$89,5,0)</f>
        <v>-1.69961822393816E-13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195.14508560011791</v>
      </c>
      <c r="T169" s="59">
        <f t="shared" si="142"/>
        <v>285.1531413455931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9.3853883795689175</v>
      </c>
      <c r="AA169" s="21">
        <f>EXP(-LN(2)/25)*AA168+(1-EXP(-LN(2)/25))/(LN(2)/25)*Calculateur!V169*Calculateur!X169*VLOOKUP('Données projet'!$B$9,Paramètres!$A$1:$I$89,3,0)*0.475*44/12</f>
        <v>1.6729042529345255</v>
      </c>
      <c r="AB169" s="21">
        <f>EXP(-LN(2)/2)*AB168+(1-EXP(-LN(2)/2))/(LN(2)/2)*V169*Y169*VLOOKUP('Données projet'!$B$9,Paramètres!$A$1:$I$89,3,0)*0.475*44/12</f>
        <v>2.2750386398202766E-17</v>
      </c>
      <c r="AC169" s="22">
        <f t="shared" si="163"/>
        <v>11.058292632503443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-2.8421709430404007E-13</v>
      </c>
      <c r="AJ169" s="13">
        <f>AI169*VLOOKUP('Données projet'!$B$10,Paramètres!$A$1:$I$89,3,0)*VLOOKUP('Données projet'!$B$10,Paramètres!$A$1:$I$89,5,0)</f>
        <v>-1.69961822393816E-13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195.14508560011791</v>
      </c>
      <c r="AO169" s="59">
        <f t="shared" si="144"/>
        <v>285.1531413455931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9.3853883795689175</v>
      </c>
      <c r="AV169" s="21">
        <f>EXP(-LN(2)/25)*AV168+(1-EXP(-LN(2)/25))/(LN(2)/25)*Calculateur!AQ169*Calculateur!AS169*VLOOKUP('Données projet'!$B$10,Paramètres!$A$1:$I$89,3,0)*0.475*44/12</f>
        <v>1.6729042529345255</v>
      </c>
      <c r="AW169" s="21">
        <f>EXP(-LN(2)/2)*AW168+(1-EXP(-LN(2)/2))/(LN(2)/2)*AQ169*AT169*VLOOKUP('Données projet'!$B$10,Paramètres!$A$1:$I$89,3,0)*0.475*44/12</f>
        <v>2.2750386398202766E-17</v>
      </c>
      <c r="AX169" s="21">
        <f t="shared" si="166"/>
        <v>11.058292632503443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2.8421709430404007E-14</v>
      </c>
      <c r="BE169" s="13">
        <f>BD169*VLOOKUP('Données projet'!$B$11,Paramètres!$A$1:$I$89,3,0)*VLOOKUP('Données projet'!$B$11,Paramètres!$A$1:$I$89,5,0)</f>
        <v>2.3942448024172337E-14</v>
      </c>
      <c r="BF169" s="13">
        <f t="shared" si="167"/>
        <v>4.2480087102361523E-13</v>
      </c>
      <c r="BG169" s="20">
        <f t="shared" si="168"/>
        <v>7.8156128067489661E-13</v>
      </c>
      <c r="BH169" s="59">
        <f t="shared" si="116"/>
        <v>293.33333333333411</v>
      </c>
      <c r="BI169" s="59">
        <f ca="1">AVERAGE(OFFSET($BH$3,0,0,'Données projet'!$E$11+1,1))-AVERAGE(OFFSET($H$3,0,0,'Données projet'!$E$11+1,1))</f>
        <v>179.55753939285887</v>
      </c>
      <c r="BJ169" s="59">
        <f t="shared" si="146"/>
        <v>147.29214162149162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68.229950315915488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68.229950315915488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-2.8421709430404007E-13</v>
      </c>
      <c r="O170" s="13">
        <f>N170*VLOOKUP('Données projet'!$B$9,Paramètres!$A$1:$I$89,3,0)*VLOOKUP('Données projet'!$B$9,Paramètres!$A$1:$I$89,5,0)</f>
        <v>-1.69961822393816E-13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195.14508560011791</v>
      </c>
      <c r="T170" s="59">
        <f t="shared" si="142"/>
        <v>285.1531413455931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9.2013466379672337</v>
      </c>
      <c r="AA170" s="21">
        <f>EXP(-LN(2)/25)*AA169+(1-EXP(-LN(2)/25))/(LN(2)/25)*Calculateur!V170*Calculateur!X170*VLOOKUP('Données projet'!$B$9,Paramètres!$A$1:$I$89,3,0)*0.475*44/12</f>
        <v>1.6271585981638197</v>
      </c>
      <c r="AB170" s="21">
        <f>EXP(-LN(2)/2)*AB169+(1-EXP(-LN(2)/2))/(LN(2)/2)*V170*Y170*VLOOKUP('Données projet'!$B$9,Paramètres!$A$1:$I$89,3,0)*0.475*44/12</f>
        <v>1.608695249678337E-17</v>
      </c>
      <c r="AC170" s="22">
        <f t="shared" si="163"/>
        <v>10.828505236131054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-2.8421709430404007E-13</v>
      </c>
      <c r="AJ170" s="13">
        <f>AI170*VLOOKUP('Données projet'!$B$10,Paramètres!$A$1:$I$89,3,0)*VLOOKUP('Données projet'!$B$10,Paramètres!$A$1:$I$89,5,0)</f>
        <v>-1.69961822393816E-13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195.14508560011791</v>
      </c>
      <c r="AO170" s="59">
        <f t="shared" si="144"/>
        <v>285.1531413455931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9.2013466379672337</v>
      </c>
      <c r="AV170" s="21">
        <f>EXP(-LN(2)/25)*AV169+(1-EXP(-LN(2)/25))/(LN(2)/25)*Calculateur!AQ170*Calculateur!AS170*VLOOKUP('Données projet'!$B$10,Paramètres!$A$1:$I$89,3,0)*0.475*44/12</f>
        <v>1.6271585981638197</v>
      </c>
      <c r="AW170" s="21">
        <f>EXP(-LN(2)/2)*AW169+(1-EXP(-LN(2)/2))/(LN(2)/2)*AQ170*AT170*VLOOKUP('Données projet'!$B$10,Paramètres!$A$1:$I$89,3,0)*0.475*44/12</f>
        <v>1.608695249678337E-17</v>
      </c>
      <c r="AX170" s="21">
        <f t="shared" si="166"/>
        <v>10.828505236131054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2.8421709430404007E-14</v>
      </c>
      <c r="BE170" s="13">
        <f>BD170*VLOOKUP('Données projet'!$B$11,Paramètres!$A$1:$I$89,3,0)*VLOOKUP('Données projet'!$B$11,Paramètres!$A$1:$I$89,5,0)</f>
        <v>2.3942448024172337E-14</v>
      </c>
      <c r="BF170" s="13">
        <f t="shared" si="167"/>
        <v>4.2480087102361523E-13</v>
      </c>
      <c r="BG170" s="20">
        <f t="shared" si="168"/>
        <v>7.8156128067489661E-13</v>
      </c>
      <c r="BH170" s="59">
        <f t="shared" si="116"/>
        <v>293.33333333333411</v>
      </c>
      <c r="BI170" s="59">
        <f ca="1">AVERAGE(OFFSET($BH$3,0,0,'Données projet'!$E$11+1,1))-AVERAGE(OFFSET($H$3,0,0,'Données projet'!$E$11+1,1))</f>
        <v>179.55753939285887</v>
      </c>
      <c r="BJ170" s="59">
        <f t="shared" si="146"/>
        <v>147.29214162149162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66.892002606380828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66.892002606380828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-2.8421709430404007E-13</v>
      </c>
      <c r="O171" s="13">
        <f>N171*VLOOKUP('Données projet'!$B$9,Paramètres!$A$1:$I$89,3,0)*VLOOKUP('Données projet'!$B$9,Paramètres!$A$1:$I$89,5,0)</f>
        <v>-1.69961822393816E-13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195.14508560011791</v>
      </c>
      <c r="T171" s="59">
        <f t="shared" si="142"/>
        <v>285.1531413455931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9.0209138426639797</v>
      </c>
      <c r="AA171" s="21">
        <f>EXP(-LN(2)/25)*AA170+(1-EXP(-LN(2)/25))/(LN(2)/25)*Calculateur!V171*Calculateur!X171*VLOOKUP('Données projet'!$B$9,Paramètres!$A$1:$I$89,3,0)*0.475*44/12</f>
        <v>1.5826638607284782</v>
      </c>
      <c r="AB171" s="21">
        <f>EXP(-LN(2)/2)*AB170+(1-EXP(-LN(2)/2))/(LN(2)/2)*V171*Y171*VLOOKUP('Données projet'!$B$9,Paramètres!$A$1:$I$89,3,0)*0.475*44/12</f>
        <v>1.1375193199101383E-17</v>
      </c>
      <c r="AC171" s="22">
        <f t="shared" si="163"/>
        <v>10.603577703392459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-2.8421709430404007E-13</v>
      </c>
      <c r="AJ171" s="13">
        <f>AI171*VLOOKUP('Données projet'!$B$10,Paramètres!$A$1:$I$89,3,0)*VLOOKUP('Données projet'!$B$10,Paramètres!$A$1:$I$89,5,0)</f>
        <v>-1.69961822393816E-13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195.14508560011791</v>
      </c>
      <c r="AO171" s="59">
        <f t="shared" si="144"/>
        <v>285.1531413455931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9.0209138426639797</v>
      </c>
      <c r="AV171" s="21">
        <f>EXP(-LN(2)/25)*AV170+(1-EXP(-LN(2)/25))/(LN(2)/25)*Calculateur!AQ171*Calculateur!AS171*VLOOKUP('Données projet'!$B$10,Paramètres!$A$1:$I$89,3,0)*0.475*44/12</f>
        <v>1.5826638607284782</v>
      </c>
      <c r="AW171" s="21">
        <f>EXP(-LN(2)/2)*AW170+(1-EXP(-LN(2)/2))/(LN(2)/2)*AQ171*AT171*VLOOKUP('Données projet'!$B$10,Paramètres!$A$1:$I$89,3,0)*0.475*44/12</f>
        <v>1.1375193199101383E-17</v>
      </c>
      <c r="AX171" s="21">
        <f t="shared" si="166"/>
        <v>10.603577703392459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2.8421709430404007E-14</v>
      </c>
      <c r="BE171" s="13">
        <f>BD171*VLOOKUP('Données projet'!$B$11,Paramètres!$A$1:$I$89,3,0)*VLOOKUP('Données projet'!$B$11,Paramètres!$A$1:$I$89,5,0)</f>
        <v>2.3942448024172337E-14</v>
      </c>
      <c r="BF171" s="13">
        <f t="shared" si="167"/>
        <v>4.2480087102361523E-13</v>
      </c>
      <c r="BG171" s="20">
        <f t="shared" si="168"/>
        <v>7.8156128067489661E-13</v>
      </c>
      <c r="BH171" s="59">
        <f t="shared" si="116"/>
        <v>293.33333333333411</v>
      </c>
      <c r="BI171" s="59">
        <f ca="1">AVERAGE(OFFSET($BH$3,0,0,'Données projet'!$E$11+1,1))-AVERAGE(OFFSET($H$3,0,0,'Données projet'!$E$11+1,1))</f>
        <v>179.55753939285887</v>
      </c>
      <c r="BJ171" s="59">
        <f t="shared" si="146"/>
        <v>147.29214162149162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65.580291235362608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65.580291235362608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-2.8421709430404007E-13</v>
      </c>
      <c r="O172" s="13">
        <f>N172*VLOOKUP('Données projet'!$B$9,Paramètres!$A$1:$I$89,3,0)*VLOOKUP('Données projet'!$B$9,Paramètres!$A$1:$I$89,5,0)</f>
        <v>-1.69961822393816E-13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195.14508560011791</v>
      </c>
      <c r="T172" s="59">
        <f t="shared" si="142"/>
        <v>285.1531413455931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8.8440192244234836</v>
      </c>
      <c r="AA172" s="21">
        <f>EXP(-LN(2)/25)*AA171+(1-EXP(-LN(2)/25))/(LN(2)/25)*Calculateur!V172*Calculateur!X172*VLOOKUP('Données projet'!$B$9,Paramètres!$A$1:$I$89,3,0)*0.475*44/12</f>
        <v>1.5393858342281828</v>
      </c>
      <c r="AB172" s="21">
        <f>EXP(-LN(2)/2)*AB171+(1-EXP(-LN(2)/2))/(LN(2)/2)*V172*Y172*VLOOKUP('Données projet'!$B$9,Paramètres!$A$1:$I$89,3,0)*0.475*44/12</f>
        <v>8.0434762483916852E-18</v>
      </c>
      <c r="AC172" s="22">
        <f t="shared" si="163"/>
        <v>10.383405058651666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-2.8421709430404007E-13</v>
      </c>
      <c r="AJ172" s="13">
        <f>AI172*VLOOKUP('Données projet'!$B$10,Paramètres!$A$1:$I$89,3,0)*VLOOKUP('Données projet'!$B$10,Paramètres!$A$1:$I$89,5,0)</f>
        <v>-1.69961822393816E-13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195.14508560011791</v>
      </c>
      <c r="AO172" s="59">
        <f t="shared" si="144"/>
        <v>285.1531413455931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8.8440192244234836</v>
      </c>
      <c r="AV172" s="21">
        <f>EXP(-LN(2)/25)*AV171+(1-EXP(-LN(2)/25))/(LN(2)/25)*Calculateur!AQ172*Calculateur!AS172*VLOOKUP('Données projet'!$B$10,Paramètres!$A$1:$I$89,3,0)*0.475*44/12</f>
        <v>1.5393858342281828</v>
      </c>
      <c r="AW172" s="21">
        <f>EXP(-LN(2)/2)*AW171+(1-EXP(-LN(2)/2))/(LN(2)/2)*AQ172*AT172*VLOOKUP('Données projet'!$B$10,Paramètres!$A$1:$I$89,3,0)*0.475*44/12</f>
        <v>8.0434762483916852E-18</v>
      </c>
      <c r="AX172" s="21">
        <f t="shared" si="166"/>
        <v>10.383405058651666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2.8421709430404007E-14</v>
      </c>
      <c r="BE172" s="13">
        <f>BD172*VLOOKUP('Données projet'!$B$11,Paramètres!$A$1:$I$89,3,0)*VLOOKUP('Données projet'!$B$11,Paramètres!$A$1:$I$89,5,0)</f>
        <v>2.3942448024172337E-14</v>
      </c>
      <c r="BF172" s="13">
        <f t="shared" si="167"/>
        <v>4.2480087102361523E-13</v>
      </c>
      <c r="BG172" s="20">
        <f t="shared" si="168"/>
        <v>7.8156128067489661E-13</v>
      </c>
      <c r="BH172" s="59">
        <f t="shared" si="116"/>
        <v>293.33333333333411</v>
      </c>
      <c r="BI172" s="59">
        <f ca="1">AVERAGE(OFFSET($BH$3,0,0,'Données projet'!$E$11+1,1))-AVERAGE(OFFSET($H$3,0,0,'Données projet'!$E$11+1,1))</f>
        <v>179.55753939285887</v>
      </c>
      <c r="BJ172" s="59">
        <f t="shared" si="146"/>
        <v>147.29214162149162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64.294301724265125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64.294301724265125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-2.8421709430404007E-13</v>
      </c>
      <c r="O173" s="13">
        <f>N173*VLOOKUP('Données projet'!$B$9,Paramètres!$A$1:$I$89,3,0)*VLOOKUP('Données projet'!$B$9,Paramètres!$A$1:$I$89,5,0)</f>
        <v>-1.69961822393816E-13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195.14508560011791</v>
      </c>
      <c r="T173" s="59">
        <f t="shared" si="142"/>
        <v>285.1531413455931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8.6705934017516206</v>
      </c>
      <c r="AA173" s="21">
        <f>EXP(-LN(2)/25)*AA172+(1-EXP(-LN(2)/25))/(LN(2)/25)*Calculateur!V173*Calculateur!X173*VLOOKUP('Données projet'!$B$9,Paramètres!$A$1:$I$89,3,0)*0.475*44/12</f>
        <v>1.4972912476384304</v>
      </c>
      <c r="AB173" s="21">
        <f>EXP(-LN(2)/2)*AB172+(1-EXP(-LN(2)/2))/(LN(2)/2)*V173*Y173*VLOOKUP('Données projet'!$B$9,Paramètres!$A$1:$I$89,3,0)*0.475*44/12</f>
        <v>5.6875965995506916E-18</v>
      </c>
      <c r="AC173" s="22">
        <f t="shared" si="163"/>
        <v>10.16788464939005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-2.8421709430404007E-13</v>
      </c>
      <c r="AJ173" s="13">
        <f>AI173*VLOOKUP('Données projet'!$B$10,Paramètres!$A$1:$I$89,3,0)*VLOOKUP('Données projet'!$B$10,Paramètres!$A$1:$I$89,5,0)</f>
        <v>-1.69961822393816E-13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195.14508560011791</v>
      </c>
      <c r="AO173" s="59">
        <f t="shared" si="144"/>
        <v>285.1531413455931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8.6705934017516206</v>
      </c>
      <c r="AV173" s="21">
        <f>EXP(-LN(2)/25)*AV172+(1-EXP(-LN(2)/25))/(LN(2)/25)*Calculateur!AQ173*Calculateur!AS173*VLOOKUP('Données projet'!$B$10,Paramètres!$A$1:$I$89,3,0)*0.475*44/12</f>
        <v>1.4972912476384304</v>
      </c>
      <c r="AW173" s="21">
        <f>EXP(-LN(2)/2)*AW172+(1-EXP(-LN(2)/2))/(LN(2)/2)*AQ173*AT173*VLOOKUP('Données projet'!$B$10,Paramètres!$A$1:$I$89,3,0)*0.475*44/12</f>
        <v>5.6875965995506916E-18</v>
      </c>
      <c r="AX173" s="21">
        <f t="shared" si="166"/>
        <v>10.16788464939005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2.8421709430404007E-14</v>
      </c>
      <c r="BE173" s="13">
        <f>BD173*VLOOKUP('Données projet'!$B$11,Paramètres!$A$1:$I$89,3,0)*VLOOKUP('Données projet'!$B$11,Paramètres!$A$1:$I$89,5,0)</f>
        <v>2.3942448024172337E-14</v>
      </c>
      <c r="BF173" s="13">
        <f t="shared" si="167"/>
        <v>4.2480087102361523E-13</v>
      </c>
      <c r="BG173" s="20">
        <f t="shared" si="168"/>
        <v>7.8156128067489661E-13</v>
      </c>
      <c r="BH173" s="59">
        <f t="shared" si="116"/>
        <v>293.33333333333411</v>
      </c>
      <c r="BI173" s="59">
        <f ca="1">AVERAGE(OFFSET($BH$3,0,0,'Données projet'!$E$11+1,1))-AVERAGE(OFFSET($H$3,0,0,'Données projet'!$E$11+1,1))</f>
        <v>179.55753939285887</v>
      </c>
      <c r="BJ173" s="59">
        <f t="shared" si="146"/>
        <v>147.29214162149162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63.033529683104113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63.033529683104113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-2.8421709430404007E-13</v>
      </c>
      <c r="O174" s="13">
        <f>N174*VLOOKUP('Données projet'!$B$9,Paramètres!$A$1:$I$89,3,0)*VLOOKUP('Données projet'!$B$9,Paramètres!$A$1:$I$89,5,0)</f>
        <v>-1.69961822393816E-13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195.14508560011791</v>
      </c>
      <c r="T174" s="59">
        <f t="shared" si="142"/>
        <v>285.1531413455931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8.5005683536830468</v>
      </c>
      <c r="AA174" s="21">
        <f>EXP(-LN(2)/25)*AA173+(1-EXP(-LN(2)/25))/(LN(2)/25)*Calculateur!V174*Calculateur!X174*VLOOKUP('Données projet'!$B$9,Paramètres!$A$1:$I$89,3,0)*0.475*44/12</f>
        <v>1.4563477397326328</v>
      </c>
      <c r="AB174" s="21">
        <f>EXP(-LN(2)/2)*AB173+(1-EXP(-LN(2)/2))/(LN(2)/2)*V174*Y174*VLOOKUP('Données projet'!$B$9,Paramètres!$A$1:$I$89,3,0)*0.475*44/12</f>
        <v>4.0217381241958426E-18</v>
      </c>
      <c r="AC174" s="22">
        <f t="shared" si="163"/>
        <v>9.9569160934156802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-2.8421709430404007E-13</v>
      </c>
      <c r="AJ174" s="13">
        <f>AI174*VLOOKUP('Données projet'!$B$10,Paramètres!$A$1:$I$89,3,0)*VLOOKUP('Données projet'!$B$10,Paramètres!$A$1:$I$89,5,0)</f>
        <v>-1.69961822393816E-13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195.14508560011791</v>
      </c>
      <c r="AO174" s="59">
        <f t="shared" si="144"/>
        <v>285.1531413455931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8.5005683536830468</v>
      </c>
      <c r="AV174" s="21">
        <f>EXP(-LN(2)/25)*AV173+(1-EXP(-LN(2)/25))/(LN(2)/25)*Calculateur!AQ174*Calculateur!AS174*VLOOKUP('Données projet'!$B$10,Paramètres!$A$1:$I$89,3,0)*0.475*44/12</f>
        <v>1.4563477397326328</v>
      </c>
      <c r="AW174" s="21">
        <f>EXP(-LN(2)/2)*AW173+(1-EXP(-LN(2)/2))/(LN(2)/2)*AQ174*AT174*VLOOKUP('Données projet'!$B$10,Paramètres!$A$1:$I$89,3,0)*0.475*44/12</f>
        <v>4.0217381241958426E-18</v>
      </c>
      <c r="AX174" s="21">
        <f t="shared" si="166"/>
        <v>9.9569160934156802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2.8421709430404007E-14</v>
      </c>
      <c r="BE174" s="13">
        <f>BD174*VLOOKUP('Données projet'!$B$11,Paramètres!$A$1:$I$89,3,0)*VLOOKUP('Données projet'!$B$11,Paramètres!$A$1:$I$89,5,0)</f>
        <v>2.3942448024172337E-14</v>
      </c>
      <c r="BF174" s="13">
        <f t="shared" si="167"/>
        <v>4.2480087102361523E-13</v>
      </c>
      <c r="BG174" s="20">
        <f t="shared" si="168"/>
        <v>7.8156128067489661E-13</v>
      </c>
      <c r="BH174" s="59">
        <f t="shared" si="116"/>
        <v>293.33333333333411</v>
      </c>
      <c r="BI174" s="59">
        <f ca="1">AVERAGE(OFFSET($BH$3,0,0,'Données projet'!$E$11+1,1))-AVERAGE(OFFSET($H$3,0,0,'Données projet'!$E$11+1,1))</f>
        <v>179.55753939285887</v>
      </c>
      <c r="BJ174" s="59">
        <f t="shared" si="146"/>
        <v>147.29214162149162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61.797480612675258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61.797480612675258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-2.8421709430404007E-13</v>
      </c>
      <c r="O175" s="13">
        <f>N175*VLOOKUP('Données projet'!$B$9,Paramètres!$A$1:$I$89,3,0)*VLOOKUP('Données projet'!$B$9,Paramètres!$A$1:$I$89,5,0)</f>
        <v>-1.69961822393816E-13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195.14508560011791</v>
      </c>
      <c r="T175" s="59">
        <f t="shared" si="142"/>
        <v>285.1531413455931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8.3338773931020587</v>
      </c>
      <c r="AA175" s="21">
        <f>EXP(-LN(2)/25)*AA174+(1-EXP(-LN(2)/25))/(LN(2)/25)*Calculateur!V175*Calculateur!X175*VLOOKUP('Données projet'!$B$9,Paramètres!$A$1:$I$89,3,0)*0.475*44/12</f>
        <v>1.4165238342036448</v>
      </c>
      <c r="AB175" s="21">
        <f>EXP(-LN(2)/2)*AB174+(1-EXP(-LN(2)/2))/(LN(2)/2)*V175*Y175*VLOOKUP('Données projet'!$B$9,Paramètres!$A$1:$I$89,3,0)*0.475*44/12</f>
        <v>2.8437982997753458E-18</v>
      </c>
      <c r="AC175" s="22">
        <f t="shared" si="163"/>
        <v>9.7504012273057032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-2.8421709430404007E-13</v>
      </c>
      <c r="AJ175" s="13">
        <f>AI175*VLOOKUP('Données projet'!$B$10,Paramètres!$A$1:$I$89,3,0)*VLOOKUP('Données projet'!$B$10,Paramètres!$A$1:$I$89,5,0)</f>
        <v>-1.69961822393816E-13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195.14508560011791</v>
      </c>
      <c r="AO175" s="59">
        <f t="shared" si="144"/>
        <v>285.1531413455931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8.3338773931020587</v>
      </c>
      <c r="AV175" s="21">
        <f>EXP(-LN(2)/25)*AV174+(1-EXP(-LN(2)/25))/(LN(2)/25)*Calculateur!AQ175*Calculateur!AS175*VLOOKUP('Données projet'!$B$10,Paramètres!$A$1:$I$89,3,0)*0.475*44/12</f>
        <v>1.4165238342036448</v>
      </c>
      <c r="AW175" s="21">
        <f>EXP(-LN(2)/2)*AW174+(1-EXP(-LN(2)/2))/(LN(2)/2)*AQ175*AT175*VLOOKUP('Données projet'!$B$10,Paramètres!$A$1:$I$89,3,0)*0.475*44/12</f>
        <v>2.8437982997753458E-18</v>
      </c>
      <c r="AX175" s="21">
        <f t="shared" si="166"/>
        <v>9.7504012273057032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2.8421709430404007E-14</v>
      </c>
      <c r="BE175" s="13">
        <f>BD175*VLOOKUP('Données projet'!$B$11,Paramètres!$A$1:$I$89,3,0)*VLOOKUP('Données projet'!$B$11,Paramètres!$A$1:$I$89,5,0)</f>
        <v>2.3942448024172337E-14</v>
      </c>
      <c r="BF175" s="13">
        <f t="shared" si="167"/>
        <v>4.2480087102361523E-13</v>
      </c>
      <c r="BG175" s="20">
        <f t="shared" si="168"/>
        <v>7.8156128067489661E-13</v>
      </c>
      <c r="BH175" s="59">
        <f t="shared" si="116"/>
        <v>293.33333333333411</v>
      </c>
      <c r="BI175" s="59">
        <f ca="1">AVERAGE(OFFSET($BH$3,0,0,'Données projet'!$E$11+1,1))-AVERAGE(OFFSET($H$3,0,0,'Données projet'!$E$11+1,1))</f>
        <v>179.55753939285887</v>
      </c>
      <c r="BJ175" s="59">
        <f t="shared" si="146"/>
        <v>147.29214162149162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60.585669710602019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60.585669710602019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-2.8421709430404007E-13</v>
      </c>
      <c r="O176" s="13">
        <f>N176*VLOOKUP('Données projet'!$B$9,Paramètres!$A$1:$I$89,3,0)*VLOOKUP('Données projet'!$B$9,Paramètres!$A$1:$I$89,5,0)</f>
        <v>-1.69961822393816E-13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195.14508560011791</v>
      </c>
      <c r="T176" s="59">
        <f t="shared" si="142"/>
        <v>285.1531413455931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8.1704551405866166</v>
      </c>
      <c r="AA176" s="21">
        <f>EXP(-LN(2)/25)*AA175+(1-EXP(-LN(2)/25))/(LN(2)/25)*Calculateur!V176*Calculateur!X176*VLOOKUP('Données projet'!$B$9,Paramètres!$A$1:$I$89,3,0)*0.475*44/12</f>
        <v>1.3777889154655951</v>
      </c>
      <c r="AB176" s="21">
        <f>EXP(-LN(2)/2)*AB175+(1-EXP(-LN(2)/2))/(LN(2)/2)*V176*Y176*VLOOKUP('Données projet'!$B$9,Paramètres!$A$1:$I$89,3,0)*0.475*44/12</f>
        <v>2.0108690620979213E-18</v>
      </c>
      <c r="AC176" s="22">
        <f t="shared" si="163"/>
        <v>9.5482440560522122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-2.8421709430404007E-13</v>
      </c>
      <c r="AJ176" s="13">
        <f>AI176*VLOOKUP('Données projet'!$B$10,Paramètres!$A$1:$I$89,3,0)*VLOOKUP('Données projet'!$B$10,Paramètres!$A$1:$I$89,5,0)</f>
        <v>-1.69961822393816E-13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195.14508560011791</v>
      </c>
      <c r="AO176" s="59">
        <f t="shared" si="144"/>
        <v>285.1531413455931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8.1704551405866166</v>
      </c>
      <c r="AV176" s="21">
        <f>EXP(-LN(2)/25)*AV175+(1-EXP(-LN(2)/25))/(LN(2)/25)*Calculateur!AQ176*Calculateur!AS176*VLOOKUP('Données projet'!$B$10,Paramètres!$A$1:$I$89,3,0)*0.475*44/12</f>
        <v>1.3777889154655951</v>
      </c>
      <c r="AW176" s="21">
        <f>EXP(-LN(2)/2)*AW175+(1-EXP(-LN(2)/2))/(LN(2)/2)*AQ176*AT176*VLOOKUP('Données projet'!$B$10,Paramètres!$A$1:$I$89,3,0)*0.475*44/12</f>
        <v>2.0108690620979213E-18</v>
      </c>
      <c r="AX176" s="21">
        <f t="shared" si="166"/>
        <v>9.5482440560522122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2.8421709430404007E-14</v>
      </c>
      <c r="BE176" s="13">
        <f>BD176*VLOOKUP('Données projet'!$B$11,Paramètres!$A$1:$I$89,3,0)*VLOOKUP('Données projet'!$B$11,Paramètres!$A$1:$I$89,5,0)</f>
        <v>2.3942448024172337E-14</v>
      </c>
      <c r="BF176" s="13">
        <f t="shared" si="167"/>
        <v>4.2480087102361523E-13</v>
      </c>
      <c r="BG176" s="20">
        <f t="shared" si="168"/>
        <v>7.8156128067489661E-13</v>
      </c>
      <c r="BH176" s="59">
        <f t="shared" si="116"/>
        <v>293.33333333333411</v>
      </c>
      <c r="BI176" s="59">
        <f ca="1">AVERAGE(OFFSET($BH$3,0,0,'Données projet'!$E$11+1,1))-AVERAGE(OFFSET($H$3,0,0,'Données projet'!$E$11+1,1))</f>
        <v>179.55753939285887</v>
      </c>
      <c r="BJ176" s="59">
        <f t="shared" si="146"/>
        <v>147.29214162149162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59.39762168118677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59.39762168118677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-2.8421709430404007E-13</v>
      </c>
      <c r="O177" s="13">
        <f>N177*VLOOKUP('Données projet'!$B$9,Paramètres!$A$1:$I$89,3,0)*VLOOKUP('Données projet'!$B$9,Paramètres!$A$1:$I$89,5,0)</f>
        <v>-1.69961822393816E-13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195.14508560011791</v>
      </c>
      <c r="T177" s="59">
        <f t="shared" si="142"/>
        <v>285.1531413455931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8.0102374987652709</v>
      </c>
      <c r="AA177" s="21">
        <f>EXP(-LN(2)/25)*AA176+(1-EXP(-LN(2)/25))/(LN(2)/25)*Calculateur!V177*Calculateur!X177*VLOOKUP('Données projet'!$B$9,Paramètres!$A$1:$I$89,3,0)*0.475*44/12</f>
        <v>1.3401132051174183</v>
      </c>
      <c r="AB177" s="21">
        <f>EXP(-LN(2)/2)*AB176+(1-EXP(-LN(2)/2))/(LN(2)/2)*V177*Y177*VLOOKUP('Données projet'!$B$9,Paramètres!$A$1:$I$89,3,0)*0.475*44/12</f>
        <v>1.4218991498876729E-18</v>
      </c>
      <c r="AC177" s="22">
        <f t="shared" si="163"/>
        <v>9.3503507038826896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-2.8421709430404007E-13</v>
      </c>
      <c r="AJ177" s="13">
        <f>AI177*VLOOKUP('Données projet'!$B$10,Paramètres!$A$1:$I$89,3,0)*VLOOKUP('Données projet'!$B$10,Paramètres!$A$1:$I$89,5,0)</f>
        <v>-1.69961822393816E-13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195.14508560011791</v>
      </c>
      <c r="AO177" s="59">
        <f t="shared" si="144"/>
        <v>285.1531413455931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8.0102374987652709</v>
      </c>
      <c r="AV177" s="21">
        <f>EXP(-LN(2)/25)*AV176+(1-EXP(-LN(2)/25))/(LN(2)/25)*Calculateur!AQ177*Calculateur!AS177*VLOOKUP('Données projet'!$B$10,Paramètres!$A$1:$I$89,3,0)*0.475*44/12</f>
        <v>1.3401132051174183</v>
      </c>
      <c r="AW177" s="21">
        <f>EXP(-LN(2)/2)*AW176+(1-EXP(-LN(2)/2))/(LN(2)/2)*AQ177*AT177*VLOOKUP('Données projet'!$B$10,Paramètres!$A$1:$I$89,3,0)*0.475*44/12</f>
        <v>1.4218991498876729E-18</v>
      </c>
      <c r="AX177" s="21">
        <f t="shared" si="166"/>
        <v>9.3503507038826896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2.8421709430404007E-14</v>
      </c>
      <c r="BE177" s="13">
        <f>BD177*VLOOKUP('Données projet'!$B$11,Paramètres!$A$1:$I$89,3,0)*VLOOKUP('Données projet'!$B$11,Paramètres!$A$1:$I$89,5,0)</f>
        <v>2.3942448024172337E-14</v>
      </c>
      <c r="BF177" s="13">
        <f t="shared" si="167"/>
        <v>4.2480087102361523E-13</v>
      </c>
      <c r="BG177" s="20">
        <f t="shared" si="168"/>
        <v>7.8156128067489661E-13</v>
      </c>
      <c r="BH177" s="59">
        <f t="shared" si="116"/>
        <v>293.33333333333411</v>
      </c>
      <c r="BI177" s="59">
        <f ca="1">AVERAGE(OFFSET($BH$3,0,0,'Données projet'!$E$11+1,1))-AVERAGE(OFFSET($H$3,0,0,'Données projet'!$E$11+1,1))</f>
        <v>179.55753939285887</v>
      </c>
      <c r="BJ177" s="59">
        <f t="shared" si="146"/>
        <v>147.29214162149162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58.232870548990611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58.232870548990611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-2.8421709430404007E-13</v>
      </c>
      <c r="O178" s="13">
        <f>N178*VLOOKUP('Données projet'!$B$9,Paramètres!$A$1:$I$89,3,0)*VLOOKUP('Données projet'!$B$9,Paramètres!$A$1:$I$89,5,0)</f>
        <v>-1.69961822393816E-13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195.14508560011791</v>
      </c>
      <c r="T178" s="59">
        <f t="shared" si="142"/>
        <v>285.1531413455931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7.8531616271769291</v>
      </c>
      <c r="AA178" s="21">
        <f>EXP(-LN(2)/25)*AA177+(1-EXP(-LN(2)/25))/(LN(2)/25)*Calculateur!V178*Calculateur!X178*VLOOKUP('Données projet'!$B$9,Paramètres!$A$1:$I$89,3,0)*0.475*44/12</f>
        <v>1.3034677390499918</v>
      </c>
      <c r="AB178" s="21">
        <f>EXP(-LN(2)/2)*AB177+(1-EXP(-LN(2)/2))/(LN(2)/2)*V178*Y178*VLOOKUP('Données projet'!$B$9,Paramètres!$A$1:$I$89,3,0)*0.475*44/12</f>
        <v>1.0054345310489607E-18</v>
      </c>
      <c r="AC178" s="22">
        <f t="shared" si="163"/>
        <v>9.1566293662269214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-2.8421709430404007E-13</v>
      </c>
      <c r="AJ178" s="13">
        <f>AI178*VLOOKUP('Données projet'!$B$10,Paramètres!$A$1:$I$89,3,0)*VLOOKUP('Données projet'!$B$10,Paramètres!$A$1:$I$89,5,0)</f>
        <v>-1.69961822393816E-13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195.14508560011791</v>
      </c>
      <c r="AO178" s="59">
        <f t="shared" si="144"/>
        <v>285.1531413455931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7.8531616271769291</v>
      </c>
      <c r="AV178" s="21">
        <f>EXP(-LN(2)/25)*AV177+(1-EXP(-LN(2)/25))/(LN(2)/25)*Calculateur!AQ178*Calculateur!AS178*VLOOKUP('Données projet'!$B$10,Paramètres!$A$1:$I$89,3,0)*0.475*44/12</f>
        <v>1.3034677390499918</v>
      </c>
      <c r="AW178" s="21">
        <f>EXP(-LN(2)/2)*AW177+(1-EXP(-LN(2)/2))/(LN(2)/2)*AQ178*AT178*VLOOKUP('Données projet'!$B$10,Paramètres!$A$1:$I$89,3,0)*0.475*44/12</f>
        <v>1.0054345310489607E-18</v>
      </c>
      <c r="AX178" s="21">
        <f t="shared" si="166"/>
        <v>9.1566293662269214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2.8421709430404007E-14</v>
      </c>
      <c r="BE178" s="13">
        <f>BD178*VLOOKUP('Données projet'!$B$11,Paramètres!$A$1:$I$89,3,0)*VLOOKUP('Données projet'!$B$11,Paramètres!$A$1:$I$89,5,0)</f>
        <v>2.3942448024172337E-14</v>
      </c>
      <c r="BF178" s="13">
        <f t="shared" si="167"/>
        <v>4.2480087102361523E-13</v>
      </c>
      <c r="BG178" s="20">
        <f t="shared" si="168"/>
        <v>7.8156128067489661E-13</v>
      </c>
      <c r="BH178" s="59">
        <f t="shared" si="116"/>
        <v>293.33333333333411</v>
      </c>
      <c r="BI178" s="59">
        <f ca="1">AVERAGE(OFFSET($BH$3,0,0,'Données projet'!$E$11+1,1))-AVERAGE(OFFSET($H$3,0,0,'Données projet'!$E$11+1,1))</f>
        <v>179.55753939285887</v>
      </c>
      <c r="BJ178" s="59">
        <f t="shared" si="146"/>
        <v>147.29214162149162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57.090959476068775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57.090959476068775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-2.8421709430404007E-13</v>
      </c>
      <c r="O179" s="13">
        <f>N179*VLOOKUP('Données projet'!$B$9,Paramètres!$A$1:$I$89,3,0)*VLOOKUP('Données projet'!$B$9,Paramètres!$A$1:$I$89,5,0)</f>
        <v>-1.69961822393816E-13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195.14508560011791</v>
      </c>
      <c r="T179" s="59">
        <f t="shared" si="142"/>
        <v>285.1531413455931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7.6991659176236134</v>
      </c>
      <c r="AA179" s="21">
        <f>EXP(-LN(2)/25)*AA178+(1-EXP(-LN(2)/25))/(LN(2)/25)*Calculateur!V179*Calculateur!X179*VLOOKUP('Données projet'!$B$9,Paramètres!$A$1:$I$89,3,0)*0.475*44/12</f>
        <v>1.2678243451792806</v>
      </c>
      <c r="AB179" s="21">
        <f>EXP(-LN(2)/2)*AB178+(1-EXP(-LN(2)/2))/(LN(2)/2)*V179*Y179*VLOOKUP('Données projet'!$B$9,Paramètres!$A$1:$I$89,3,0)*0.475*44/12</f>
        <v>7.1094957494383645E-19</v>
      </c>
      <c r="AC179" s="22">
        <f t="shared" si="163"/>
        <v>8.9669902628028932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-2.8421709430404007E-13</v>
      </c>
      <c r="AJ179" s="13">
        <f>AI179*VLOOKUP('Données projet'!$B$10,Paramètres!$A$1:$I$89,3,0)*VLOOKUP('Données projet'!$B$10,Paramètres!$A$1:$I$89,5,0)</f>
        <v>-1.69961822393816E-13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195.14508560011791</v>
      </c>
      <c r="AO179" s="59">
        <f t="shared" si="144"/>
        <v>285.1531413455931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7.6991659176236134</v>
      </c>
      <c r="AV179" s="21">
        <f>EXP(-LN(2)/25)*AV178+(1-EXP(-LN(2)/25))/(LN(2)/25)*Calculateur!AQ179*Calculateur!AS179*VLOOKUP('Données projet'!$B$10,Paramètres!$A$1:$I$89,3,0)*0.475*44/12</f>
        <v>1.2678243451792806</v>
      </c>
      <c r="AW179" s="21">
        <f>EXP(-LN(2)/2)*AW178+(1-EXP(-LN(2)/2))/(LN(2)/2)*AQ179*AT179*VLOOKUP('Données projet'!$B$10,Paramètres!$A$1:$I$89,3,0)*0.475*44/12</f>
        <v>7.1094957494383645E-19</v>
      </c>
      <c r="AX179" s="21">
        <f t="shared" si="166"/>
        <v>8.9669902628028932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2.8421709430404007E-14</v>
      </c>
      <c r="BE179" s="13">
        <f>BD179*VLOOKUP('Données projet'!$B$11,Paramètres!$A$1:$I$89,3,0)*VLOOKUP('Données projet'!$B$11,Paramètres!$A$1:$I$89,5,0)</f>
        <v>2.3942448024172337E-14</v>
      </c>
      <c r="BF179" s="13">
        <f t="shared" si="167"/>
        <v>4.2480087102361523E-13</v>
      </c>
      <c r="BG179" s="20">
        <f t="shared" si="168"/>
        <v>7.8156128067489661E-13</v>
      </c>
      <c r="BH179" s="59">
        <f t="shared" si="116"/>
        <v>293.33333333333411</v>
      </c>
      <c r="BI179" s="59">
        <f ca="1">AVERAGE(OFFSET($BH$3,0,0,'Données projet'!$E$11+1,1))-AVERAGE(OFFSET($H$3,0,0,'Données projet'!$E$11+1,1))</f>
        <v>179.55753939285887</v>
      </c>
      <c r="BJ179" s="59">
        <f t="shared" si="146"/>
        <v>147.29214162149162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55.971440582789953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55.971440582789953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-2.8421709430404007E-13</v>
      </c>
      <c r="O180" s="13">
        <f>N180*VLOOKUP('Données projet'!$B$9,Paramètres!$A$1:$I$89,3,0)*VLOOKUP('Données projet'!$B$9,Paramètres!$A$1:$I$89,5,0)</f>
        <v>-1.69961822393816E-13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195.14508560011791</v>
      </c>
      <c r="T180" s="59">
        <f t="shared" si="142"/>
        <v>285.1531413455931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7.54818997000653</v>
      </c>
      <c r="AA180" s="21">
        <f>EXP(-LN(2)/25)*AA179+(1-EXP(-LN(2)/25))/(LN(2)/25)*Calculateur!V180*Calculateur!X180*VLOOKUP('Données projet'!$B$9,Paramètres!$A$1:$I$89,3,0)*0.475*44/12</f>
        <v>1.2331556217883686</v>
      </c>
      <c r="AB180" s="21">
        <f>EXP(-LN(2)/2)*AB179+(1-EXP(-LN(2)/2))/(LN(2)/2)*V180*Y180*VLOOKUP('Données projet'!$B$9,Paramètres!$A$1:$I$89,3,0)*0.475*44/12</f>
        <v>5.0271726552448033E-19</v>
      </c>
      <c r="AC180" s="22">
        <f t="shared" si="163"/>
        <v>8.7813455917948993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-2.8421709430404007E-13</v>
      </c>
      <c r="AJ180" s="13">
        <f>AI180*VLOOKUP('Données projet'!$B$10,Paramètres!$A$1:$I$89,3,0)*VLOOKUP('Données projet'!$B$10,Paramètres!$A$1:$I$89,5,0)</f>
        <v>-1.69961822393816E-13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195.14508560011791</v>
      </c>
      <c r="AO180" s="59">
        <f t="shared" si="144"/>
        <v>285.1531413455931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7.54818997000653</v>
      </c>
      <c r="AV180" s="21">
        <f>EXP(-LN(2)/25)*AV179+(1-EXP(-LN(2)/25))/(LN(2)/25)*Calculateur!AQ180*Calculateur!AS180*VLOOKUP('Données projet'!$B$10,Paramètres!$A$1:$I$89,3,0)*0.475*44/12</f>
        <v>1.2331556217883686</v>
      </c>
      <c r="AW180" s="21">
        <f>EXP(-LN(2)/2)*AW179+(1-EXP(-LN(2)/2))/(LN(2)/2)*AQ180*AT180*VLOOKUP('Données projet'!$B$10,Paramètres!$A$1:$I$89,3,0)*0.475*44/12</f>
        <v>5.0271726552448033E-19</v>
      </c>
      <c r="AX180" s="21">
        <f t="shared" si="166"/>
        <v>8.7813455917948993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2.8421709430404007E-14</v>
      </c>
      <c r="BE180" s="13">
        <f>BD180*VLOOKUP('Données projet'!$B$11,Paramètres!$A$1:$I$89,3,0)*VLOOKUP('Données projet'!$B$11,Paramètres!$A$1:$I$89,5,0)</f>
        <v>2.3942448024172337E-14</v>
      </c>
      <c r="BF180" s="13">
        <f t="shared" si="167"/>
        <v>4.2480087102361523E-13</v>
      </c>
      <c r="BG180" s="20">
        <f t="shared" si="168"/>
        <v>7.8156128067489661E-13</v>
      </c>
      <c r="BH180" s="59">
        <f t="shared" si="116"/>
        <v>293.33333333333411</v>
      </c>
      <c r="BI180" s="59">
        <f ca="1">AVERAGE(OFFSET($BH$3,0,0,'Données projet'!$E$11+1,1))-AVERAGE(OFFSET($H$3,0,0,'Données projet'!$E$11+1,1))</f>
        <v>179.55753939285887</v>
      </c>
      <c r="BJ180" s="59">
        <f t="shared" si="146"/>
        <v>147.29214162149162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54.873874772169231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54.873874772169231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-2.8421709430404007E-13</v>
      </c>
      <c r="O181" s="13">
        <f>N181*VLOOKUP('Données projet'!$B$9,Paramètres!$A$1:$I$89,3,0)*VLOOKUP('Données projet'!$B$9,Paramètres!$A$1:$I$89,5,0)</f>
        <v>-1.69961822393816E-13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195.14508560011791</v>
      </c>
      <c r="T181" s="59">
        <f t="shared" si="142"/>
        <v>285.1531413455931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7.4001745686359826</v>
      </c>
      <c r="AA181" s="21">
        <f>EXP(-LN(2)/25)*AA180+(1-EXP(-LN(2)/25))/(LN(2)/25)*Calculateur!V181*Calculateur!X181*VLOOKUP('Données projet'!$B$9,Paramètres!$A$1:$I$89,3,0)*0.475*44/12</f>
        <v>1.1994349164617299</v>
      </c>
      <c r="AB181" s="21">
        <f>EXP(-LN(2)/2)*AB180+(1-EXP(-LN(2)/2))/(LN(2)/2)*V181*Y181*VLOOKUP('Données projet'!$B$9,Paramètres!$A$1:$I$89,3,0)*0.475*44/12</f>
        <v>3.5547478747191822E-19</v>
      </c>
      <c r="AC181" s="22">
        <f t="shared" si="163"/>
        <v>8.5996094850977123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-2.8421709430404007E-13</v>
      </c>
      <c r="AJ181" s="13">
        <f>AI181*VLOOKUP('Données projet'!$B$10,Paramètres!$A$1:$I$89,3,0)*VLOOKUP('Données projet'!$B$10,Paramètres!$A$1:$I$89,5,0)</f>
        <v>-1.69961822393816E-13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195.14508560011791</v>
      </c>
      <c r="AO181" s="59">
        <f t="shared" si="144"/>
        <v>285.1531413455931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7.4001745686359826</v>
      </c>
      <c r="AV181" s="21">
        <f>EXP(-LN(2)/25)*AV180+(1-EXP(-LN(2)/25))/(LN(2)/25)*Calculateur!AQ181*Calculateur!AS181*VLOOKUP('Données projet'!$B$10,Paramètres!$A$1:$I$89,3,0)*0.475*44/12</f>
        <v>1.1994349164617299</v>
      </c>
      <c r="AW181" s="21">
        <f>EXP(-LN(2)/2)*AW180+(1-EXP(-LN(2)/2))/(LN(2)/2)*AQ181*AT181*VLOOKUP('Données projet'!$B$10,Paramètres!$A$1:$I$89,3,0)*0.475*44/12</f>
        <v>3.5547478747191822E-19</v>
      </c>
      <c r="AX181" s="21">
        <f t="shared" si="166"/>
        <v>8.5996094850977123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2.8421709430404007E-14</v>
      </c>
      <c r="BE181" s="13">
        <f>BD181*VLOOKUP('Données projet'!$B$11,Paramètres!$A$1:$I$89,3,0)*VLOOKUP('Données projet'!$B$11,Paramètres!$A$1:$I$89,5,0)</f>
        <v>2.3942448024172337E-14</v>
      </c>
      <c r="BF181" s="13">
        <f t="shared" si="167"/>
        <v>4.2480087102361523E-13</v>
      </c>
      <c r="BG181" s="20">
        <f t="shared" si="168"/>
        <v>7.8156128067489661E-13</v>
      </c>
      <c r="BH181" s="59">
        <f t="shared" si="116"/>
        <v>293.33333333333411</v>
      </c>
      <c r="BI181" s="59">
        <f ca="1">AVERAGE(OFFSET($BH$3,0,0,'Données projet'!$E$11+1,1))-AVERAGE(OFFSET($H$3,0,0,'Données projet'!$E$11+1,1))</f>
        <v>179.55753939285887</v>
      </c>
      <c r="BJ181" s="59">
        <f t="shared" si="146"/>
        <v>147.29214162149162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53.797831557645736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53.797831557645736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-2.8421709430404007E-13</v>
      </c>
      <c r="O182" s="13">
        <f>N182*VLOOKUP('Données projet'!$B$9,Paramètres!$A$1:$I$89,3,0)*VLOOKUP('Données projet'!$B$9,Paramètres!$A$1:$I$89,5,0)</f>
        <v>-1.69961822393816E-13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195.14508560011791</v>
      </c>
      <c r="T182" s="59">
        <f t="shared" si="142"/>
        <v>285.1531413455931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7.2550616590058308</v>
      </c>
      <c r="AA182" s="21">
        <f>EXP(-LN(2)/25)*AA181+(1-EXP(-LN(2)/25))/(LN(2)/25)*Calculateur!V182*Calculateur!X182*VLOOKUP('Données projet'!$B$9,Paramètres!$A$1:$I$89,3,0)*0.475*44/12</f>
        <v>1.1666363055955431</v>
      </c>
      <c r="AB182" s="21">
        <f>EXP(-LN(2)/2)*AB181+(1-EXP(-LN(2)/2))/(LN(2)/2)*V182*Y182*VLOOKUP('Données projet'!$B$9,Paramètres!$A$1:$I$89,3,0)*0.475*44/12</f>
        <v>2.5135863276224016E-19</v>
      </c>
      <c r="AC182" s="22">
        <f t="shared" si="163"/>
        <v>8.4216979646013748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-2.8421709430404007E-13</v>
      </c>
      <c r="AJ182" s="13">
        <f>AI182*VLOOKUP('Données projet'!$B$10,Paramètres!$A$1:$I$89,3,0)*VLOOKUP('Données projet'!$B$10,Paramètres!$A$1:$I$89,5,0)</f>
        <v>-1.69961822393816E-13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195.14508560011791</v>
      </c>
      <c r="AO182" s="59">
        <f t="shared" si="144"/>
        <v>285.1531413455931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7.2550616590058308</v>
      </c>
      <c r="AV182" s="21">
        <f>EXP(-LN(2)/25)*AV181+(1-EXP(-LN(2)/25))/(LN(2)/25)*Calculateur!AQ182*Calculateur!AS182*VLOOKUP('Données projet'!$B$10,Paramètres!$A$1:$I$89,3,0)*0.475*44/12</f>
        <v>1.1666363055955431</v>
      </c>
      <c r="AW182" s="21">
        <f>EXP(-LN(2)/2)*AW181+(1-EXP(-LN(2)/2))/(LN(2)/2)*AQ182*AT182*VLOOKUP('Données projet'!$B$10,Paramètres!$A$1:$I$89,3,0)*0.475*44/12</f>
        <v>2.5135863276224016E-19</v>
      </c>
      <c r="AX182" s="21">
        <f t="shared" si="166"/>
        <v>8.4216979646013748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2.8421709430404007E-14</v>
      </c>
      <c r="BE182" s="13">
        <f>BD182*VLOOKUP('Données projet'!$B$11,Paramètres!$A$1:$I$89,3,0)*VLOOKUP('Données projet'!$B$11,Paramètres!$A$1:$I$89,5,0)</f>
        <v>2.3942448024172337E-14</v>
      </c>
      <c r="BF182" s="13">
        <f t="shared" si="167"/>
        <v>4.2480087102361523E-13</v>
      </c>
      <c r="BG182" s="20">
        <f t="shared" si="168"/>
        <v>7.8156128067489661E-13</v>
      </c>
      <c r="BH182" s="59">
        <f t="shared" si="116"/>
        <v>293.33333333333411</v>
      </c>
      <c r="BI182" s="59">
        <f ca="1">AVERAGE(OFFSET($BH$3,0,0,'Données projet'!$E$11+1,1))-AVERAGE(OFFSET($H$3,0,0,'Données projet'!$E$11+1,1))</f>
        <v>179.55753939285887</v>
      </c>
      <c r="BJ182" s="59">
        <f t="shared" si="146"/>
        <v>147.29214162149162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52.742888894237495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52.742888894237495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-2.8421709430404007E-13</v>
      </c>
      <c r="O183" s="13">
        <f>N183*VLOOKUP('Données projet'!$B$9,Paramètres!$A$1:$I$89,3,0)*VLOOKUP('Données projet'!$B$9,Paramètres!$A$1:$I$89,5,0)</f>
        <v>-1.69961822393816E-13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195.14508560011791</v>
      </c>
      <c r="T183" s="59">
        <f t="shared" si="142"/>
        <v>285.1531413455931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7.1127943250233914</v>
      </c>
      <c r="AA183" s="21">
        <f>EXP(-LN(2)/25)*AA182+(1-EXP(-LN(2)/25))/(LN(2)/25)*Calculateur!V183*Calculateur!X183*VLOOKUP('Données projet'!$B$9,Paramètres!$A$1:$I$89,3,0)*0.475*44/12</f>
        <v>1.134734574468296</v>
      </c>
      <c r="AB183" s="21">
        <f>EXP(-LN(2)/2)*AB182+(1-EXP(-LN(2)/2))/(LN(2)/2)*V183*Y183*VLOOKUP('Données projet'!$B$9,Paramètres!$A$1:$I$89,3,0)*0.475*44/12</f>
        <v>1.7773739373595911E-19</v>
      </c>
      <c r="AC183" s="22">
        <f t="shared" si="163"/>
        <v>8.2475288994916873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-2.8421709430404007E-13</v>
      </c>
      <c r="AJ183" s="13">
        <f>AI183*VLOOKUP('Données projet'!$B$10,Paramètres!$A$1:$I$89,3,0)*VLOOKUP('Données projet'!$B$10,Paramètres!$A$1:$I$89,5,0)</f>
        <v>-1.69961822393816E-13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195.14508560011791</v>
      </c>
      <c r="AO183" s="59">
        <f t="shared" si="144"/>
        <v>285.1531413455931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7.1127943250233914</v>
      </c>
      <c r="AV183" s="21">
        <f>EXP(-LN(2)/25)*AV182+(1-EXP(-LN(2)/25))/(LN(2)/25)*Calculateur!AQ183*Calculateur!AS183*VLOOKUP('Données projet'!$B$10,Paramètres!$A$1:$I$89,3,0)*0.475*44/12</f>
        <v>1.134734574468296</v>
      </c>
      <c r="AW183" s="21">
        <f>EXP(-LN(2)/2)*AW182+(1-EXP(-LN(2)/2))/(LN(2)/2)*AQ183*AT183*VLOOKUP('Données projet'!$B$10,Paramètres!$A$1:$I$89,3,0)*0.475*44/12</f>
        <v>1.7773739373595911E-19</v>
      </c>
      <c r="AX183" s="21">
        <f t="shared" si="166"/>
        <v>8.2475288994916873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2.8421709430404007E-14</v>
      </c>
      <c r="BE183" s="13">
        <f>BD183*VLOOKUP('Données projet'!$B$11,Paramètres!$A$1:$I$89,3,0)*VLOOKUP('Données projet'!$B$11,Paramètres!$A$1:$I$89,5,0)</f>
        <v>2.3942448024172337E-14</v>
      </c>
      <c r="BF183" s="13">
        <f t="shared" si="167"/>
        <v>4.2480087102361523E-13</v>
      </c>
      <c r="BG183" s="20">
        <f t="shared" si="168"/>
        <v>7.8156128067489661E-13</v>
      </c>
      <c r="BH183" s="59">
        <f t="shared" si="116"/>
        <v>293.33333333333411</v>
      </c>
      <c r="BI183" s="59">
        <f ca="1">AVERAGE(OFFSET($BH$3,0,0,'Données projet'!$E$11+1,1))-AVERAGE(OFFSET($H$3,0,0,'Données projet'!$E$11+1,1))</f>
        <v>179.55753939285887</v>
      </c>
      <c r="BJ183" s="59">
        <f t="shared" si="146"/>
        <v>147.29214162149162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51.708633013007201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51.708633013007201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-2.8421709430404007E-13</v>
      </c>
      <c r="O184" s="13">
        <f>N184*VLOOKUP('Données projet'!$B$9,Paramètres!$A$1:$I$89,3,0)*VLOOKUP('Données projet'!$B$9,Paramètres!$A$1:$I$89,5,0)</f>
        <v>-1.69961822393816E-13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195.14508560011791</v>
      </c>
      <c r="T184" s="59">
        <f t="shared" si="142"/>
        <v>285.1531413455931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6.9733167666858416</v>
      </c>
      <c r="AA184" s="21">
        <f>EXP(-LN(2)/25)*AA183+(1-EXP(-LN(2)/25))/(LN(2)/25)*Calculateur!V184*Calculateur!X184*VLOOKUP('Données projet'!$B$9,Paramètres!$A$1:$I$89,3,0)*0.475*44/12</f>
        <v>1.1037051978563626</v>
      </c>
      <c r="AB184" s="21">
        <f>EXP(-LN(2)/2)*AB183+(1-EXP(-LN(2)/2))/(LN(2)/2)*V184*Y184*VLOOKUP('Données projet'!$B$9,Paramètres!$A$1:$I$89,3,0)*0.475*44/12</f>
        <v>1.2567931638112008E-19</v>
      </c>
      <c r="AC184" s="22">
        <f t="shared" si="163"/>
        <v>8.0770219645422046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-2.8421709430404007E-13</v>
      </c>
      <c r="AJ184" s="13">
        <f>AI184*VLOOKUP('Données projet'!$B$10,Paramètres!$A$1:$I$89,3,0)*VLOOKUP('Données projet'!$B$10,Paramètres!$A$1:$I$89,5,0)</f>
        <v>-1.69961822393816E-13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195.14508560011791</v>
      </c>
      <c r="AO184" s="59">
        <f t="shared" si="144"/>
        <v>285.1531413455931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6.9733167666858416</v>
      </c>
      <c r="AV184" s="21">
        <f>EXP(-LN(2)/25)*AV183+(1-EXP(-LN(2)/25))/(LN(2)/25)*Calculateur!AQ184*Calculateur!AS184*VLOOKUP('Données projet'!$B$10,Paramètres!$A$1:$I$89,3,0)*0.475*44/12</f>
        <v>1.1037051978563626</v>
      </c>
      <c r="AW184" s="21">
        <f>EXP(-LN(2)/2)*AW183+(1-EXP(-LN(2)/2))/(LN(2)/2)*AQ184*AT184*VLOOKUP('Données projet'!$B$10,Paramètres!$A$1:$I$89,3,0)*0.475*44/12</f>
        <v>1.2567931638112008E-19</v>
      </c>
      <c r="AX184" s="21">
        <f t="shared" si="166"/>
        <v>8.0770219645422046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2.8421709430404007E-14</v>
      </c>
      <c r="BE184" s="13">
        <f>BD184*VLOOKUP('Données projet'!$B$11,Paramètres!$A$1:$I$89,3,0)*VLOOKUP('Données projet'!$B$11,Paramètres!$A$1:$I$89,5,0)</f>
        <v>2.3942448024172337E-14</v>
      </c>
      <c r="BF184" s="13">
        <f t="shared" si="167"/>
        <v>4.2480087102361523E-13</v>
      </c>
      <c r="BG184" s="20">
        <f t="shared" si="168"/>
        <v>7.8156128067489661E-13</v>
      </c>
      <c r="BH184" s="59">
        <f t="shared" si="116"/>
        <v>293.33333333333411</v>
      </c>
      <c r="BI184" s="59">
        <f ca="1">AVERAGE(OFFSET($BH$3,0,0,'Données projet'!$E$11+1,1))-AVERAGE(OFFSET($H$3,0,0,'Données projet'!$E$11+1,1))</f>
        <v>179.55753939285887</v>
      </c>
      <c r="BJ184" s="59">
        <f t="shared" si="146"/>
        <v>147.29214162149162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50.694658258774034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50.694658258774034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-2.8421709430404007E-13</v>
      </c>
      <c r="O185" s="13">
        <f>N185*VLOOKUP('Données projet'!$B$9,Paramètres!$A$1:$I$89,3,0)*VLOOKUP('Données projet'!$B$9,Paramètres!$A$1:$I$89,5,0)</f>
        <v>-1.69961822393816E-13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195.14508560011791</v>
      </c>
      <c r="T185" s="59">
        <f t="shared" si="142"/>
        <v>285.1531413455931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6.836574278194381</v>
      </c>
      <c r="AA185" s="21">
        <f>EXP(-LN(2)/25)*AA184+(1-EXP(-LN(2)/25))/(LN(2)/25)*Calculateur!V185*Calculateur!X185*VLOOKUP('Données projet'!$B$9,Paramètres!$A$1:$I$89,3,0)*0.475*44/12</f>
        <v>1.0735243211796466</v>
      </c>
      <c r="AB185" s="21">
        <f>EXP(-LN(2)/2)*AB184+(1-EXP(-LN(2)/2))/(LN(2)/2)*V185*Y185*VLOOKUP('Données projet'!$B$9,Paramètres!$A$1:$I$89,3,0)*0.475*44/12</f>
        <v>8.8868696867979556E-20</v>
      </c>
      <c r="AC185" s="22">
        <f t="shared" si="163"/>
        <v>7.9100985993740274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-2.8421709430404007E-13</v>
      </c>
      <c r="AJ185" s="13">
        <f>AI185*VLOOKUP('Données projet'!$B$10,Paramètres!$A$1:$I$89,3,0)*VLOOKUP('Données projet'!$B$10,Paramètres!$A$1:$I$89,5,0)</f>
        <v>-1.69961822393816E-13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195.14508560011791</v>
      </c>
      <c r="AO185" s="59">
        <f t="shared" si="144"/>
        <v>285.1531413455931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6.836574278194381</v>
      </c>
      <c r="AV185" s="21">
        <f>EXP(-LN(2)/25)*AV184+(1-EXP(-LN(2)/25))/(LN(2)/25)*Calculateur!AQ185*Calculateur!AS185*VLOOKUP('Données projet'!$B$10,Paramètres!$A$1:$I$89,3,0)*0.475*44/12</f>
        <v>1.0735243211796466</v>
      </c>
      <c r="AW185" s="21">
        <f>EXP(-LN(2)/2)*AW184+(1-EXP(-LN(2)/2))/(LN(2)/2)*AQ185*AT185*VLOOKUP('Données projet'!$B$10,Paramètres!$A$1:$I$89,3,0)*0.475*44/12</f>
        <v>8.8868696867979556E-20</v>
      </c>
      <c r="AX185" s="21">
        <f t="shared" si="166"/>
        <v>7.9100985993740274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2.8421709430404007E-14</v>
      </c>
      <c r="BE185" s="13">
        <f>BD185*VLOOKUP('Données projet'!$B$11,Paramètres!$A$1:$I$89,3,0)*VLOOKUP('Données projet'!$B$11,Paramètres!$A$1:$I$89,5,0)</f>
        <v>2.3942448024172337E-14</v>
      </c>
      <c r="BF185" s="13">
        <f t="shared" si="167"/>
        <v>4.2480087102361523E-13</v>
      </c>
      <c r="BG185" s="20">
        <f t="shared" si="168"/>
        <v>7.8156128067489661E-13</v>
      </c>
      <c r="BH185" s="59">
        <f t="shared" si="116"/>
        <v>293.33333333333411</v>
      </c>
      <c r="BI185" s="59">
        <f ca="1">AVERAGE(OFFSET($BH$3,0,0,'Données projet'!$E$11+1,1))-AVERAGE(OFFSET($H$3,0,0,'Données projet'!$E$11+1,1))</f>
        <v>179.55753939285887</v>
      </c>
      <c r="BJ185" s="59">
        <f t="shared" si="146"/>
        <v>147.29214162149162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49.700566931007849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49.700566931007849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-2.8421709430404007E-13</v>
      </c>
      <c r="O186" s="13">
        <f>N186*VLOOKUP('Données projet'!$B$9,Paramètres!$A$1:$I$89,3,0)*VLOOKUP('Données projet'!$B$9,Paramètres!$A$1:$I$89,5,0)</f>
        <v>-1.69961822393816E-13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195.14508560011791</v>
      </c>
      <c r="T186" s="59">
        <f t="shared" si="142"/>
        <v>285.1531413455931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6.7025132264975555</v>
      </c>
      <c r="AA186" s="21">
        <f>EXP(-LN(2)/25)*AA185+(1-EXP(-LN(2)/25))/(LN(2)/25)*Calculateur!V186*Calculateur!X186*VLOOKUP('Données projet'!$B$9,Paramètres!$A$1:$I$89,3,0)*0.475*44/12</f>
        <v>1.0441687421627988</v>
      </c>
      <c r="AB186" s="21">
        <f>EXP(-LN(2)/2)*AB185+(1-EXP(-LN(2)/2))/(LN(2)/2)*V186*Y186*VLOOKUP('Données projet'!$B$9,Paramètres!$A$1:$I$89,3,0)*0.475*44/12</f>
        <v>6.2839658190560041E-20</v>
      </c>
      <c r="AC186" s="22">
        <f t="shared" si="163"/>
        <v>7.7466819686603543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-2.8421709430404007E-13</v>
      </c>
      <c r="AJ186" s="13">
        <f>AI186*VLOOKUP('Données projet'!$B$10,Paramètres!$A$1:$I$89,3,0)*VLOOKUP('Données projet'!$B$10,Paramètres!$A$1:$I$89,5,0)</f>
        <v>-1.69961822393816E-13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195.14508560011791</v>
      </c>
      <c r="AO186" s="59">
        <f t="shared" si="144"/>
        <v>285.1531413455931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6.7025132264975555</v>
      </c>
      <c r="AV186" s="21">
        <f>EXP(-LN(2)/25)*AV185+(1-EXP(-LN(2)/25))/(LN(2)/25)*Calculateur!AQ186*Calculateur!AS186*VLOOKUP('Données projet'!$B$10,Paramètres!$A$1:$I$89,3,0)*0.475*44/12</f>
        <v>1.0441687421627988</v>
      </c>
      <c r="AW186" s="21">
        <f>EXP(-LN(2)/2)*AW185+(1-EXP(-LN(2)/2))/(LN(2)/2)*AQ186*AT186*VLOOKUP('Données projet'!$B$10,Paramètres!$A$1:$I$89,3,0)*0.475*44/12</f>
        <v>6.2839658190560041E-20</v>
      </c>
      <c r="AX186" s="21">
        <f t="shared" si="166"/>
        <v>7.7466819686603543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2.8421709430404007E-14</v>
      </c>
      <c r="BE186" s="13">
        <f>BD186*VLOOKUP('Données projet'!$B$11,Paramètres!$A$1:$I$89,3,0)*VLOOKUP('Données projet'!$B$11,Paramètres!$A$1:$I$89,5,0)</f>
        <v>2.3942448024172337E-14</v>
      </c>
      <c r="BF186" s="13">
        <f t="shared" si="167"/>
        <v>4.2480087102361523E-13</v>
      </c>
      <c r="BG186" s="20">
        <f t="shared" si="168"/>
        <v>7.8156128067489661E-13</v>
      </c>
      <c r="BH186" s="59">
        <f t="shared" si="116"/>
        <v>293.33333333333411</v>
      </c>
      <c r="BI186" s="59">
        <f ca="1">AVERAGE(OFFSET($BH$3,0,0,'Données projet'!$E$11+1,1))-AVERAGE(OFFSET($H$3,0,0,'Données projet'!$E$11+1,1))</f>
        <v>179.55753939285887</v>
      </c>
      <c r="BJ186" s="59">
        <f t="shared" si="146"/>
        <v>147.29214162149162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48.725969127843321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48.725969127843321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-2.8421709430404007E-13</v>
      </c>
      <c r="O187" s="13">
        <f>N187*VLOOKUP('Données projet'!$B$9,Paramètres!$A$1:$I$89,3,0)*VLOOKUP('Données projet'!$B$9,Paramètres!$A$1:$I$89,5,0)</f>
        <v>-1.69961822393816E-13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195.14508560011791</v>
      </c>
      <c r="T187" s="59">
        <f t="shared" si="142"/>
        <v>285.1531413455931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6.5710810302553373</v>
      </c>
      <c r="AA187" s="21">
        <f>EXP(-LN(2)/25)*AA186+(1-EXP(-LN(2)/25))/(LN(2)/25)*Calculateur!V187*Calculateur!X187*VLOOKUP('Données projet'!$B$9,Paramètres!$A$1:$I$89,3,0)*0.475*44/12</f>
        <v>1.0156158929979093</v>
      </c>
      <c r="AB187" s="21">
        <f>EXP(-LN(2)/2)*AB186+(1-EXP(-LN(2)/2))/(LN(2)/2)*V187*Y187*VLOOKUP('Données projet'!$B$9,Paramètres!$A$1:$I$89,3,0)*0.475*44/12</f>
        <v>4.4434348433989778E-20</v>
      </c>
      <c r="AC187" s="22">
        <f t="shared" si="163"/>
        <v>7.5866969232532462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-2.8421709430404007E-13</v>
      </c>
      <c r="AJ187" s="13">
        <f>AI187*VLOOKUP('Données projet'!$B$10,Paramètres!$A$1:$I$89,3,0)*VLOOKUP('Données projet'!$B$10,Paramètres!$A$1:$I$89,5,0)</f>
        <v>-1.69961822393816E-13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195.14508560011791</v>
      </c>
      <c r="AO187" s="59">
        <f t="shared" si="144"/>
        <v>285.1531413455931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6.5710810302553373</v>
      </c>
      <c r="AV187" s="21">
        <f>EXP(-LN(2)/25)*AV186+(1-EXP(-LN(2)/25))/(LN(2)/25)*Calculateur!AQ187*Calculateur!AS187*VLOOKUP('Données projet'!$B$10,Paramètres!$A$1:$I$89,3,0)*0.475*44/12</f>
        <v>1.0156158929979093</v>
      </c>
      <c r="AW187" s="21">
        <f>EXP(-LN(2)/2)*AW186+(1-EXP(-LN(2)/2))/(LN(2)/2)*AQ187*AT187*VLOOKUP('Données projet'!$B$10,Paramètres!$A$1:$I$89,3,0)*0.475*44/12</f>
        <v>4.4434348433989778E-20</v>
      </c>
      <c r="AX187" s="21">
        <f t="shared" si="166"/>
        <v>7.5866969232532462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2.8421709430404007E-14</v>
      </c>
      <c r="BE187" s="13">
        <f>BD187*VLOOKUP('Données projet'!$B$11,Paramètres!$A$1:$I$89,3,0)*VLOOKUP('Données projet'!$B$11,Paramètres!$A$1:$I$89,5,0)</f>
        <v>2.3942448024172337E-14</v>
      </c>
      <c r="BF187" s="13">
        <f t="shared" si="167"/>
        <v>4.2480087102361523E-13</v>
      </c>
      <c r="BG187" s="20">
        <f t="shared" si="168"/>
        <v>7.8156128067489661E-13</v>
      </c>
      <c r="BH187" s="59">
        <f t="shared" si="116"/>
        <v>293.33333333333411</v>
      </c>
      <c r="BI187" s="59">
        <f ca="1">AVERAGE(OFFSET($BH$3,0,0,'Données projet'!$E$11+1,1))-AVERAGE(OFFSET($H$3,0,0,'Données projet'!$E$11+1,1))</f>
        <v>179.55753939285887</v>
      </c>
      <c r="BJ187" s="59">
        <f t="shared" si="146"/>
        <v>147.29214162149162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47.770482593152884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47.770482593152884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-2.8421709430404007E-13</v>
      </c>
      <c r="O188" s="13">
        <f>N188*VLOOKUP('Données projet'!$B$9,Paramètres!$A$1:$I$89,3,0)*VLOOKUP('Données projet'!$B$9,Paramètres!$A$1:$I$89,5,0)</f>
        <v>-1.69961822393816E-13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195.14508560011791</v>
      </c>
      <c r="T188" s="59">
        <f t="shared" si="142"/>
        <v>285.1531413455931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6.4422261392157054</v>
      </c>
      <c r="AA188" s="21">
        <f>EXP(-LN(2)/25)*AA187+(1-EXP(-LN(2)/25))/(LN(2)/25)*Calculateur!V188*Calculateur!X188*VLOOKUP('Données projet'!$B$9,Paramètres!$A$1:$I$89,3,0)*0.475*44/12</f>
        <v>0.98784382299496287</v>
      </c>
      <c r="AB188" s="21">
        <f>EXP(-LN(2)/2)*AB187+(1-EXP(-LN(2)/2))/(LN(2)/2)*V188*Y188*VLOOKUP('Données projet'!$B$9,Paramètres!$A$1:$I$89,3,0)*0.475*44/12</f>
        <v>3.141982909528002E-20</v>
      </c>
      <c r="AC188" s="22">
        <f t="shared" si="163"/>
        <v>7.4300699622106681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-2.8421709430404007E-13</v>
      </c>
      <c r="AJ188" s="13">
        <f>AI188*VLOOKUP('Données projet'!$B$10,Paramètres!$A$1:$I$89,3,0)*VLOOKUP('Données projet'!$B$10,Paramètres!$A$1:$I$89,5,0)</f>
        <v>-1.69961822393816E-13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195.14508560011791</v>
      </c>
      <c r="AO188" s="59">
        <f t="shared" si="144"/>
        <v>285.1531413455931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6.4422261392157054</v>
      </c>
      <c r="AV188" s="21">
        <f>EXP(-LN(2)/25)*AV187+(1-EXP(-LN(2)/25))/(LN(2)/25)*Calculateur!AQ188*Calculateur!AS188*VLOOKUP('Données projet'!$B$10,Paramètres!$A$1:$I$89,3,0)*0.475*44/12</f>
        <v>0.98784382299496287</v>
      </c>
      <c r="AW188" s="21">
        <f>EXP(-LN(2)/2)*AW187+(1-EXP(-LN(2)/2))/(LN(2)/2)*AQ188*AT188*VLOOKUP('Données projet'!$B$10,Paramètres!$A$1:$I$89,3,0)*0.475*44/12</f>
        <v>3.141982909528002E-20</v>
      </c>
      <c r="AX188" s="21">
        <f t="shared" si="166"/>
        <v>7.4300699622106681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2.8421709430404007E-14</v>
      </c>
      <c r="BE188" s="13">
        <f>BD188*VLOOKUP('Données projet'!$B$11,Paramètres!$A$1:$I$89,3,0)*VLOOKUP('Données projet'!$B$11,Paramètres!$A$1:$I$89,5,0)</f>
        <v>2.3942448024172337E-14</v>
      </c>
      <c r="BF188" s="13">
        <f t="shared" si="167"/>
        <v>4.2480087102361523E-13</v>
      </c>
      <c r="BG188" s="20">
        <f t="shared" si="168"/>
        <v>7.8156128067489661E-13</v>
      </c>
      <c r="BH188" s="59">
        <f t="shared" si="116"/>
        <v>293.33333333333411</v>
      </c>
      <c r="BI188" s="59">
        <f ca="1">AVERAGE(OFFSET($BH$3,0,0,'Données projet'!$E$11+1,1))-AVERAGE(OFFSET($H$3,0,0,'Données projet'!$E$11+1,1))</f>
        <v>179.55753939285887</v>
      </c>
      <c r="BJ188" s="59">
        <f t="shared" si="146"/>
        <v>147.29214162149162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46.833732566618487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46.833732566618487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-2.8421709430404007E-13</v>
      </c>
      <c r="O189" s="13">
        <f>N189*VLOOKUP('Données projet'!$B$9,Paramètres!$A$1:$I$89,3,0)*VLOOKUP('Données projet'!$B$9,Paramètres!$A$1:$I$89,5,0)</f>
        <v>-1.69961822393816E-13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195.14508560011791</v>
      </c>
      <c r="T189" s="59">
        <f t="shared" si="142"/>
        <v>285.1531413455931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6.3158980139956373</v>
      </c>
      <c r="AA189" s="21">
        <f>EXP(-LN(2)/25)*AA188+(1-EXP(-LN(2)/25))/(LN(2)/25)*Calculateur!V189*Calculateur!X189*VLOOKUP('Données projet'!$B$9,Paramètres!$A$1:$I$89,3,0)*0.475*44/12</f>
        <v>0.96083118170671666</v>
      </c>
      <c r="AB189" s="21">
        <f>EXP(-LN(2)/2)*AB188+(1-EXP(-LN(2)/2))/(LN(2)/2)*V189*Y189*VLOOKUP('Données projet'!$B$9,Paramètres!$A$1:$I$89,3,0)*0.475*44/12</f>
        <v>2.2217174216994889E-20</v>
      </c>
      <c r="AC189" s="22">
        <f t="shared" si="163"/>
        <v>7.2767291957023543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-2.8421709430404007E-13</v>
      </c>
      <c r="AJ189" s="13">
        <f>AI189*VLOOKUP('Données projet'!$B$10,Paramètres!$A$1:$I$89,3,0)*VLOOKUP('Données projet'!$B$10,Paramètres!$A$1:$I$89,5,0)</f>
        <v>-1.69961822393816E-13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195.14508560011791</v>
      </c>
      <c r="AO189" s="59">
        <f t="shared" si="144"/>
        <v>285.1531413455931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6.3158980139956373</v>
      </c>
      <c r="AV189" s="21">
        <f>EXP(-LN(2)/25)*AV188+(1-EXP(-LN(2)/25))/(LN(2)/25)*Calculateur!AQ189*Calculateur!AS189*VLOOKUP('Données projet'!$B$10,Paramètres!$A$1:$I$89,3,0)*0.475*44/12</f>
        <v>0.96083118170671666</v>
      </c>
      <c r="AW189" s="21">
        <f>EXP(-LN(2)/2)*AW188+(1-EXP(-LN(2)/2))/(LN(2)/2)*AQ189*AT189*VLOOKUP('Données projet'!$B$10,Paramètres!$A$1:$I$89,3,0)*0.475*44/12</f>
        <v>2.2217174216994889E-20</v>
      </c>
      <c r="AX189" s="21">
        <f t="shared" si="166"/>
        <v>7.2767291957023543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2.8421709430404007E-14</v>
      </c>
      <c r="BE189" s="13">
        <f>BD189*VLOOKUP('Données projet'!$B$11,Paramètres!$A$1:$I$89,3,0)*VLOOKUP('Données projet'!$B$11,Paramètres!$A$1:$I$89,5,0)</f>
        <v>2.3942448024172337E-14</v>
      </c>
      <c r="BF189" s="13">
        <f t="shared" si="167"/>
        <v>4.2480087102361523E-13</v>
      </c>
      <c r="BG189" s="20">
        <f t="shared" si="168"/>
        <v>7.8156128067489661E-13</v>
      </c>
      <c r="BH189" s="59">
        <f t="shared" si="116"/>
        <v>293.33333333333411</v>
      </c>
      <c r="BI189" s="59">
        <f ca="1">AVERAGE(OFFSET($BH$3,0,0,'Données projet'!$E$11+1,1))-AVERAGE(OFFSET($H$3,0,0,'Données projet'!$E$11+1,1))</f>
        <v>179.55753939285887</v>
      </c>
      <c r="BJ189" s="59">
        <f t="shared" si="146"/>
        <v>147.29214162149162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45.915351636743331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45.915351636743331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-2.8421709430404007E-13</v>
      </c>
      <c r="O190" s="13">
        <f>N190*VLOOKUP('Données projet'!$B$9,Paramètres!$A$1:$I$89,3,0)*VLOOKUP('Données projet'!$B$9,Paramètres!$A$1:$I$89,5,0)</f>
        <v>-1.69961822393816E-13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195.14508560011791</v>
      </c>
      <c r="T190" s="59">
        <f t="shared" si="142"/>
        <v>285.1531413455931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6.1920471062585865</v>
      </c>
      <c r="AA190" s="21">
        <f>EXP(-LN(2)/25)*AA189+(1-EXP(-LN(2)/25))/(LN(2)/25)*Calculateur!V190*Calculateur!X190*VLOOKUP('Données projet'!$B$9,Paramètres!$A$1:$I$89,3,0)*0.475*44/12</f>
        <v>0.93455720251503061</v>
      </c>
      <c r="AB190" s="21">
        <f>EXP(-LN(2)/2)*AB189+(1-EXP(-LN(2)/2))/(LN(2)/2)*V190*Y190*VLOOKUP('Données projet'!$B$9,Paramètres!$A$1:$I$89,3,0)*0.475*44/12</f>
        <v>1.570991454764001E-20</v>
      </c>
      <c r="AC190" s="22">
        <f t="shared" si="163"/>
        <v>7.1266043087736168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-2.8421709430404007E-13</v>
      </c>
      <c r="AJ190" s="13">
        <f>AI190*VLOOKUP('Données projet'!$B$10,Paramètres!$A$1:$I$89,3,0)*VLOOKUP('Données projet'!$B$10,Paramètres!$A$1:$I$89,5,0)</f>
        <v>-1.69961822393816E-13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195.14508560011791</v>
      </c>
      <c r="AO190" s="59">
        <f t="shared" si="144"/>
        <v>285.1531413455931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6.1920471062585865</v>
      </c>
      <c r="AV190" s="21">
        <f>EXP(-LN(2)/25)*AV189+(1-EXP(-LN(2)/25))/(LN(2)/25)*Calculateur!AQ190*Calculateur!AS190*VLOOKUP('Données projet'!$B$10,Paramètres!$A$1:$I$89,3,0)*0.475*44/12</f>
        <v>0.93455720251503061</v>
      </c>
      <c r="AW190" s="21">
        <f>EXP(-LN(2)/2)*AW189+(1-EXP(-LN(2)/2))/(LN(2)/2)*AQ190*AT190*VLOOKUP('Données projet'!$B$10,Paramètres!$A$1:$I$89,3,0)*0.475*44/12</f>
        <v>1.570991454764001E-20</v>
      </c>
      <c r="AX190" s="21">
        <f t="shared" si="166"/>
        <v>7.1266043087736168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2.8421709430404007E-14</v>
      </c>
      <c r="BE190" s="13">
        <f>BD190*VLOOKUP('Données projet'!$B$11,Paramètres!$A$1:$I$89,3,0)*VLOOKUP('Données projet'!$B$11,Paramètres!$A$1:$I$89,5,0)</f>
        <v>2.3942448024172337E-14</v>
      </c>
      <c r="BF190" s="13">
        <f t="shared" si="167"/>
        <v>4.2480087102361523E-13</v>
      </c>
      <c r="BG190" s="20">
        <f t="shared" si="168"/>
        <v>7.8156128067489661E-13</v>
      </c>
      <c r="BH190" s="59">
        <f t="shared" si="116"/>
        <v>293.33333333333411</v>
      </c>
      <c r="BI190" s="59">
        <f ca="1">AVERAGE(OFFSET($BH$3,0,0,'Données projet'!$E$11+1,1))-AVERAGE(OFFSET($H$3,0,0,'Données projet'!$E$11+1,1))</f>
        <v>179.55753939285887</v>
      </c>
      <c r="BJ190" s="59">
        <f t="shared" si="146"/>
        <v>147.29214162149162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45.014979596745967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45.014979596745967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-2.8421709430404007E-13</v>
      </c>
      <c r="O191" s="13">
        <f>N191*VLOOKUP('Données projet'!$B$9,Paramètres!$A$1:$I$89,3,0)*VLOOKUP('Données projet'!$B$9,Paramètres!$A$1:$I$89,5,0)</f>
        <v>-1.69961822393816E-13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195.14508560011791</v>
      </c>
      <c r="T191" s="59">
        <f t="shared" si="142"/>
        <v>285.1531413455931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6.070624839280665</v>
      </c>
      <c r="AA191" s="21">
        <f>EXP(-LN(2)/25)*AA190+(1-EXP(-LN(2)/25))/(LN(2)/25)*Calculateur!V191*Calculateur!X191*VLOOKUP('Données projet'!$B$9,Paramètres!$A$1:$I$89,3,0)*0.475*44/12</f>
        <v>0.90900168666602976</v>
      </c>
      <c r="AB191" s="21">
        <f>EXP(-LN(2)/2)*AB190+(1-EXP(-LN(2)/2))/(LN(2)/2)*V191*Y191*VLOOKUP('Données projet'!$B$9,Paramètres!$A$1:$I$89,3,0)*0.475*44/12</f>
        <v>1.1108587108497445E-20</v>
      </c>
      <c r="AC191" s="22">
        <f t="shared" si="163"/>
        <v>6.9796265259466947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-2.8421709430404007E-13</v>
      </c>
      <c r="AJ191" s="13">
        <f>AI191*VLOOKUP('Données projet'!$B$10,Paramètres!$A$1:$I$89,3,0)*VLOOKUP('Données projet'!$B$10,Paramètres!$A$1:$I$89,5,0)</f>
        <v>-1.69961822393816E-13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195.14508560011791</v>
      </c>
      <c r="AO191" s="59">
        <f t="shared" si="144"/>
        <v>285.1531413455931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6.070624839280665</v>
      </c>
      <c r="AV191" s="21">
        <f>EXP(-LN(2)/25)*AV190+(1-EXP(-LN(2)/25))/(LN(2)/25)*Calculateur!AQ191*Calculateur!AS191*VLOOKUP('Données projet'!$B$10,Paramètres!$A$1:$I$89,3,0)*0.475*44/12</f>
        <v>0.90900168666602976</v>
      </c>
      <c r="AW191" s="21">
        <f>EXP(-LN(2)/2)*AW190+(1-EXP(-LN(2)/2))/(LN(2)/2)*AQ191*AT191*VLOOKUP('Données projet'!$B$10,Paramètres!$A$1:$I$89,3,0)*0.475*44/12</f>
        <v>1.1108587108497445E-20</v>
      </c>
      <c r="AX191" s="21">
        <f t="shared" si="166"/>
        <v>6.9796265259466947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2.8421709430404007E-14</v>
      </c>
      <c r="BE191" s="13">
        <f>BD191*VLOOKUP('Données projet'!$B$11,Paramètres!$A$1:$I$89,3,0)*VLOOKUP('Données projet'!$B$11,Paramètres!$A$1:$I$89,5,0)</f>
        <v>2.3942448024172337E-14</v>
      </c>
      <c r="BF191" s="13">
        <f t="shared" si="167"/>
        <v>4.2480087102361523E-13</v>
      </c>
      <c r="BG191" s="20">
        <f t="shared" si="168"/>
        <v>7.8156128067489661E-13</v>
      </c>
      <c r="BH191" s="59">
        <f t="shared" si="116"/>
        <v>293.33333333333411</v>
      </c>
      <c r="BI191" s="59">
        <f ca="1">AVERAGE(OFFSET($BH$3,0,0,'Données projet'!$E$11+1,1))-AVERAGE(OFFSET($H$3,0,0,'Données projet'!$E$11+1,1))</f>
        <v>179.55753939285887</v>
      </c>
      <c r="BJ191" s="59">
        <f t="shared" si="146"/>
        <v>147.29214162149162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44.132263303280233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44.132263303280233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-2.8421709430404007E-13</v>
      </c>
      <c r="O192" s="13">
        <f>N192*VLOOKUP('Données projet'!$B$9,Paramètres!$A$1:$I$89,3,0)*VLOOKUP('Données projet'!$B$9,Paramètres!$A$1:$I$89,5,0)</f>
        <v>-1.69961822393816E-13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195.14508560011791</v>
      </c>
      <c r="T192" s="59">
        <f t="shared" si="142"/>
        <v>285.1531413455931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5.9515835888979103</v>
      </c>
      <c r="AA192" s="21">
        <f>EXP(-LN(2)/25)*AA191+(1-EXP(-LN(2)/25))/(LN(2)/25)*Calculateur!V192*Calculateur!X192*VLOOKUP('Données projet'!$B$9,Paramètres!$A$1:$I$89,3,0)*0.475*44/12</f>
        <v>0.88414498774182604</v>
      </c>
      <c r="AB192" s="21">
        <f>EXP(-LN(2)/2)*AB191+(1-EXP(-LN(2)/2))/(LN(2)/2)*V192*Y192*VLOOKUP('Données projet'!$B$9,Paramètres!$A$1:$I$89,3,0)*0.475*44/12</f>
        <v>7.8549572738200051E-21</v>
      </c>
      <c r="AC192" s="22">
        <f t="shared" si="163"/>
        <v>6.8357285766397364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-2.8421709430404007E-13</v>
      </c>
      <c r="AJ192" s="13">
        <f>AI192*VLOOKUP('Données projet'!$B$10,Paramètres!$A$1:$I$89,3,0)*VLOOKUP('Données projet'!$B$10,Paramètres!$A$1:$I$89,5,0)</f>
        <v>-1.69961822393816E-13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195.14508560011791</v>
      </c>
      <c r="AO192" s="59">
        <f t="shared" si="144"/>
        <v>285.1531413455931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5.9515835888979103</v>
      </c>
      <c r="AV192" s="21">
        <f>EXP(-LN(2)/25)*AV191+(1-EXP(-LN(2)/25))/(LN(2)/25)*Calculateur!AQ192*Calculateur!AS192*VLOOKUP('Données projet'!$B$10,Paramètres!$A$1:$I$89,3,0)*0.475*44/12</f>
        <v>0.88414498774182604</v>
      </c>
      <c r="AW192" s="21">
        <f>EXP(-LN(2)/2)*AW191+(1-EXP(-LN(2)/2))/(LN(2)/2)*AQ192*AT192*VLOOKUP('Données projet'!$B$10,Paramètres!$A$1:$I$89,3,0)*0.475*44/12</f>
        <v>7.8549572738200051E-21</v>
      </c>
      <c r="AX192" s="21">
        <f t="shared" si="166"/>
        <v>6.8357285766397364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2.8421709430404007E-14</v>
      </c>
      <c r="BE192" s="13">
        <f>BD192*VLOOKUP('Données projet'!$B$11,Paramètres!$A$1:$I$89,3,0)*VLOOKUP('Données projet'!$B$11,Paramètres!$A$1:$I$89,5,0)</f>
        <v>2.3942448024172337E-14</v>
      </c>
      <c r="BF192" s="13">
        <f t="shared" si="167"/>
        <v>4.2480087102361523E-13</v>
      </c>
      <c r="BG192" s="20">
        <f t="shared" si="168"/>
        <v>7.8156128067489661E-13</v>
      </c>
      <c r="BH192" s="59">
        <f t="shared" si="116"/>
        <v>293.33333333333411</v>
      </c>
      <c r="BI192" s="59">
        <f ca="1">AVERAGE(OFFSET($BH$3,0,0,'Données projet'!$E$11+1,1))-AVERAGE(OFFSET($H$3,0,0,'Données projet'!$E$11+1,1))</f>
        <v>179.55753939285887</v>
      </c>
      <c r="BJ192" s="59">
        <f t="shared" si="146"/>
        <v>147.29214162149162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43.266856537925591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43.266856537925591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-2.8421709430404007E-13</v>
      </c>
      <c r="O193" s="13">
        <f>N193*VLOOKUP('Données projet'!$B$9,Paramètres!$A$1:$I$89,3,0)*VLOOKUP('Données projet'!$B$9,Paramètres!$A$1:$I$89,5,0)</f>
        <v>-1.69961822393816E-13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195.14508560011791</v>
      </c>
      <c r="T193" s="59">
        <f t="shared" si="142"/>
        <v>285.1531413455931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5.8348766648271679</v>
      </c>
      <c r="AA193" s="21">
        <f>EXP(-LN(2)/25)*AA192+(1-EXP(-LN(2)/25))/(LN(2)/25)*Calculateur!V193*Calculateur!X193*VLOOKUP('Données projet'!$B$9,Paramètres!$A$1:$I$89,3,0)*0.475*44/12</f>
        <v>0.85996799655686162</v>
      </c>
      <c r="AB193" s="21">
        <f>EXP(-LN(2)/2)*AB192+(1-EXP(-LN(2)/2))/(LN(2)/2)*V193*Y193*VLOOKUP('Données projet'!$B$9,Paramètres!$A$1:$I$89,3,0)*0.475*44/12</f>
        <v>5.5542935542487223E-21</v>
      </c>
      <c r="AC193" s="22">
        <f t="shared" si="163"/>
        <v>6.69484466138403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-2.8421709430404007E-13</v>
      </c>
      <c r="AJ193" s="13">
        <f>AI193*VLOOKUP('Données projet'!$B$10,Paramètres!$A$1:$I$89,3,0)*VLOOKUP('Données projet'!$B$10,Paramètres!$A$1:$I$89,5,0)</f>
        <v>-1.69961822393816E-13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195.14508560011791</v>
      </c>
      <c r="AO193" s="59">
        <f t="shared" si="144"/>
        <v>285.1531413455931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5.8348766648271679</v>
      </c>
      <c r="AV193" s="21">
        <f>EXP(-LN(2)/25)*AV192+(1-EXP(-LN(2)/25))/(LN(2)/25)*Calculateur!AQ193*Calculateur!AS193*VLOOKUP('Données projet'!$B$10,Paramètres!$A$1:$I$89,3,0)*0.475*44/12</f>
        <v>0.85996799655686162</v>
      </c>
      <c r="AW193" s="21">
        <f>EXP(-LN(2)/2)*AW192+(1-EXP(-LN(2)/2))/(LN(2)/2)*AQ193*AT193*VLOOKUP('Données projet'!$B$10,Paramètres!$A$1:$I$89,3,0)*0.475*44/12</f>
        <v>5.5542935542487223E-21</v>
      </c>
      <c r="AX193" s="21">
        <f t="shared" si="166"/>
        <v>6.69484466138403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2.8421709430404007E-14</v>
      </c>
      <c r="BE193" s="13">
        <f>BD193*VLOOKUP('Données projet'!$B$11,Paramètres!$A$1:$I$89,3,0)*VLOOKUP('Données projet'!$B$11,Paramètres!$A$1:$I$89,5,0)</f>
        <v>2.3942448024172337E-14</v>
      </c>
      <c r="BF193" s="13">
        <f t="shared" si="167"/>
        <v>4.2480087102361523E-13</v>
      </c>
      <c r="BG193" s="20">
        <f t="shared" si="168"/>
        <v>7.8156128067489661E-13</v>
      </c>
      <c r="BH193" s="59">
        <f t="shared" si="116"/>
        <v>293.33333333333411</v>
      </c>
      <c r="BI193" s="59">
        <f ca="1">AVERAGE(OFFSET($BH$3,0,0,'Données projet'!$E$11+1,1))-AVERAGE(OFFSET($H$3,0,0,'Données projet'!$E$11+1,1))</f>
        <v>179.55753939285887</v>
      </c>
      <c r="BJ193" s="59">
        <f t="shared" si="146"/>
        <v>147.29214162149162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42.418419871393546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42.418419871393546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-2.8421709430404007E-13</v>
      </c>
      <c r="O194" s="13">
        <f>N194*VLOOKUP('Données projet'!$B$9,Paramètres!$A$1:$I$89,3,0)*VLOOKUP('Données projet'!$B$9,Paramètres!$A$1:$I$89,5,0)</f>
        <v>-1.69961822393816E-13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195.14508560011791</v>
      </c>
      <c r="T194" s="59">
        <f t="shared" si="142"/>
        <v>285.1531413455931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5.7204582923532579</v>
      </c>
      <c r="AA194" s="21">
        <f>EXP(-LN(2)/25)*AA193+(1-EXP(-LN(2)/25))/(LN(2)/25)*Calculateur!V194*Calculateur!X194*VLOOKUP('Données projet'!$B$9,Paramètres!$A$1:$I$89,3,0)*0.475*44/12</f>
        <v>0.83645212646726275</v>
      </c>
      <c r="AB194" s="21">
        <f>EXP(-LN(2)/2)*AB193+(1-EXP(-LN(2)/2))/(LN(2)/2)*V194*Y194*VLOOKUP('Données projet'!$B$9,Paramètres!$A$1:$I$89,3,0)*0.475*44/12</f>
        <v>3.9274786369100025E-21</v>
      </c>
      <c r="AC194" s="22">
        <f t="shared" si="163"/>
        <v>6.5569104188205207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-2.8421709430404007E-13</v>
      </c>
      <c r="AJ194" s="13">
        <f>AI194*VLOOKUP('Données projet'!$B$10,Paramètres!$A$1:$I$89,3,0)*VLOOKUP('Données projet'!$B$10,Paramètres!$A$1:$I$89,5,0)</f>
        <v>-1.69961822393816E-13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195.14508560011791</v>
      </c>
      <c r="AO194" s="59">
        <f t="shared" si="144"/>
        <v>285.1531413455931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5.7204582923532579</v>
      </c>
      <c r="AV194" s="21">
        <f>EXP(-LN(2)/25)*AV193+(1-EXP(-LN(2)/25))/(LN(2)/25)*Calculateur!AQ194*Calculateur!AS194*VLOOKUP('Données projet'!$B$10,Paramètres!$A$1:$I$89,3,0)*0.475*44/12</f>
        <v>0.83645212646726275</v>
      </c>
      <c r="AW194" s="21">
        <f>EXP(-LN(2)/2)*AW193+(1-EXP(-LN(2)/2))/(LN(2)/2)*AQ194*AT194*VLOOKUP('Données projet'!$B$10,Paramètres!$A$1:$I$89,3,0)*0.475*44/12</f>
        <v>3.9274786369100025E-21</v>
      </c>
      <c r="AX194" s="21">
        <f t="shared" si="166"/>
        <v>6.5569104188205207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2.8421709430404007E-14</v>
      </c>
      <c r="BE194" s="13">
        <f>BD194*VLOOKUP('Données projet'!$B$11,Paramètres!$A$1:$I$89,3,0)*VLOOKUP('Données projet'!$B$11,Paramètres!$A$1:$I$89,5,0)</f>
        <v>2.3942448024172337E-14</v>
      </c>
      <c r="BF194" s="13">
        <f t="shared" si="167"/>
        <v>4.2480087102361523E-13</v>
      </c>
      <c r="BG194" s="20">
        <f t="shared" si="168"/>
        <v>7.8156128067489661E-13</v>
      </c>
      <c r="BH194" s="59">
        <f t="shared" si="116"/>
        <v>293.33333333333411</v>
      </c>
      <c r="BI194" s="59">
        <f ca="1">AVERAGE(OFFSET($BH$3,0,0,'Données projet'!$E$11+1,1))-AVERAGE(OFFSET($H$3,0,0,'Données projet'!$E$11+1,1))</f>
        <v>179.55753939285887</v>
      </c>
      <c r="BJ194" s="59">
        <f t="shared" si="146"/>
        <v>147.29214162149162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41.586620530396928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41.586620530396928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-2.8421709430404007E-13</v>
      </c>
      <c r="O195" s="13">
        <f>N195*VLOOKUP('Données projet'!$B$9,Paramètres!$A$1:$I$89,3,0)*VLOOKUP('Données projet'!$B$9,Paramètres!$A$1:$I$89,5,0)</f>
        <v>-1.69961822393816E-13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195.14508560011791</v>
      </c>
      <c r="T195" s="59">
        <f t="shared" si="142"/>
        <v>285.1531413455931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5.6082835943752452</v>
      </c>
      <c r="AA195" s="21">
        <f>EXP(-LN(2)/25)*AA194+(1-EXP(-LN(2)/25))/(LN(2)/25)*Calculateur!V195*Calculateur!X195*VLOOKUP('Données projet'!$B$9,Paramètres!$A$1:$I$89,3,0)*0.475*44/12</f>
        <v>0.81357929908190985</v>
      </c>
      <c r="AB195" s="21">
        <f>EXP(-LN(2)/2)*AB194+(1-EXP(-LN(2)/2))/(LN(2)/2)*V195*Y195*VLOOKUP('Données projet'!$B$9,Paramètres!$A$1:$I$89,3,0)*0.475*44/12</f>
        <v>2.7771467771243611E-21</v>
      </c>
      <c r="AC195" s="22">
        <f t="shared" si="163"/>
        <v>6.4218628934571553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-2.8421709430404007E-13</v>
      </c>
      <c r="AJ195" s="13">
        <f>AI195*VLOOKUP('Données projet'!$B$10,Paramètres!$A$1:$I$89,3,0)*VLOOKUP('Données projet'!$B$10,Paramètres!$A$1:$I$89,5,0)</f>
        <v>-1.69961822393816E-13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195.14508560011791</v>
      </c>
      <c r="AO195" s="59">
        <f t="shared" si="144"/>
        <v>285.1531413455931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5.6082835943752452</v>
      </c>
      <c r="AV195" s="21">
        <f>EXP(-LN(2)/25)*AV194+(1-EXP(-LN(2)/25))/(LN(2)/25)*Calculateur!AQ195*Calculateur!AS195*VLOOKUP('Données projet'!$B$10,Paramètres!$A$1:$I$89,3,0)*0.475*44/12</f>
        <v>0.81357929908190985</v>
      </c>
      <c r="AW195" s="21">
        <f>EXP(-LN(2)/2)*AW194+(1-EXP(-LN(2)/2))/(LN(2)/2)*AQ195*AT195*VLOOKUP('Données projet'!$B$10,Paramètres!$A$1:$I$89,3,0)*0.475*44/12</f>
        <v>2.7771467771243611E-21</v>
      </c>
      <c r="AX195" s="21">
        <f t="shared" si="166"/>
        <v>6.4218628934571553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2.8421709430404007E-14</v>
      </c>
      <c r="BE195" s="13">
        <f>BD195*VLOOKUP('Données projet'!$B$11,Paramètres!$A$1:$I$89,3,0)*VLOOKUP('Données projet'!$B$11,Paramètres!$A$1:$I$89,5,0)</f>
        <v>2.3942448024172337E-14</v>
      </c>
      <c r="BF195" s="13">
        <f t="shared" si="167"/>
        <v>4.2480087102361523E-13</v>
      </c>
      <c r="BG195" s="20">
        <f t="shared" si="168"/>
        <v>7.8156128067489661E-13</v>
      </c>
      <c r="BH195" s="59">
        <f t="shared" si="116"/>
        <v>293.33333333333411</v>
      </c>
      <c r="BI195" s="59">
        <f ca="1">AVERAGE(OFFSET($BH$3,0,0,'Données projet'!$E$11+1,1))-AVERAGE(OFFSET($H$3,0,0,'Données projet'!$E$11+1,1))</f>
        <v>179.55753939285887</v>
      </c>
      <c r="BJ195" s="59">
        <f t="shared" si="146"/>
        <v>147.29214162149162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40.771132267129751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40.771132267129751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-2.8421709430404007E-13</v>
      </c>
      <c r="O196" s="13">
        <f>N196*VLOOKUP('Données projet'!$B$9,Paramètres!$A$1:$I$89,3,0)*VLOOKUP('Données projet'!$B$9,Paramètres!$A$1:$I$89,5,0)</f>
        <v>-1.69961822393816E-13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195.14508560011791</v>
      </c>
      <c r="T196" s="59">
        <f t="shared" si="142"/>
        <v>285.1531413455931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5.4983085738047714</v>
      </c>
      <c r="AA196" s="21">
        <f>EXP(-LN(2)/25)*AA195+(1-EXP(-LN(2)/25))/(LN(2)/25)*Calculateur!V196*Calculateur!X196*VLOOKUP('Données projet'!$B$9,Paramètres!$A$1:$I$89,3,0)*0.475*44/12</f>
        <v>0.7913319303642391</v>
      </c>
      <c r="AB196" s="21">
        <f>EXP(-LN(2)/2)*AB195+(1-EXP(-LN(2)/2))/(LN(2)/2)*V196*Y196*VLOOKUP('Données projet'!$B$9,Paramètres!$A$1:$I$89,3,0)*0.475*44/12</f>
        <v>1.9637393184550013E-21</v>
      </c>
      <c r="AC196" s="22">
        <f t="shared" si="163"/>
        <v>6.2896405041690109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-2.8421709430404007E-13</v>
      </c>
      <c r="AJ196" s="13">
        <f>AI196*VLOOKUP('Données projet'!$B$10,Paramètres!$A$1:$I$89,3,0)*VLOOKUP('Données projet'!$B$10,Paramètres!$A$1:$I$89,5,0)</f>
        <v>-1.69961822393816E-13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195.14508560011791</v>
      </c>
      <c r="AO196" s="59">
        <f t="shared" si="144"/>
        <v>285.1531413455931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5.4983085738047714</v>
      </c>
      <c r="AV196" s="21">
        <f>EXP(-LN(2)/25)*AV195+(1-EXP(-LN(2)/25))/(LN(2)/25)*Calculateur!AQ196*Calculateur!AS196*VLOOKUP('Données projet'!$B$10,Paramètres!$A$1:$I$89,3,0)*0.475*44/12</f>
        <v>0.7913319303642391</v>
      </c>
      <c r="AW196" s="21">
        <f>EXP(-LN(2)/2)*AW195+(1-EXP(-LN(2)/2))/(LN(2)/2)*AQ196*AT196*VLOOKUP('Données projet'!$B$10,Paramètres!$A$1:$I$89,3,0)*0.475*44/12</f>
        <v>1.9637393184550013E-21</v>
      </c>
      <c r="AX196" s="21">
        <f t="shared" si="166"/>
        <v>6.2896405041690109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2.8421709430404007E-14</v>
      </c>
      <c r="BE196" s="13">
        <f>BD196*VLOOKUP('Données projet'!$B$11,Paramètres!$A$1:$I$89,3,0)*VLOOKUP('Données projet'!$B$11,Paramètres!$A$1:$I$89,5,0)</f>
        <v>2.3942448024172337E-14</v>
      </c>
      <c r="BF196" s="13">
        <f t="shared" si="167"/>
        <v>4.2480087102361523E-13</v>
      </c>
      <c r="BG196" s="20">
        <f t="shared" si="168"/>
        <v>7.8156128067489661E-13</v>
      </c>
      <c r="BH196" s="59">
        <f t="shared" ref="BH196:BH203" si="194">BG196+(AY196+AZ196)*44/12</f>
        <v>293.33333333333411</v>
      </c>
      <c r="BI196" s="59">
        <f ca="1">AVERAGE(OFFSET($BH$3,0,0,'Données projet'!$E$11+1,1))-AVERAGE(OFFSET($H$3,0,0,'Données projet'!$E$11+1,1))</f>
        <v>179.55753939285887</v>
      </c>
      <c r="BJ196" s="59">
        <f t="shared" si="146"/>
        <v>147.29214162149162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39.971635231306514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39.971635231306514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-2.8421709430404007E-13</v>
      </c>
      <c r="O197" s="13">
        <f>N197*VLOOKUP('Données projet'!$B$9,Paramètres!$A$1:$I$89,3,0)*VLOOKUP('Données projet'!$B$9,Paramètres!$A$1:$I$89,5,0)</f>
        <v>-1.69961822393816E-13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195.14508560011791</v>
      </c>
      <c r="T197" s="59">
        <f t="shared" ref="T197:T203" si="204">$T$3</f>
        <v>285.1531413455931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5.3904900963095459</v>
      </c>
      <c r="AA197" s="21">
        <f>EXP(-LN(2)/25)*AA196+(1-EXP(-LN(2)/25))/(LN(2)/25)*Calculateur!V197*Calculateur!X197*VLOOKUP('Données projet'!$B$9,Paramètres!$A$1:$I$89,3,0)*0.475*44/12</f>
        <v>0.76969291711409138</v>
      </c>
      <c r="AB197" s="21">
        <f>EXP(-LN(2)/2)*AB196+(1-EXP(-LN(2)/2))/(LN(2)/2)*V197*Y197*VLOOKUP('Données projet'!$B$9,Paramètres!$A$1:$I$89,3,0)*0.475*44/12</f>
        <v>1.3885733885621806E-21</v>
      </c>
      <c r="AC197" s="22">
        <f t="shared" si="163"/>
        <v>6.1601830134236373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-2.8421709430404007E-13</v>
      </c>
      <c r="AJ197" s="13">
        <f>AI197*VLOOKUP('Données projet'!$B$10,Paramètres!$A$1:$I$89,3,0)*VLOOKUP('Données projet'!$B$10,Paramètres!$A$1:$I$89,5,0)</f>
        <v>-1.69961822393816E-13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195.14508560011791</v>
      </c>
      <c r="AO197" s="59">
        <f t="shared" ref="AO197:AO203" si="205">$AO$3</f>
        <v>285.1531413455931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5.3904900963095459</v>
      </c>
      <c r="AV197" s="21">
        <f>EXP(-LN(2)/25)*AV196+(1-EXP(-LN(2)/25))/(LN(2)/25)*Calculateur!AQ197*Calculateur!AS197*VLOOKUP('Données projet'!$B$10,Paramètres!$A$1:$I$89,3,0)*0.475*44/12</f>
        <v>0.76969291711409138</v>
      </c>
      <c r="AW197" s="21">
        <f>EXP(-LN(2)/2)*AW196+(1-EXP(-LN(2)/2))/(LN(2)/2)*AQ197*AT197*VLOOKUP('Données projet'!$B$10,Paramètres!$A$1:$I$89,3,0)*0.475*44/12</f>
        <v>1.3885733885621806E-21</v>
      </c>
      <c r="AX197" s="21">
        <f t="shared" si="166"/>
        <v>6.1601830134236373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2.8421709430404007E-14</v>
      </c>
      <c r="BE197" s="13">
        <f>BD197*VLOOKUP('Données projet'!$B$11,Paramètres!$A$1:$I$89,3,0)*VLOOKUP('Données projet'!$B$11,Paramètres!$A$1:$I$89,5,0)</f>
        <v>2.3942448024172337E-14</v>
      </c>
      <c r="BF197" s="13">
        <f t="shared" si="167"/>
        <v>4.2480087102361523E-13</v>
      </c>
      <c r="BG197" s="20">
        <f t="shared" si="168"/>
        <v>7.8156128067489661E-13</v>
      </c>
      <c r="BH197" s="59">
        <f t="shared" si="194"/>
        <v>293.33333333333411</v>
      </c>
      <c r="BI197" s="59">
        <f ca="1">AVERAGE(OFFSET($BH$3,0,0,'Données projet'!$E$11+1,1))-AVERAGE(OFFSET($H$3,0,0,'Données projet'!$E$11+1,1))</f>
        <v>179.55753939285887</v>
      </c>
      <c r="BJ197" s="59">
        <f t="shared" ref="BJ197:BJ203" si="206">$BJ$3</f>
        <v>147.29214162149162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39.187815844710734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39.187815844710734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-2.8421709430404007E-13</v>
      </c>
      <c r="O198" s="13">
        <f>N198*VLOOKUP('Données projet'!$B$9,Paramètres!$A$1:$I$89,3,0)*VLOOKUP('Données projet'!$B$9,Paramètres!$A$1:$I$89,5,0)</f>
        <v>-1.69961822393816E-13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195.14508560011791</v>
      </c>
      <c r="T198" s="59">
        <f t="shared" si="204"/>
        <v>285.1531413455931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5.284785873395224</v>
      </c>
      <c r="AA198" s="21">
        <f>EXP(-LN(2)/25)*AA197+(1-EXP(-LN(2)/25))/(LN(2)/25)*Calculateur!V198*Calculateur!X198*VLOOKUP('Données projet'!$B$9,Paramètres!$A$1:$I$89,3,0)*0.475*44/12</f>
        <v>0.74864562381921518</v>
      </c>
      <c r="AB198" s="21">
        <f>EXP(-LN(2)/2)*AB197+(1-EXP(-LN(2)/2))/(LN(2)/2)*V198*Y198*VLOOKUP('Données projet'!$B$9,Paramètres!$A$1:$I$89,3,0)*0.475*44/12</f>
        <v>9.8186965922750064E-22</v>
      </c>
      <c r="AC198" s="22">
        <f t="shared" si="163"/>
        <v>6.0334314972144387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-2.8421709430404007E-13</v>
      </c>
      <c r="AJ198" s="13">
        <f>AI198*VLOOKUP('Données projet'!$B$10,Paramètres!$A$1:$I$89,3,0)*VLOOKUP('Données projet'!$B$10,Paramètres!$A$1:$I$89,5,0)</f>
        <v>-1.69961822393816E-13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195.14508560011791</v>
      </c>
      <c r="AO198" s="59">
        <f t="shared" si="205"/>
        <v>285.1531413455931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5.284785873395224</v>
      </c>
      <c r="AV198" s="21">
        <f>EXP(-LN(2)/25)*AV197+(1-EXP(-LN(2)/25))/(LN(2)/25)*Calculateur!AQ198*Calculateur!AS198*VLOOKUP('Données projet'!$B$10,Paramètres!$A$1:$I$89,3,0)*0.475*44/12</f>
        <v>0.74864562381921518</v>
      </c>
      <c r="AW198" s="21">
        <f>EXP(-LN(2)/2)*AW197+(1-EXP(-LN(2)/2))/(LN(2)/2)*AQ198*AT198*VLOOKUP('Données projet'!$B$10,Paramètres!$A$1:$I$89,3,0)*0.475*44/12</f>
        <v>9.8186965922750064E-22</v>
      </c>
      <c r="AX198" s="21">
        <f t="shared" si="166"/>
        <v>6.0334314972144387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2.8421709430404007E-14</v>
      </c>
      <c r="BE198" s="13">
        <f>BD198*VLOOKUP('Données projet'!$B$11,Paramètres!$A$1:$I$89,3,0)*VLOOKUP('Données projet'!$B$11,Paramètres!$A$1:$I$89,5,0)</f>
        <v>2.3942448024172337E-14</v>
      </c>
      <c r="BF198" s="13">
        <f t="shared" si="167"/>
        <v>4.2480087102361523E-13</v>
      </c>
      <c r="BG198" s="20">
        <f t="shared" si="168"/>
        <v>7.8156128067489661E-13</v>
      </c>
      <c r="BH198" s="59">
        <f t="shared" si="194"/>
        <v>293.33333333333411</v>
      </c>
      <c r="BI198" s="59">
        <f ca="1">AVERAGE(OFFSET($BH$3,0,0,'Données projet'!$E$11+1,1))-AVERAGE(OFFSET($H$3,0,0,'Données projet'!$E$11+1,1))</f>
        <v>179.55753939285887</v>
      </c>
      <c r="BJ198" s="59">
        <f t="shared" si="206"/>
        <v>147.29214162149162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38.419366678203474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38.419366678203474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-2.8421709430404007E-13</v>
      </c>
      <c r="O199" s="13">
        <f>N199*VLOOKUP('Données projet'!$B$9,Paramètres!$A$1:$I$89,3,0)*VLOOKUP('Données projet'!$B$9,Paramètres!$A$1:$I$89,5,0)</f>
        <v>-1.69961822393816E-13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195.14508560011791</v>
      </c>
      <c r="T199" s="59">
        <f t="shared" si="204"/>
        <v>285.1531413455931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5.1811544458190424</v>
      </c>
      <c r="AA199" s="21">
        <f>EXP(-LN(2)/25)*AA198+(1-EXP(-LN(2)/25))/(LN(2)/25)*Calculateur!V199*Calculateur!X199*VLOOKUP('Données projet'!$B$9,Paramètres!$A$1:$I$89,3,0)*0.475*44/12</f>
        <v>0.72817386986631638</v>
      </c>
      <c r="AB199" s="21">
        <f>EXP(-LN(2)/2)*AB198+(1-EXP(-LN(2)/2))/(LN(2)/2)*V199*Y199*VLOOKUP('Données projet'!$B$9,Paramètres!$A$1:$I$89,3,0)*0.475*44/12</f>
        <v>6.9428669428109028E-22</v>
      </c>
      <c r="AC199" s="22">
        <f t="shared" si="163"/>
        <v>5.9093283156853591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-2.8421709430404007E-13</v>
      </c>
      <c r="AJ199" s="13">
        <f>AI199*VLOOKUP('Données projet'!$B$10,Paramètres!$A$1:$I$89,3,0)*VLOOKUP('Données projet'!$B$10,Paramètres!$A$1:$I$89,5,0)</f>
        <v>-1.69961822393816E-13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195.14508560011791</v>
      </c>
      <c r="AO199" s="59">
        <f t="shared" si="205"/>
        <v>285.1531413455931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5.1811544458190424</v>
      </c>
      <c r="AV199" s="21">
        <f>EXP(-LN(2)/25)*AV198+(1-EXP(-LN(2)/25))/(LN(2)/25)*Calculateur!AQ199*Calculateur!AS199*VLOOKUP('Données projet'!$B$10,Paramètres!$A$1:$I$89,3,0)*0.475*44/12</f>
        <v>0.72817386986631638</v>
      </c>
      <c r="AW199" s="21">
        <f>EXP(-LN(2)/2)*AW198+(1-EXP(-LN(2)/2))/(LN(2)/2)*AQ199*AT199*VLOOKUP('Données projet'!$B$10,Paramètres!$A$1:$I$89,3,0)*0.475*44/12</f>
        <v>6.9428669428109028E-22</v>
      </c>
      <c r="AX199" s="21">
        <f t="shared" si="166"/>
        <v>5.9093283156853591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2.8421709430404007E-14</v>
      </c>
      <c r="BE199" s="13">
        <f>BD199*VLOOKUP('Données projet'!$B$11,Paramètres!$A$1:$I$89,3,0)*VLOOKUP('Données projet'!$B$11,Paramètres!$A$1:$I$89,5,0)</f>
        <v>2.3942448024172337E-14</v>
      </c>
      <c r="BF199" s="13">
        <f t="shared" si="167"/>
        <v>4.2480087102361523E-13</v>
      </c>
      <c r="BG199" s="20">
        <f t="shared" si="168"/>
        <v>7.8156128067489661E-13</v>
      </c>
      <c r="BH199" s="59">
        <f t="shared" si="194"/>
        <v>293.33333333333411</v>
      </c>
      <c r="BI199" s="59">
        <f ca="1">AVERAGE(OFFSET($BH$3,0,0,'Données projet'!$E$11+1,1))-AVERAGE(OFFSET($H$3,0,0,'Données projet'!$E$11+1,1))</f>
        <v>179.55753939285887</v>
      </c>
      <c r="BJ199" s="59">
        <f t="shared" si="206"/>
        <v>147.29214162149162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37.665986331143714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37.665986331143714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-2.8421709430404007E-13</v>
      </c>
      <c r="O200" s="13">
        <f>N200*VLOOKUP('Données projet'!$B$9,Paramètres!$A$1:$I$89,3,0)*VLOOKUP('Données projet'!$B$9,Paramètres!$A$1:$I$89,5,0)</f>
        <v>-1.69961822393816E-13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195.14508560011791</v>
      </c>
      <c r="T200" s="59">
        <f t="shared" si="204"/>
        <v>285.1531413455931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5.0795551673287003</v>
      </c>
      <c r="AA200" s="21">
        <f>EXP(-LN(2)/25)*AA199+(1-EXP(-LN(2)/25))/(LN(2)/25)*Calculateur!V200*Calculateur!X200*VLOOKUP('Données projet'!$B$9,Paramètres!$A$1:$I$89,3,0)*0.475*44/12</f>
        <v>0.7082619171018224</v>
      </c>
      <c r="AB200" s="21">
        <f>EXP(-LN(2)/2)*AB199+(1-EXP(-LN(2)/2))/(LN(2)/2)*V200*Y200*VLOOKUP('Données projet'!$B$9,Paramètres!$A$1:$I$89,3,0)*0.475*44/12</f>
        <v>4.9093482961375032E-22</v>
      </c>
      <c r="AC200" s="22">
        <f t="shared" si="163"/>
        <v>5.7878170844305226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-2.8421709430404007E-13</v>
      </c>
      <c r="AJ200" s="13">
        <f>AI200*VLOOKUP('Données projet'!$B$10,Paramètres!$A$1:$I$89,3,0)*VLOOKUP('Données projet'!$B$10,Paramètres!$A$1:$I$89,5,0)</f>
        <v>-1.69961822393816E-13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195.14508560011791</v>
      </c>
      <c r="AO200" s="59">
        <f t="shared" si="205"/>
        <v>285.1531413455931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5.0795551673287003</v>
      </c>
      <c r="AV200" s="21">
        <f>EXP(-LN(2)/25)*AV199+(1-EXP(-LN(2)/25))/(LN(2)/25)*Calculateur!AQ200*Calculateur!AS200*VLOOKUP('Données projet'!$B$10,Paramètres!$A$1:$I$89,3,0)*0.475*44/12</f>
        <v>0.7082619171018224</v>
      </c>
      <c r="AW200" s="21">
        <f>EXP(-LN(2)/2)*AW199+(1-EXP(-LN(2)/2))/(LN(2)/2)*AQ200*AT200*VLOOKUP('Données projet'!$B$10,Paramètres!$A$1:$I$89,3,0)*0.475*44/12</f>
        <v>4.9093482961375032E-22</v>
      </c>
      <c r="AX200" s="21">
        <f t="shared" si="166"/>
        <v>5.7878170844305226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2.8421709430404007E-14</v>
      </c>
      <c r="BE200" s="13">
        <f>BD200*VLOOKUP('Données projet'!$B$11,Paramètres!$A$1:$I$89,3,0)*VLOOKUP('Données projet'!$B$11,Paramètres!$A$1:$I$89,5,0)</f>
        <v>2.3942448024172337E-14</v>
      </c>
      <c r="BF200" s="13">
        <f t="shared" si="167"/>
        <v>4.2480087102361523E-13</v>
      </c>
      <c r="BG200" s="20">
        <f t="shared" si="168"/>
        <v>7.8156128067489661E-13</v>
      </c>
      <c r="BH200" s="59">
        <f t="shared" si="194"/>
        <v>293.33333333333411</v>
      </c>
      <c r="BI200" s="59">
        <f ca="1">AVERAGE(OFFSET($BH$3,0,0,'Données projet'!$E$11+1,1))-AVERAGE(OFFSET($H$3,0,0,'Données projet'!$E$11+1,1))</f>
        <v>179.55753939285887</v>
      </c>
      <c r="BJ200" s="59">
        <f t="shared" si="206"/>
        <v>147.29214162149162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36.927379313173155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36.927379313173155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-2.8421709430404007E-13</v>
      </c>
      <c r="O201" s="13">
        <f>N201*VLOOKUP('Données projet'!$B$9,Paramètres!$A$1:$I$89,3,0)*VLOOKUP('Données projet'!$B$9,Paramètres!$A$1:$I$89,5,0)</f>
        <v>-1.69961822393816E-13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195.14508560011791</v>
      </c>
      <c r="T201" s="59">
        <f t="shared" si="204"/>
        <v>285.1531413455931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4.9799481887201127</v>
      </c>
      <c r="AA201" s="21">
        <f>EXP(-LN(2)/25)*AA200+(1-EXP(-LN(2)/25))/(LN(2)/25)*Calculateur!V201*Calculateur!X201*VLOOKUP('Données projet'!$B$9,Paramètres!$A$1:$I$89,3,0)*0.475*44/12</f>
        <v>0.68889445773279756</v>
      </c>
      <c r="AB201" s="21">
        <f>EXP(-LN(2)/2)*AB200+(1-EXP(-LN(2)/2))/(LN(2)/2)*V201*Y201*VLOOKUP('Données projet'!$B$9,Paramètres!$A$1:$I$89,3,0)*0.475*44/12</f>
        <v>3.4714334714054514E-22</v>
      </c>
      <c r="AC201" s="22">
        <f t="shared" si="163"/>
        <v>5.6688426464529105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-2.8421709430404007E-13</v>
      </c>
      <c r="AJ201" s="13">
        <f>AI201*VLOOKUP('Données projet'!$B$10,Paramètres!$A$1:$I$89,3,0)*VLOOKUP('Données projet'!$B$10,Paramètres!$A$1:$I$89,5,0)</f>
        <v>-1.69961822393816E-13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195.14508560011791</v>
      </c>
      <c r="AO201" s="59">
        <f t="shared" si="205"/>
        <v>285.1531413455931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4.9799481887201127</v>
      </c>
      <c r="AV201" s="21">
        <f>EXP(-LN(2)/25)*AV200+(1-EXP(-LN(2)/25))/(LN(2)/25)*Calculateur!AQ201*Calculateur!AS201*VLOOKUP('Données projet'!$B$10,Paramètres!$A$1:$I$89,3,0)*0.475*44/12</f>
        <v>0.68889445773279756</v>
      </c>
      <c r="AW201" s="21">
        <f>EXP(-LN(2)/2)*AW200+(1-EXP(-LN(2)/2))/(LN(2)/2)*AQ201*AT201*VLOOKUP('Données projet'!$B$10,Paramètres!$A$1:$I$89,3,0)*0.475*44/12</f>
        <v>3.4714334714054514E-22</v>
      </c>
      <c r="AX201" s="21">
        <f t="shared" si="166"/>
        <v>5.6688426464529105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2.8421709430404007E-14</v>
      </c>
      <c r="BE201" s="13">
        <f>BD201*VLOOKUP('Données projet'!$B$11,Paramètres!$A$1:$I$89,3,0)*VLOOKUP('Données projet'!$B$11,Paramètres!$A$1:$I$89,5,0)</f>
        <v>2.3942448024172337E-14</v>
      </c>
      <c r="BF201" s="13">
        <f t="shared" si="167"/>
        <v>4.2480087102361523E-13</v>
      </c>
      <c r="BG201" s="20">
        <f t="shared" si="168"/>
        <v>7.8156128067489661E-13</v>
      </c>
      <c r="BH201" s="59">
        <f t="shared" si="194"/>
        <v>293.33333333333411</v>
      </c>
      <c r="BI201" s="59">
        <f ca="1">AVERAGE(OFFSET($BH$3,0,0,'Données projet'!$E$11+1,1))-AVERAGE(OFFSET($H$3,0,0,'Données projet'!$E$11+1,1))</f>
        <v>179.55753939285887</v>
      </c>
      <c r="BJ201" s="59">
        <f t="shared" si="206"/>
        <v>147.29214162149162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36.203255928319201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36.203255928319201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-2.8421709430404007E-13</v>
      </c>
      <c r="O202" s="13">
        <f>N202*VLOOKUP('Données projet'!$B$9,Paramètres!$A$1:$I$89,3,0)*VLOOKUP('Données projet'!$B$9,Paramètres!$A$1:$I$89,5,0)</f>
        <v>-1.69961822393816E-13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195.14508560011791</v>
      </c>
      <c r="T202" s="59">
        <f t="shared" si="204"/>
        <v>285.1531413455931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4.8822944422077814</v>
      </c>
      <c r="AA202" s="21">
        <f>EXP(-LN(2)/25)*AA201+(1-EXP(-LN(2)/25))/(LN(2)/25)*Calculateur!V202*Calculateur!X202*VLOOKUP('Données projet'!$B$9,Paramètres!$A$1:$I$89,3,0)*0.475*44/12</f>
        <v>0.67005660255870914</v>
      </c>
      <c r="AB202" s="21">
        <f>EXP(-LN(2)/2)*AB201+(1-EXP(-LN(2)/2))/(LN(2)/2)*V202*Y202*VLOOKUP('Données projet'!$B$9,Paramètres!$A$1:$I$89,3,0)*0.475*44/12</f>
        <v>2.4546741480687516E-22</v>
      </c>
      <c r="AC202" s="22">
        <f t="shared" si="163"/>
        <v>5.5523510447664908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-2.8421709430404007E-13</v>
      </c>
      <c r="AJ202" s="13">
        <f>AI202*VLOOKUP('Données projet'!$B$10,Paramètres!$A$1:$I$89,3,0)*VLOOKUP('Données projet'!$B$10,Paramètres!$A$1:$I$89,5,0)</f>
        <v>-1.69961822393816E-13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195.14508560011791</v>
      </c>
      <c r="AO202" s="59">
        <f t="shared" si="205"/>
        <v>285.1531413455931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4.8822944422077814</v>
      </c>
      <c r="AV202" s="21">
        <f>EXP(-LN(2)/25)*AV201+(1-EXP(-LN(2)/25))/(LN(2)/25)*Calculateur!AQ202*Calculateur!AS202*VLOOKUP('Données projet'!$B$10,Paramètres!$A$1:$I$89,3,0)*0.475*44/12</f>
        <v>0.67005660255870914</v>
      </c>
      <c r="AW202" s="21">
        <f>EXP(-LN(2)/2)*AW201+(1-EXP(-LN(2)/2))/(LN(2)/2)*AQ202*AT202*VLOOKUP('Données projet'!$B$10,Paramètres!$A$1:$I$89,3,0)*0.475*44/12</f>
        <v>2.4546741480687516E-22</v>
      </c>
      <c r="AX202" s="21">
        <f t="shared" si="166"/>
        <v>5.5523510447664908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2.8421709430404007E-14</v>
      </c>
      <c r="BE202" s="13">
        <f>BD202*VLOOKUP('Données projet'!$B$11,Paramètres!$A$1:$I$89,3,0)*VLOOKUP('Données projet'!$B$11,Paramètres!$A$1:$I$89,5,0)</f>
        <v>2.3942448024172337E-14</v>
      </c>
      <c r="BF202" s="13">
        <f t="shared" si="167"/>
        <v>4.2480087102361523E-13</v>
      </c>
      <c r="BG202" s="20">
        <f t="shared" si="168"/>
        <v>7.8156128067489661E-13</v>
      </c>
      <c r="BH202" s="59">
        <f t="shared" si="194"/>
        <v>293.33333333333411</v>
      </c>
      <c r="BI202" s="59">
        <f ca="1">AVERAGE(OFFSET($BH$3,0,0,'Données projet'!$E$11+1,1))-AVERAGE(OFFSET($H$3,0,0,'Données projet'!$E$11+1,1))</f>
        <v>179.55753939285887</v>
      </c>
      <c r="BJ202" s="59">
        <f t="shared" si="206"/>
        <v>147.29214162149162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35.493332161370581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35.493332161370581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-2.8421709430404007E-13</v>
      </c>
      <c r="O203" s="13">
        <f>N203*VLOOKUP('Données projet'!$B$9,Paramètres!$A$1:$I$89,3,0)*VLOOKUP('Données projet'!$B$9,Paramètres!$A$1:$I$89,5,0)</f>
        <v>-1.69961822393816E-13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195.14508560011791</v>
      </c>
      <c r="T203" s="59">
        <f t="shared" si="204"/>
        <v>285.1531413455931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4.7865556261016531</v>
      </c>
      <c r="AA203" s="21">
        <f>EXP(-LN(2)/25)*AA202+(1-EXP(-LN(2)/25))/(LN(2)/25)*Calculateur!V203*Calculateur!X203*VLOOKUP('Données projet'!$B$9,Paramètres!$A$1:$I$89,3,0)*0.475*44/12</f>
        <v>0.6517338695249959</v>
      </c>
      <c r="AB203" s="21">
        <f>EXP(-LN(2)/2)*AB202+(1-EXP(-LN(2)/2))/(LN(2)/2)*V203*Y203*VLOOKUP('Données projet'!$B$9,Paramètres!$A$1:$I$89,3,0)*0.475*44/12</f>
        <v>1.7357167357027257E-22</v>
      </c>
      <c r="AC203" s="22">
        <f t="shared" si="163"/>
        <v>5.4382894956266492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-2.8421709430404007E-13</v>
      </c>
      <c r="AJ203" s="13">
        <f>AI203*VLOOKUP('Données projet'!$B$10,Paramètres!$A$1:$I$89,3,0)*VLOOKUP('Données projet'!$B$10,Paramètres!$A$1:$I$89,5,0)</f>
        <v>-1.69961822393816E-13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195.14508560011791</v>
      </c>
      <c r="AO203" s="59">
        <f t="shared" si="205"/>
        <v>285.1531413455931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4.7865556261016531</v>
      </c>
      <c r="AV203" s="21">
        <f>EXP(-LN(2)/25)*AV202+(1-EXP(-LN(2)/25))/(LN(2)/25)*Calculateur!AQ203*Calculateur!AS203*VLOOKUP('Données projet'!$B$10,Paramètres!$A$1:$I$89,3,0)*0.475*44/12</f>
        <v>0.6517338695249959</v>
      </c>
      <c r="AW203" s="21">
        <f>EXP(-LN(2)/2)*AW202+(1-EXP(-LN(2)/2))/(LN(2)/2)*AQ203*AT203*VLOOKUP('Données projet'!$B$10,Paramètres!$A$1:$I$89,3,0)*0.475*44/12</f>
        <v>1.7357167357027257E-22</v>
      </c>
      <c r="AX203" s="21">
        <f t="shared" si="166"/>
        <v>5.4382894956266492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2.8421709430404007E-14</v>
      </c>
      <c r="BE203" s="13">
        <f>BD203*VLOOKUP('Données projet'!$B$11,Paramètres!$A$1:$I$89,3,0)*VLOOKUP('Données projet'!$B$11,Paramètres!$A$1:$I$89,5,0)</f>
        <v>2.3942448024172337E-14</v>
      </c>
      <c r="BF203" s="13">
        <f t="shared" si="167"/>
        <v>4.2480087102361523E-13</v>
      </c>
      <c r="BG203" s="20">
        <f t="shared" si="168"/>
        <v>7.8156128067489661E-13</v>
      </c>
      <c r="BH203" s="59">
        <f t="shared" si="194"/>
        <v>293.33333333333411</v>
      </c>
      <c r="BI203" s="59">
        <f ca="1">AVERAGE(OFFSET($BH$3,0,0,'Données projet'!$E$11+1,1))-AVERAGE(OFFSET($H$3,0,0,'Données projet'!$E$11+1,1))</f>
        <v>179.55753939285887</v>
      </c>
      <c r="BJ203" s="59">
        <f t="shared" si="206"/>
        <v>147.29214162149162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34.797329566481082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34.797329566481082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100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100</v>
      </c>
      <c r="BA204" s="81" t="s">
        <v>100</v>
      </c>
      <c r="BV204" s="81" t="s">
        <v>100</v>
      </c>
      <c r="CQ204" s="81" t="s">
        <v>100</v>
      </c>
      <c r="DL204" s="81" t="s">
        <v>100</v>
      </c>
      <c r="EG204" s="81" t="s">
        <v>100</v>
      </c>
      <c r="FB204" s="81" t="s">
        <v>100</v>
      </c>
      <c r="FW204" s="81" t="s">
        <v>100</v>
      </c>
      <c r="GR204" s="81" t="s">
        <v>100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1.401971325755863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1.401971325755863</v>
      </c>
      <c r="BA205" s="82">
        <f>EXP(LN('Données projet'!B88)/'Données projet'!A88)</f>
        <v>1.1361680879340259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101</v>
      </c>
      <c r="B1" s="112" t="s">
        <v>102</v>
      </c>
      <c r="C1" s="113" t="s">
        <v>103</v>
      </c>
      <c r="D1" s="112" t="s">
        <v>104</v>
      </c>
      <c r="E1" s="113" t="s">
        <v>105</v>
      </c>
      <c r="F1" s="113" t="s">
        <v>104</v>
      </c>
      <c r="G1" s="113" t="s">
        <v>106</v>
      </c>
      <c r="H1" s="113" t="s">
        <v>104</v>
      </c>
      <c r="I1" s="114" t="s">
        <v>107</v>
      </c>
      <c r="J1" s="78"/>
      <c r="K1" s="78"/>
      <c r="L1" s="78"/>
      <c r="M1" s="78"/>
      <c r="N1" s="78"/>
    </row>
    <row r="2" spans="1:16" x14ac:dyDescent="0.35">
      <c r="A2" s="115" t="s">
        <v>108</v>
      </c>
      <c r="B2" s="116" t="s">
        <v>109</v>
      </c>
      <c r="C2" s="117">
        <v>0.62</v>
      </c>
      <c r="D2" s="117" t="s">
        <v>110</v>
      </c>
      <c r="E2" s="117">
        <v>1.56</v>
      </c>
      <c r="F2" s="117" t="s">
        <v>111</v>
      </c>
      <c r="G2" s="118">
        <v>0.43</v>
      </c>
      <c r="H2" s="119" t="s">
        <v>112</v>
      </c>
      <c r="I2" s="120">
        <v>0.25</v>
      </c>
      <c r="J2" s="78"/>
      <c r="K2" s="78"/>
      <c r="L2" s="78"/>
      <c r="M2" s="78"/>
      <c r="N2" s="78"/>
      <c r="O2" s="285" t="s">
        <v>113</v>
      </c>
      <c r="P2" s="121">
        <v>0</v>
      </c>
    </row>
    <row r="3" spans="1:16" ht="15" thickBot="1" x14ac:dyDescent="0.4">
      <c r="A3" s="122" t="s">
        <v>114</v>
      </c>
      <c r="B3" s="123" t="s">
        <v>115</v>
      </c>
      <c r="C3" s="124">
        <v>0.64</v>
      </c>
      <c r="D3" s="124" t="s">
        <v>110</v>
      </c>
      <c r="E3" s="124">
        <v>1.56</v>
      </c>
      <c r="F3" s="125" t="s">
        <v>111</v>
      </c>
      <c r="G3" s="126">
        <v>0.43</v>
      </c>
      <c r="H3" s="124" t="s">
        <v>112</v>
      </c>
      <c r="I3" s="127">
        <v>0.25</v>
      </c>
      <c r="J3" s="78"/>
      <c r="K3" s="78"/>
      <c r="L3" s="78"/>
      <c r="M3" s="78"/>
      <c r="N3" s="78"/>
      <c r="O3" s="286"/>
      <c r="P3" s="128">
        <v>0.2</v>
      </c>
    </row>
    <row r="4" spans="1:16" ht="15" thickBot="1" x14ac:dyDescent="0.4">
      <c r="A4" s="122" t="s">
        <v>116</v>
      </c>
      <c r="B4" s="123" t="s">
        <v>117</v>
      </c>
      <c r="C4" s="124">
        <v>0.42</v>
      </c>
      <c r="D4" s="124" t="s">
        <v>110</v>
      </c>
      <c r="E4" s="124">
        <v>1.56</v>
      </c>
      <c r="F4" s="125" t="s">
        <v>111</v>
      </c>
      <c r="G4" s="126">
        <v>0.43</v>
      </c>
      <c r="H4" s="124" t="s">
        <v>112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118</v>
      </c>
      <c r="B5" s="123" t="s">
        <v>119</v>
      </c>
      <c r="C5" s="124">
        <v>0.42</v>
      </c>
      <c r="D5" s="124" t="s">
        <v>110</v>
      </c>
      <c r="E5" s="124">
        <v>1.56</v>
      </c>
      <c r="F5" s="125" t="s">
        <v>111</v>
      </c>
      <c r="G5" s="126">
        <v>0.43</v>
      </c>
      <c r="H5" s="124" t="s">
        <v>112</v>
      </c>
      <c r="I5" s="127">
        <v>0.25</v>
      </c>
      <c r="J5" s="78"/>
      <c r="K5" s="78"/>
      <c r="L5" s="78"/>
      <c r="M5" s="78"/>
      <c r="N5" s="78"/>
      <c r="O5" s="285" t="s">
        <v>120</v>
      </c>
      <c r="P5" s="121">
        <v>0</v>
      </c>
    </row>
    <row r="6" spans="1:16" x14ac:dyDescent="0.35">
      <c r="A6" s="122" t="s">
        <v>121</v>
      </c>
      <c r="B6" s="123" t="s">
        <v>122</v>
      </c>
      <c r="C6" s="124">
        <v>0.42</v>
      </c>
      <c r="D6" s="124" t="s">
        <v>110</v>
      </c>
      <c r="E6" s="124">
        <v>1.56</v>
      </c>
      <c r="F6" s="125" t="s">
        <v>111</v>
      </c>
      <c r="G6" s="126">
        <v>0.43</v>
      </c>
      <c r="H6" s="124" t="s">
        <v>112</v>
      </c>
      <c r="I6" s="127">
        <v>0.25</v>
      </c>
      <c r="J6" s="78"/>
      <c r="K6" s="78"/>
      <c r="L6" s="78"/>
      <c r="M6" s="78"/>
      <c r="N6" s="78"/>
      <c r="O6" s="287"/>
      <c r="P6" s="129">
        <v>0.05</v>
      </c>
    </row>
    <row r="7" spans="1:16" x14ac:dyDescent="0.35">
      <c r="A7" s="122" t="s">
        <v>123</v>
      </c>
      <c r="B7" s="123" t="s">
        <v>124</v>
      </c>
      <c r="C7" s="124">
        <v>0.52</v>
      </c>
      <c r="D7" s="124" t="s">
        <v>110</v>
      </c>
      <c r="E7" s="124">
        <v>1.56</v>
      </c>
      <c r="F7" s="125" t="s">
        <v>111</v>
      </c>
      <c r="G7" s="126">
        <v>0.43</v>
      </c>
      <c r="H7" s="124" t="s">
        <v>112</v>
      </c>
      <c r="I7" s="127">
        <v>0.25</v>
      </c>
      <c r="J7" s="78"/>
      <c r="K7" s="78"/>
      <c r="L7" s="78"/>
      <c r="M7" s="78"/>
      <c r="N7" s="78"/>
      <c r="O7" s="287"/>
      <c r="P7" s="129">
        <v>0.1</v>
      </c>
    </row>
    <row r="8" spans="1:16" ht="15" thickBot="1" x14ac:dyDescent="0.4">
      <c r="A8" s="122" t="s">
        <v>125</v>
      </c>
      <c r="B8" s="123" t="s">
        <v>126</v>
      </c>
      <c r="C8" s="124">
        <v>0.36</v>
      </c>
      <c r="D8" s="124" t="s">
        <v>110</v>
      </c>
      <c r="E8" s="124">
        <v>1.3</v>
      </c>
      <c r="F8" s="125" t="s">
        <v>111</v>
      </c>
      <c r="G8" s="126">
        <v>0.55000000000000004</v>
      </c>
      <c r="H8" s="124" t="s">
        <v>127</v>
      </c>
      <c r="I8" s="127">
        <v>0.43</v>
      </c>
      <c r="J8" s="78"/>
      <c r="K8" s="78"/>
      <c r="L8" s="78"/>
      <c r="M8" s="78"/>
      <c r="N8" s="78"/>
      <c r="O8" s="286"/>
      <c r="P8" s="128">
        <v>0.15</v>
      </c>
    </row>
    <row r="9" spans="1:16" ht="15" thickBot="1" x14ac:dyDescent="0.4">
      <c r="A9" s="122" t="s">
        <v>128</v>
      </c>
      <c r="B9" s="123" t="s">
        <v>129</v>
      </c>
      <c r="C9" s="124">
        <v>0.61</v>
      </c>
      <c r="D9" s="124" t="s">
        <v>110</v>
      </c>
      <c r="E9" s="124">
        <v>1.56</v>
      </c>
      <c r="F9" s="125" t="s">
        <v>111</v>
      </c>
      <c r="G9" s="126">
        <v>0.43</v>
      </c>
      <c r="H9" s="124" t="s">
        <v>112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130</v>
      </c>
      <c r="B10" s="123" t="s">
        <v>131</v>
      </c>
      <c r="C10" s="124">
        <v>0.66</v>
      </c>
      <c r="D10" s="124" t="s">
        <v>110</v>
      </c>
      <c r="E10" s="124">
        <v>1.56</v>
      </c>
      <c r="F10" s="125" t="s">
        <v>111</v>
      </c>
      <c r="G10" s="126">
        <v>0.43</v>
      </c>
      <c r="H10" s="124" t="s">
        <v>112</v>
      </c>
      <c r="I10" s="127">
        <v>0.25</v>
      </c>
      <c r="J10" s="78"/>
      <c r="K10" s="78"/>
      <c r="L10" s="78"/>
      <c r="M10" s="78"/>
      <c r="N10" s="78"/>
      <c r="O10" s="285" t="s">
        <v>132</v>
      </c>
      <c r="P10" s="121">
        <v>0</v>
      </c>
    </row>
    <row r="11" spans="1:16" ht="15" thickBot="1" x14ac:dyDescent="0.4">
      <c r="A11" s="122" t="s">
        <v>133</v>
      </c>
      <c r="B11" s="123" t="s">
        <v>134</v>
      </c>
      <c r="C11" s="124">
        <v>0.47</v>
      </c>
      <c r="D11" s="124" t="s">
        <v>110</v>
      </c>
      <c r="E11" s="124">
        <v>1.56</v>
      </c>
      <c r="F11" s="125" t="s">
        <v>111</v>
      </c>
      <c r="G11" s="126">
        <v>0.43</v>
      </c>
      <c r="H11" s="124" t="s">
        <v>112</v>
      </c>
      <c r="I11" s="127">
        <v>0.25</v>
      </c>
      <c r="J11" s="78"/>
      <c r="K11" s="78"/>
      <c r="L11" s="78"/>
      <c r="M11" s="78"/>
      <c r="N11" s="78"/>
      <c r="O11" s="286"/>
      <c r="P11" s="128">
        <v>0.1</v>
      </c>
    </row>
    <row r="12" spans="1:16" x14ac:dyDescent="0.35">
      <c r="A12" s="122" t="s">
        <v>135</v>
      </c>
      <c r="B12" s="123" t="s">
        <v>136</v>
      </c>
      <c r="C12" s="124">
        <v>0.67</v>
      </c>
      <c r="D12" s="124" t="s">
        <v>110</v>
      </c>
      <c r="E12" s="124">
        <v>1.56</v>
      </c>
      <c r="F12" s="125" t="s">
        <v>111</v>
      </c>
      <c r="G12" s="126">
        <v>0.43</v>
      </c>
      <c r="H12" s="124" t="s">
        <v>137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138</v>
      </c>
      <c r="B13" s="123" t="s">
        <v>139</v>
      </c>
      <c r="C13" s="124">
        <v>0.7</v>
      </c>
      <c r="D13" s="124" t="s">
        <v>110</v>
      </c>
      <c r="E13" s="124">
        <v>1.56</v>
      </c>
      <c r="F13" s="125" t="s">
        <v>111</v>
      </c>
      <c r="G13" s="126">
        <v>0.43</v>
      </c>
      <c r="H13" s="124" t="s">
        <v>137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140</v>
      </c>
      <c r="B14" s="123" t="s">
        <v>141</v>
      </c>
      <c r="C14" s="124">
        <v>0.54</v>
      </c>
      <c r="D14" s="124" t="s">
        <v>110</v>
      </c>
      <c r="E14" s="124">
        <v>1.56</v>
      </c>
      <c r="F14" s="125" t="s">
        <v>111</v>
      </c>
      <c r="G14" s="126">
        <v>0.43</v>
      </c>
      <c r="H14" s="124" t="s">
        <v>137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21</v>
      </c>
      <c r="B15" s="123" t="s">
        <v>142</v>
      </c>
      <c r="C15" s="124">
        <v>0.65</v>
      </c>
      <c r="D15" s="124" t="s">
        <v>110</v>
      </c>
      <c r="E15" s="124">
        <v>1.56</v>
      </c>
      <c r="F15" s="125" t="s">
        <v>111</v>
      </c>
      <c r="G15" s="126">
        <v>0.43</v>
      </c>
      <c r="H15" s="124" t="s">
        <v>137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143</v>
      </c>
      <c r="B16" s="123" t="s">
        <v>144</v>
      </c>
      <c r="C16" s="124">
        <v>0.56000000000000005</v>
      </c>
      <c r="D16" s="124" t="s">
        <v>110</v>
      </c>
      <c r="E16" s="124">
        <v>1.56</v>
      </c>
      <c r="F16" s="125" t="s">
        <v>111</v>
      </c>
      <c r="G16" s="126">
        <v>0.43</v>
      </c>
      <c r="H16" s="124" t="s">
        <v>137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145</v>
      </c>
      <c r="B17" s="123" t="s">
        <v>146</v>
      </c>
      <c r="C17" s="124">
        <v>0.57999999999999996</v>
      </c>
      <c r="D17" s="124" t="s">
        <v>110</v>
      </c>
      <c r="E17" s="124">
        <v>1.56</v>
      </c>
      <c r="F17" s="125" t="s">
        <v>111</v>
      </c>
      <c r="G17" s="126">
        <v>0.43</v>
      </c>
      <c r="H17" s="124" t="s">
        <v>137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147</v>
      </c>
      <c r="B18" s="123" t="s">
        <v>148</v>
      </c>
      <c r="C18" s="124">
        <v>0.64</v>
      </c>
      <c r="D18" s="124" t="s">
        <v>110</v>
      </c>
      <c r="E18" s="124">
        <v>1.56</v>
      </c>
      <c r="F18" s="125" t="s">
        <v>111</v>
      </c>
      <c r="G18" s="126">
        <v>0.43</v>
      </c>
      <c r="H18" s="124" t="s">
        <v>137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149</v>
      </c>
      <c r="B19" s="123" t="s">
        <v>150</v>
      </c>
      <c r="C19" s="124">
        <v>0.73</v>
      </c>
      <c r="D19" s="124" t="s">
        <v>110</v>
      </c>
      <c r="E19" s="124">
        <v>1.56</v>
      </c>
      <c r="F19" s="125" t="s">
        <v>111</v>
      </c>
      <c r="G19" s="126">
        <v>0.43</v>
      </c>
      <c r="H19" s="124" t="s">
        <v>137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151</v>
      </c>
      <c r="B20" s="123" t="s">
        <v>152</v>
      </c>
      <c r="C20" s="124">
        <v>0.69</v>
      </c>
      <c r="D20" s="124" t="s">
        <v>153</v>
      </c>
      <c r="E20" s="124">
        <v>1.56</v>
      </c>
      <c r="F20" s="125" t="s">
        <v>111</v>
      </c>
      <c r="G20" s="126">
        <v>0.43</v>
      </c>
      <c r="H20" s="124" t="s">
        <v>154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155</v>
      </c>
      <c r="B21" s="123" t="s">
        <v>156</v>
      </c>
      <c r="C21" s="124">
        <v>0.36</v>
      </c>
      <c r="D21" s="124" t="s">
        <v>110</v>
      </c>
      <c r="E21" s="124">
        <v>1.3</v>
      </c>
      <c r="F21" s="125" t="s">
        <v>111</v>
      </c>
      <c r="G21" s="126">
        <v>0.55000000000000004</v>
      </c>
      <c r="H21" s="124" t="s">
        <v>127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157</v>
      </c>
      <c r="B22" s="123" t="s">
        <v>158</v>
      </c>
      <c r="C22" s="124">
        <v>0.4</v>
      </c>
      <c r="D22" s="124" t="s">
        <v>110</v>
      </c>
      <c r="E22" s="124">
        <v>1.3</v>
      </c>
      <c r="F22" s="125" t="s">
        <v>111</v>
      </c>
      <c r="G22" s="126">
        <v>0.55000000000000004</v>
      </c>
      <c r="H22" s="124" t="s">
        <v>127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16</v>
      </c>
      <c r="B23" s="123" t="s">
        <v>159</v>
      </c>
      <c r="C23" s="124">
        <v>0.43</v>
      </c>
      <c r="D23" s="124" t="s">
        <v>110</v>
      </c>
      <c r="E23" s="124">
        <v>1.3</v>
      </c>
      <c r="F23" s="125" t="s">
        <v>111</v>
      </c>
      <c r="G23" s="126">
        <v>0.55000000000000004</v>
      </c>
      <c r="H23" s="124" t="s">
        <v>127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160</v>
      </c>
      <c r="B24" s="123" t="s">
        <v>161</v>
      </c>
      <c r="C24" s="124">
        <v>0.37</v>
      </c>
      <c r="D24" s="124" t="s">
        <v>110</v>
      </c>
      <c r="E24" s="124">
        <v>1.3</v>
      </c>
      <c r="F24" s="125" t="s">
        <v>111</v>
      </c>
      <c r="G24" s="126">
        <v>0.55000000000000004</v>
      </c>
      <c r="H24" s="124" t="s">
        <v>137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70</v>
      </c>
      <c r="B25" s="123" t="s">
        <v>162</v>
      </c>
      <c r="C25" s="124">
        <v>0.36</v>
      </c>
      <c r="D25" s="124" t="s">
        <v>110</v>
      </c>
      <c r="E25" s="124">
        <v>1.3</v>
      </c>
      <c r="F25" s="125" t="s">
        <v>111</v>
      </c>
      <c r="G25" s="126">
        <v>0.55000000000000004</v>
      </c>
      <c r="H25" s="124" t="s">
        <v>137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163</v>
      </c>
      <c r="B26" s="123" t="s">
        <v>164</v>
      </c>
      <c r="C26" s="124">
        <v>0.56000000000000005</v>
      </c>
      <c r="D26" s="124" t="s">
        <v>110</v>
      </c>
      <c r="E26" s="124">
        <v>1.56</v>
      </c>
      <c r="F26" s="125" t="s">
        <v>111</v>
      </c>
      <c r="G26" s="126">
        <v>0.53</v>
      </c>
      <c r="H26" s="124" t="s">
        <v>165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166</v>
      </c>
      <c r="B27" s="123" t="s">
        <v>167</v>
      </c>
      <c r="C27" s="124">
        <v>0.51</v>
      </c>
      <c r="D27" s="124" t="s">
        <v>110</v>
      </c>
      <c r="E27" s="124">
        <v>1.56</v>
      </c>
      <c r="F27" s="125" t="s">
        <v>111</v>
      </c>
      <c r="G27" s="126">
        <v>0.53</v>
      </c>
      <c r="H27" s="124" t="s">
        <v>165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168</v>
      </c>
      <c r="B28" s="123" t="s">
        <v>169</v>
      </c>
      <c r="C28" s="124">
        <v>0.51</v>
      </c>
      <c r="D28" s="124" t="s">
        <v>110</v>
      </c>
      <c r="E28" s="124">
        <v>1.56</v>
      </c>
      <c r="F28" s="125" t="s">
        <v>111</v>
      </c>
      <c r="G28" s="126">
        <v>0.53</v>
      </c>
      <c r="H28" s="124" t="s">
        <v>165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170</v>
      </c>
      <c r="B29" s="123" t="s">
        <v>170</v>
      </c>
      <c r="C29" s="124">
        <v>0.56000000000000005</v>
      </c>
      <c r="D29" s="124" t="s">
        <v>110</v>
      </c>
      <c r="E29" s="124">
        <v>1.56</v>
      </c>
      <c r="F29" s="125" t="s">
        <v>111</v>
      </c>
      <c r="G29" s="126">
        <v>0.53</v>
      </c>
      <c r="H29" s="124" t="s">
        <v>165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171</v>
      </c>
      <c r="B30" s="123" t="s">
        <v>172</v>
      </c>
      <c r="C30" s="124">
        <v>0.55000000000000004</v>
      </c>
      <c r="D30" s="124" t="s">
        <v>110</v>
      </c>
      <c r="E30" s="124">
        <v>1.56</v>
      </c>
      <c r="F30" s="125" t="s">
        <v>111</v>
      </c>
      <c r="G30" s="126">
        <v>0.53</v>
      </c>
      <c r="H30" s="124" t="s">
        <v>137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173</v>
      </c>
      <c r="B31" s="123" t="s">
        <v>174</v>
      </c>
      <c r="C31" s="124">
        <v>0.56000000000000005</v>
      </c>
      <c r="D31" s="124" t="s">
        <v>110</v>
      </c>
      <c r="E31" s="124">
        <v>1.56</v>
      </c>
      <c r="F31" s="125" t="s">
        <v>111</v>
      </c>
      <c r="G31" s="126">
        <v>0.43</v>
      </c>
      <c r="H31" s="124" t="s">
        <v>112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19</v>
      </c>
      <c r="B32" s="123" t="s">
        <v>175</v>
      </c>
      <c r="C32" s="124">
        <v>0.48</v>
      </c>
      <c r="D32" s="124" t="s">
        <v>110</v>
      </c>
      <c r="E32" s="124">
        <v>1.3</v>
      </c>
      <c r="F32" s="125" t="s">
        <v>111</v>
      </c>
      <c r="G32" s="126">
        <v>0.6</v>
      </c>
      <c r="H32" s="124" t="s">
        <v>176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177</v>
      </c>
      <c r="B33" s="123" t="s">
        <v>178</v>
      </c>
      <c r="C33" s="124">
        <v>0.42</v>
      </c>
      <c r="D33" s="124" t="s">
        <v>110</v>
      </c>
      <c r="E33" s="124">
        <v>1.3</v>
      </c>
      <c r="F33" s="125" t="s">
        <v>111</v>
      </c>
      <c r="G33" s="126">
        <v>0.6</v>
      </c>
      <c r="H33" s="124" t="s">
        <v>176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179</v>
      </c>
      <c r="B34" s="123" t="s">
        <v>180</v>
      </c>
      <c r="C34" s="124">
        <v>0.42</v>
      </c>
      <c r="D34" s="124" t="s">
        <v>181</v>
      </c>
      <c r="E34" s="124">
        <v>1.3</v>
      </c>
      <c r="F34" s="125" t="s">
        <v>111</v>
      </c>
      <c r="G34" s="126">
        <v>0.6</v>
      </c>
      <c r="H34" s="123" t="s">
        <v>182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183</v>
      </c>
      <c r="B35" s="123" t="s">
        <v>184</v>
      </c>
      <c r="C35" s="124">
        <v>0.5</v>
      </c>
      <c r="D35" s="124" t="s">
        <v>110</v>
      </c>
      <c r="E35" s="124">
        <v>1.56</v>
      </c>
      <c r="F35" s="125" t="s">
        <v>111</v>
      </c>
      <c r="G35" s="126">
        <v>0.43</v>
      </c>
      <c r="H35" s="124" t="s">
        <v>112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185</v>
      </c>
      <c r="B36" s="123" t="s">
        <v>186</v>
      </c>
      <c r="C36" s="124">
        <v>0.55000000000000004</v>
      </c>
      <c r="D36" s="124" t="s">
        <v>110</v>
      </c>
      <c r="E36" s="124">
        <v>1.56</v>
      </c>
      <c r="F36" s="125" t="s">
        <v>111</v>
      </c>
      <c r="G36" s="126">
        <v>0.53</v>
      </c>
      <c r="H36" s="124" t="s">
        <v>165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187</v>
      </c>
      <c r="B37" s="123" t="s">
        <v>188</v>
      </c>
      <c r="C37" s="124">
        <v>0.52</v>
      </c>
      <c r="D37" s="124" t="s">
        <v>110</v>
      </c>
      <c r="E37" s="124">
        <v>1.56</v>
      </c>
      <c r="F37" s="125" t="s">
        <v>111</v>
      </c>
      <c r="G37" s="126">
        <v>0.53</v>
      </c>
      <c r="H37" s="124" t="s">
        <v>165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189</v>
      </c>
      <c r="B38" s="123" t="s">
        <v>190</v>
      </c>
      <c r="C38" s="124">
        <v>0.52</v>
      </c>
      <c r="D38" s="124" t="s">
        <v>110</v>
      </c>
      <c r="E38" s="124">
        <v>1.56</v>
      </c>
      <c r="F38" s="125" t="s">
        <v>111</v>
      </c>
      <c r="G38" s="126">
        <v>0.43</v>
      </c>
      <c r="H38" s="124" t="s">
        <v>112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191</v>
      </c>
      <c r="B39" s="123" t="s">
        <v>192</v>
      </c>
      <c r="C39" s="124">
        <v>0.313</v>
      </c>
      <c r="D39" s="124" t="s">
        <v>193</v>
      </c>
      <c r="E39" s="124">
        <v>1.56</v>
      </c>
      <c r="F39" s="125" t="s">
        <v>111</v>
      </c>
      <c r="G39" s="126">
        <v>0.6</v>
      </c>
      <c r="H39" s="124" t="s">
        <v>194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195</v>
      </c>
      <c r="B40" s="123" t="s">
        <v>192</v>
      </c>
      <c r="C40" s="124">
        <v>0.35199999999999998</v>
      </c>
      <c r="D40" s="124" t="s">
        <v>193</v>
      </c>
      <c r="E40" s="124">
        <v>1.56</v>
      </c>
      <c r="F40" s="125" t="s">
        <v>111</v>
      </c>
      <c r="G40" s="126">
        <v>0.6</v>
      </c>
      <c r="H40" s="124" t="s">
        <v>194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196</v>
      </c>
      <c r="B41" s="123" t="s">
        <v>192</v>
      </c>
      <c r="C41" s="124">
        <v>0.32200000000000001</v>
      </c>
      <c r="D41" s="124" t="s">
        <v>193</v>
      </c>
      <c r="E41" s="124">
        <v>1.56</v>
      </c>
      <c r="F41" s="125" t="s">
        <v>111</v>
      </c>
      <c r="G41" s="126">
        <v>0.6</v>
      </c>
      <c r="H41" s="124" t="s">
        <v>194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197</v>
      </c>
      <c r="B42" s="123" t="s">
        <v>192</v>
      </c>
      <c r="C42" s="124">
        <v>0.311</v>
      </c>
      <c r="D42" s="124" t="s">
        <v>193</v>
      </c>
      <c r="E42" s="124">
        <v>1.56</v>
      </c>
      <c r="F42" s="125" t="s">
        <v>111</v>
      </c>
      <c r="G42" s="126">
        <v>0.6</v>
      </c>
      <c r="H42" s="124" t="s">
        <v>194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198</v>
      </c>
      <c r="B43" s="123" t="s">
        <v>192</v>
      </c>
      <c r="C43" s="124">
        <v>0.33900000000000002</v>
      </c>
      <c r="D43" s="124" t="s">
        <v>193</v>
      </c>
      <c r="E43" s="124">
        <v>1.56</v>
      </c>
      <c r="F43" s="125" t="s">
        <v>111</v>
      </c>
      <c r="G43" s="126">
        <v>0.6</v>
      </c>
      <c r="H43" s="124" t="s">
        <v>194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199</v>
      </c>
      <c r="B44" s="123" t="s">
        <v>192</v>
      </c>
      <c r="C44" s="124">
        <v>0.33600000000000002</v>
      </c>
      <c r="D44" s="124" t="s">
        <v>193</v>
      </c>
      <c r="E44" s="124">
        <v>1.56</v>
      </c>
      <c r="F44" s="125" t="s">
        <v>111</v>
      </c>
      <c r="G44" s="126">
        <v>0.6</v>
      </c>
      <c r="H44" s="124" t="s">
        <v>194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200</v>
      </c>
      <c r="B45" s="123" t="s">
        <v>192</v>
      </c>
      <c r="C45" s="124">
        <v>0.32900000000000001</v>
      </c>
      <c r="D45" s="124" t="s">
        <v>193</v>
      </c>
      <c r="E45" s="124">
        <v>1.56</v>
      </c>
      <c r="F45" s="125" t="s">
        <v>111</v>
      </c>
      <c r="G45" s="126">
        <v>0.6</v>
      </c>
      <c r="H45" s="124" t="s">
        <v>194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201</v>
      </c>
      <c r="B46" s="123" t="s">
        <v>192</v>
      </c>
      <c r="C46" s="124">
        <v>0.34300000000000003</v>
      </c>
      <c r="D46" s="124" t="s">
        <v>193</v>
      </c>
      <c r="E46" s="124">
        <v>1.56</v>
      </c>
      <c r="F46" s="125" t="s">
        <v>111</v>
      </c>
      <c r="G46" s="126">
        <v>0.6</v>
      </c>
      <c r="H46" s="124" t="s">
        <v>194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202</v>
      </c>
      <c r="B47" s="123" t="s">
        <v>192</v>
      </c>
      <c r="C47" s="124">
        <v>0.32500000000000001</v>
      </c>
      <c r="D47" s="124" t="s">
        <v>193</v>
      </c>
      <c r="E47" s="124">
        <v>1.56</v>
      </c>
      <c r="F47" s="125" t="s">
        <v>111</v>
      </c>
      <c r="G47" s="126">
        <v>0.6</v>
      </c>
      <c r="H47" s="124" t="s">
        <v>194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203</v>
      </c>
      <c r="B48" s="123" t="s">
        <v>192</v>
      </c>
      <c r="C48" s="124">
        <v>0.32</v>
      </c>
      <c r="D48" s="124" t="s">
        <v>193</v>
      </c>
      <c r="E48" s="124">
        <v>1.56</v>
      </c>
      <c r="F48" s="125" t="s">
        <v>111</v>
      </c>
      <c r="G48" s="126">
        <v>0.6</v>
      </c>
      <c r="H48" s="124" t="s">
        <v>194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204</v>
      </c>
      <c r="B49" s="123" t="s">
        <v>192</v>
      </c>
      <c r="C49" s="124">
        <v>0.28199999999999997</v>
      </c>
      <c r="D49" s="124" t="s">
        <v>193</v>
      </c>
      <c r="E49" s="124">
        <v>1.56</v>
      </c>
      <c r="F49" s="125" t="s">
        <v>111</v>
      </c>
      <c r="G49" s="126">
        <v>0.6</v>
      </c>
      <c r="H49" s="124" t="s">
        <v>194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205</v>
      </c>
      <c r="B50" s="123" t="s">
        <v>192</v>
      </c>
      <c r="C50" s="124">
        <v>0.32800000000000001</v>
      </c>
      <c r="D50" s="124" t="s">
        <v>193</v>
      </c>
      <c r="E50" s="124">
        <v>1.56</v>
      </c>
      <c r="F50" s="125" t="s">
        <v>111</v>
      </c>
      <c r="G50" s="126">
        <v>0.6</v>
      </c>
      <c r="H50" s="124" t="s">
        <v>194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206</v>
      </c>
      <c r="B51" s="123" t="s">
        <v>192</v>
      </c>
      <c r="C51" s="124">
        <v>0.32600000000000001</v>
      </c>
      <c r="D51" s="124" t="s">
        <v>193</v>
      </c>
      <c r="E51" s="124">
        <v>1.56</v>
      </c>
      <c r="F51" s="125" t="s">
        <v>111</v>
      </c>
      <c r="G51" s="126">
        <v>0.6</v>
      </c>
      <c r="H51" s="124" t="s">
        <v>194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207</v>
      </c>
      <c r="B52" s="123" t="s">
        <v>192</v>
      </c>
      <c r="C52" s="124">
        <v>0.35899999999999999</v>
      </c>
      <c r="D52" s="124" t="s">
        <v>193</v>
      </c>
      <c r="E52" s="124">
        <v>1.56</v>
      </c>
      <c r="F52" s="125" t="s">
        <v>111</v>
      </c>
      <c r="G52" s="126">
        <v>0.6</v>
      </c>
      <c r="H52" s="124" t="s">
        <v>194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208</v>
      </c>
      <c r="B53" s="123" t="s">
        <v>192</v>
      </c>
      <c r="C53" s="124">
        <v>0.34599999999999997</v>
      </c>
      <c r="D53" s="124" t="s">
        <v>193</v>
      </c>
      <c r="E53" s="124">
        <v>1.56</v>
      </c>
      <c r="F53" s="125" t="s">
        <v>111</v>
      </c>
      <c r="G53" s="126">
        <v>0.6</v>
      </c>
      <c r="H53" s="124" t="s">
        <v>194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209</v>
      </c>
      <c r="B54" s="123" t="s">
        <v>192</v>
      </c>
      <c r="C54" s="124">
        <v>0.32600000000000001</v>
      </c>
      <c r="D54" s="124" t="s">
        <v>193</v>
      </c>
      <c r="E54" s="124">
        <v>1.56</v>
      </c>
      <c r="F54" s="125" t="s">
        <v>111</v>
      </c>
      <c r="G54" s="126">
        <v>0.6</v>
      </c>
      <c r="H54" s="124" t="s">
        <v>194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210</v>
      </c>
      <c r="B55" s="123" t="s">
        <v>192</v>
      </c>
      <c r="C55" s="124">
        <v>0.30499999999999999</v>
      </c>
      <c r="D55" s="124" t="s">
        <v>193</v>
      </c>
      <c r="E55" s="124">
        <v>1.56</v>
      </c>
      <c r="F55" s="125" t="s">
        <v>111</v>
      </c>
      <c r="G55" s="126">
        <v>0.6</v>
      </c>
      <c r="H55" s="124" t="s">
        <v>194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211</v>
      </c>
      <c r="B56" s="123" t="s">
        <v>192</v>
      </c>
      <c r="C56" s="124">
        <v>0.32300000000000001</v>
      </c>
      <c r="D56" s="124" t="s">
        <v>193</v>
      </c>
      <c r="E56" s="124">
        <v>1.56</v>
      </c>
      <c r="F56" s="125" t="s">
        <v>111</v>
      </c>
      <c r="G56" s="126">
        <v>0.6</v>
      </c>
      <c r="H56" s="124" t="s">
        <v>194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212</v>
      </c>
      <c r="B57" s="123" t="s">
        <v>192</v>
      </c>
      <c r="C57" s="124">
        <v>0.36699999999999999</v>
      </c>
      <c r="D57" s="124" t="s">
        <v>193</v>
      </c>
      <c r="E57" s="124">
        <v>1.56</v>
      </c>
      <c r="F57" s="125" t="s">
        <v>111</v>
      </c>
      <c r="G57" s="126">
        <v>0.6</v>
      </c>
      <c r="H57" s="124" t="s">
        <v>194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213</v>
      </c>
      <c r="B58" s="123" t="s">
        <v>192</v>
      </c>
      <c r="C58" s="124">
        <v>0.36</v>
      </c>
      <c r="D58" s="124" t="s">
        <v>193</v>
      </c>
      <c r="E58" s="124">
        <v>1.56</v>
      </c>
      <c r="F58" s="125" t="s">
        <v>111</v>
      </c>
      <c r="G58" s="126">
        <v>0.6</v>
      </c>
      <c r="H58" s="124" t="s">
        <v>194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214</v>
      </c>
      <c r="B59" s="123" t="s">
        <v>192</v>
      </c>
      <c r="C59" s="124">
        <v>0.36799999999999999</v>
      </c>
      <c r="D59" s="124" t="s">
        <v>193</v>
      </c>
      <c r="E59" s="124">
        <v>1.56</v>
      </c>
      <c r="F59" s="125" t="s">
        <v>111</v>
      </c>
      <c r="G59" s="126">
        <v>0.6</v>
      </c>
      <c r="H59" s="124" t="s">
        <v>194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215</v>
      </c>
      <c r="B60" s="123" t="s">
        <v>192</v>
      </c>
      <c r="C60" s="124">
        <v>0.30599999999999999</v>
      </c>
      <c r="D60" s="124" t="s">
        <v>193</v>
      </c>
      <c r="E60" s="124">
        <v>1.56</v>
      </c>
      <c r="F60" s="125" t="s">
        <v>111</v>
      </c>
      <c r="G60" s="126">
        <v>0.6</v>
      </c>
      <c r="H60" s="124" t="s">
        <v>194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216</v>
      </c>
      <c r="B61" s="123" t="s">
        <v>192</v>
      </c>
      <c r="C61" s="124">
        <v>0.313</v>
      </c>
      <c r="D61" s="124" t="s">
        <v>193</v>
      </c>
      <c r="E61" s="124">
        <v>1.56</v>
      </c>
      <c r="F61" s="125" t="s">
        <v>111</v>
      </c>
      <c r="G61" s="126">
        <v>0.6</v>
      </c>
      <c r="H61" s="124" t="s">
        <v>194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217</v>
      </c>
      <c r="B62" s="123" t="s">
        <v>218</v>
      </c>
      <c r="C62" s="124">
        <v>0.37</v>
      </c>
      <c r="D62" s="124" t="s">
        <v>110</v>
      </c>
      <c r="E62" s="124">
        <v>1.56</v>
      </c>
      <c r="F62" s="125" t="s">
        <v>111</v>
      </c>
      <c r="G62" s="126">
        <v>0.6</v>
      </c>
      <c r="H62" s="124" t="s">
        <v>194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219</v>
      </c>
      <c r="B63" s="123" t="s">
        <v>220</v>
      </c>
      <c r="C63" s="124">
        <v>0.45</v>
      </c>
      <c r="D63" s="124" t="s">
        <v>110</v>
      </c>
      <c r="E63" s="124">
        <v>1.3</v>
      </c>
      <c r="F63" s="125" t="s">
        <v>111</v>
      </c>
      <c r="G63" s="126">
        <v>0.45</v>
      </c>
      <c r="H63" s="124" t="s">
        <v>221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222</v>
      </c>
      <c r="B64" s="123" t="s">
        <v>223</v>
      </c>
      <c r="C64" s="124">
        <v>0.39</v>
      </c>
      <c r="D64" s="124" t="s">
        <v>110</v>
      </c>
      <c r="E64" s="124">
        <v>1.3</v>
      </c>
      <c r="F64" s="125" t="s">
        <v>111</v>
      </c>
      <c r="G64" s="126">
        <v>0.45</v>
      </c>
      <c r="H64" s="124" t="s">
        <v>221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224</v>
      </c>
      <c r="B65" s="123" t="s">
        <v>225</v>
      </c>
      <c r="C65" s="124">
        <v>0.44</v>
      </c>
      <c r="D65" s="124" t="s">
        <v>110</v>
      </c>
      <c r="E65" s="124">
        <v>1.3</v>
      </c>
      <c r="F65" s="125" t="s">
        <v>111</v>
      </c>
      <c r="G65" s="126">
        <v>0.45</v>
      </c>
      <c r="H65" s="124" t="s">
        <v>221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226</v>
      </c>
      <c r="B66" s="123" t="s">
        <v>227</v>
      </c>
      <c r="C66" s="124">
        <v>0.46</v>
      </c>
      <c r="D66" s="124" t="s">
        <v>110</v>
      </c>
      <c r="E66" s="124">
        <v>1.3</v>
      </c>
      <c r="F66" s="125" t="s">
        <v>111</v>
      </c>
      <c r="G66" s="126">
        <v>0.45</v>
      </c>
      <c r="H66" s="124" t="s">
        <v>221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228</v>
      </c>
      <c r="B67" s="123" t="s">
        <v>229</v>
      </c>
      <c r="C67" s="124">
        <v>0.46</v>
      </c>
      <c r="D67" s="124" t="s">
        <v>110</v>
      </c>
      <c r="E67" s="124">
        <v>1.3</v>
      </c>
      <c r="F67" s="125" t="s">
        <v>111</v>
      </c>
      <c r="G67" s="126">
        <v>0.45</v>
      </c>
      <c r="H67" s="124" t="s">
        <v>137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230</v>
      </c>
      <c r="B68" s="123" t="s">
        <v>231</v>
      </c>
      <c r="C68" s="124">
        <v>0.44</v>
      </c>
      <c r="D68" s="124" t="s">
        <v>110</v>
      </c>
      <c r="E68" s="124">
        <v>1.3</v>
      </c>
      <c r="F68" s="125" t="s">
        <v>111</v>
      </c>
      <c r="G68" s="126">
        <v>0.45</v>
      </c>
      <c r="H68" s="124" t="s">
        <v>221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232</v>
      </c>
      <c r="B69" s="123" t="s">
        <v>233</v>
      </c>
      <c r="C69" s="124">
        <v>0.46</v>
      </c>
      <c r="D69" s="124" t="s">
        <v>110</v>
      </c>
      <c r="E69" s="124">
        <v>1.3</v>
      </c>
      <c r="F69" s="125" t="s">
        <v>111</v>
      </c>
      <c r="G69" s="126">
        <v>0.45</v>
      </c>
      <c r="H69" s="124" t="s">
        <v>221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234</v>
      </c>
      <c r="B70" s="123" t="s">
        <v>235</v>
      </c>
      <c r="C70" s="124">
        <v>0.48</v>
      </c>
      <c r="D70" s="124" t="s">
        <v>110</v>
      </c>
      <c r="E70" s="124">
        <v>2.4</v>
      </c>
      <c r="F70" s="124" t="s">
        <v>236</v>
      </c>
      <c r="G70" s="126">
        <v>0.45</v>
      </c>
      <c r="H70" s="124" t="s">
        <v>221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237</v>
      </c>
      <c r="B71" s="123" t="s">
        <v>238</v>
      </c>
      <c r="C71" s="124">
        <v>0.46</v>
      </c>
      <c r="D71" s="124" t="s">
        <v>239</v>
      </c>
      <c r="E71" s="124">
        <v>1.3</v>
      </c>
      <c r="F71" s="125" t="s">
        <v>111</v>
      </c>
      <c r="G71" s="126">
        <v>0.45</v>
      </c>
      <c r="H71" s="124" t="s">
        <v>221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240</v>
      </c>
      <c r="B72" s="123" t="s">
        <v>241</v>
      </c>
      <c r="C72" s="124">
        <v>0.44</v>
      </c>
      <c r="D72" s="124" t="s">
        <v>110</v>
      </c>
      <c r="E72" s="124">
        <v>1.3</v>
      </c>
      <c r="F72" s="125" t="s">
        <v>111</v>
      </c>
      <c r="G72" s="126">
        <v>0.45</v>
      </c>
      <c r="H72" s="124" t="s">
        <v>221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242</v>
      </c>
      <c r="B73" s="123" t="s">
        <v>243</v>
      </c>
      <c r="C73" s="124">
        <v>0.46</v>
      </c>
      <c r="D73" s="124" t="s">
        <v>244</v>
      </c>
      <c r="E73" s="124">
        <v>1.3</v>
      </c>
      <c r="F73" s="125" t="s">
        <v>111</v>
      </c>
      <c r="G73" s="126">
        <v>0.45</v>
      </c>
      <c r="H73" s="124" t="s">
        <v>221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245</v>
      </c>
      <c r="B74" s="123" t="s">
        <v>246</v>
      </c>
      <c r="C74" s="124">
        <v>0.34</v>
      </c>
      <c r="D74" s="124" t="s">
        <v>110</v>
      </c>
      <c r="E74" s="124">
        <v>1.3</v>
      </c>
      <c r="F74" s="125" t="s">
        <v>111</v>
      </c>
      <c r="G74" s="126">
        <v>0.45</v>
      </c>
      <c r="H74" s="124" t="s">
        <v>221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247</v>
      </c>
      <c r="B75" s="123" t="s">
        <v>248</v>
      </c>
      <c r="C75" s="124">
        <v>0.5</v>
      </c>
      <c r="D75" s="124" t="s">
        <v>110</v>
      </c>
      <c r="E75" s="124">
        <v>1.56</v>
      </c>
      <c r="F75" s="125" t="s">
        <v>111</v>
      </c>
      <c r="G75" s="126">
        <v>0.53</v>
      </c>
      <c r="H75" s="124" t="s">
        <v>165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249</v>
      </c>
      <c r="B76" s="123" t="s">
        <v>250</v>
      </c>
      <c r="C76" s="124">
        <v>0.57999999999999996</v>
      </c>
      <c r="D76" s="124" t="s">
        <v>110</v>
      </c>
      <c r="E76" s="124">
        <v>1.56</v>
      </c>
      <c r="F76" s="125" t="s">
        <v>111</v>
      </c>
      <c r="G76" s="126">
        <v>0.3</v>
      </c>
      <c r="H76" s="124" t="s">
        <v>251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252</v>
      </c>
      <c r="B77" s="123" t="s">
        <v>253</v>
      </c>
      <c r="C77" s="124">
        <v>0.37</v>
      </c>
      <c r="D77" s="124" t="s">
        <v>110</v>
      </c>
      <c r="E77" s="124">
        <v>1.3</v>
      </c>
      <c r="F77" s="125" t="s">
        <v>111</v>
      </c>
      <c r="G77" s="126">
        <v>0.55000000000000004</v>
      </c>
      <c r="H77" s="124" t="s">
        <v>137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254</v>
      </c>
      <c r="B78" s="123" t="s">
        <v>255</v>
      </c>
      <c r="C78" s="124">
        <v>0.37</v>
      </c>
      <c r="D78" s="124" t="s">
        <v>110</v>
      </c>
      <c r="E78" s="124">
        <v>1.3</v>
      </c>
      <c r="F78" s="125" t="s">
        <v>111</v>
      </c>
      <c r="G78" s="126">
        <v>0.55000000000000004</v>
      </c>
      <c r="H78" s="124" t="s">
        <v>137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256</v>
      </c>
      <c r="B79" s="123" t="s">
        <v>257</v>
      </c>
      <c r="C79" s="124">
        <v>0.38</v>
      </c>
      <c r="D79" s="124" t="s">
        <v>110</v>
      </c>
      <c r="E79" s="124">
        <v>1.3</v>
      </c>
      <c r="F79" s="125" t="s">
        <v>111</v>
      </c>
      <c r="G79" s="126">
        <v>0.55000000000000004</v>
      </c>
      <c r="H79" s="124" t="s">
        <v>127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258</v>
      </c>
      <c r="B80" s="123" t="s">
        <v>259</v>
      </c>
      <c r="C80" s="124">
        <v>0.36</v>
      </c>
      <c r="D80" s="124" t="s">
        <v>110</v>
      </c>
      <c r="E80" s="124">
        <v>1.3</v>
      </c>
      <c r="F80" s="125" t="s">
        <v>111</v>
      </c>
      <c r="G80" s="126">
        <v>0.55000000000000004</v>
      </c>
      <c r="H80" s="124" t="s">
        <v>127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260</v>
      </c>
      <c r="B81" s="123" t="s">
        <v>261</v>
      </c>
      <c r="C81" s="124">
        <v>0.37</v>
      </c>
      <c r="D81" s="124" t="s">
        <v>110</v>
      </c>
      <c r="E81" s="124">
        <v>1.56</v>
      </c>
      <c r="F81" s="125" t="s">
        <v>111</v>
      </c>
      <c r="G81" s="126">
        <v>0.43</v>
      </c>
      <c r="H81" s="124" t="s">
        <v>112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262</v>
      </c>
      <c r="B82" s="123" t="s">
        <v>263</v>
      </c>
      <c r="C82" s="124">
        <v>0.35</v>
      </c>
      <c r="D82" s="124" t="s">
        <v>264</v>
      </c>
      <c r="E82" s="124">
        <v>1.3</v>
      </c>
      <c r="F82" s="125" t="s">
        <v>111</v>
      </c>
      <c r="G82" s="126">
        <v>0.55000000000000004</v>
      </c>
      <c r="H82" s="124" t="s">
        <v>127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265</v>
      </c>
      <c r="B83" s="123" t="s">
        <v>266</v>
      </c>
      <c r="C83" s="124">
        <v>0.34</v>
      </c>
      <c r="D83" s="124" t="s">
        <v>110</v>
      </c>
      <c r="E83" s="124">
        <v>1.3</v>
      </c>
      <c r="F83" s="125" t="s">
        <v>111</v>
      </c>
      <c r="G83" s="126">
        <v>0.55000000000000004</v>
      </c>
      <c r="H83" s="124" t="s">
        <v>127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267</v>
      </c>
      <c r="B84" s="123" t="s">
        <v>268</v>
      </c>
      <c r="C84" s="124">
        <v>0.31</v>
      </c>
      <c r="D84" s="124" t="s">
        <v>110</v>
      </c>
      <c r="E84" s="124">
        <v>1.3</v>
      </c>
      <c r="F84" s="125" t="s">
        <v>111</v>
      </c>
      <c r="G84" s="126">
        <v>0.55000000000000004</v>
      </c>
      <c r="H84" s="124" t="s">
        <v>127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269</v>
      </c>
      <c r="B85" s="123" t="s">
        <v>270</v>
      </c>
      <c r="C85" s="124">
        <v>0.43</v>
      </c>
      <c r="D85" s="124" t="s">
        <v>110</v>
      </c>
      <c r="E85" s="124">
        <v>1.56</v>
      </c>
      <c r="F85" s="125" t="s">
        <v>111</v>
      </c>
      <c r="G85" s="126">
        <v>0.53</v>
      </c>
      <c r="H85" s="124" t="s">
        <v>165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271</v>
      </c>
      <c r="B86" s="123" t="s">
        <v>272</v>
      </c>
      <c r="C86" s="124">
        <v>0.38</v>
      </c>
      <c r="D86" s="124" t="s">
        <v>110</v>
      </c>
      <c r="E86" s="124">
        <v>1.56</v>
      </c>
      <c r="F86" s="125" t="s">
        <v>111</v>
      </c>
      <c r="G86" s="126">
        <v>0.6</v>
      </c>
      <c r="H86" s="124" t="s">
        <v>273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274</v>
      </c>
      <c r="B87" s="252" t="s">
        <v>275</v>
      </c>
      <c r="C87" s="253">
        <v>0.41</v>
      </c>
      <c r="D87" s="253" t="s">
        <v>276</v>
      </c>
      <c r="E87" s="253">
        <v>1.56</v>
      </c>
      <c r="F87" s="254" t="s">
        <v>111</v>
      </c>
      <c r="G87" s="255">
        <v>0.43</v>
      </c>
      <c r="H87" s="253" t="s">
        <v>112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277</v>
      </c>
      <c r="B88" s="130"/>
      <c r="C88" s="124">
        <v>0.42</v>
      </c>
      <c r="D88" s="124" t="s">
        <v>110</v>
      </c>
      <c r="E88" s="124">
        <v>1.3</v>
      </c>
      <c r="F88" s="125" t="s">
        <v>111</v>
      </c>
      <c r="G88" s="131"/>
      <c r="H88" s="130"/>
      <c r="I88" s="132"/>
    </row>
    <row r="89" spans="1:14" ht="15" thickBot="1" x14ac:dyDescent="0.4">
      <c r="A89" s="133" t="s">
        <v>278</v>
      </c>
      <c r="B89" s="134"/>
      <c r="C89" s="135">
        <v>0.56999999999999995</v>
      </c>
      <c r="D89" s="136" t="s">
        <v>110</v>
      </c>
      <c r="E89" s="135">
        <v>1.56</v>
      </c>
      <c r="F89" s="135" t="s">
        <v>111</v>
      </c>
      <c r="G89" s="134"/>
      <c r="H89" s="134"/>
      <c r="I89" s="137"/>
    </row>
    <row r="93" spans="1:14" x14ac:dyDescent="0.35">
      <c r="A93" s="122" t="s">
        <v>71</v>
      </c>
    </row>
    <row r="94" spans="1:14" x14ac:dyDescent="0.35">
      <c r="A94" s="122" t="s">
        <v>72</v>
      </c>
    </row>
    <row r="95" spans="1:14" x14ac:dyDescent="0.35">
      <c r="A95" s="122" t="s">
        <v>73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10" sqref="F10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9" t="s">
        <v>56</v>
      </c>
      <c r="C2" s="290"/>
      <c r="D2" s="290"/>
      <c r="E2" s="290"/>
      <c r="F2" s="290"/>
      <c r="G2" s="291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8"/>
      <c r="C4" s="288"/>
      <c r="D4" s="288"/>
      <c r="E4" s="288"/>
      <c r="F4" s="288"/>
      <c r="G4" s="288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57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58</v>
      </c>
      <c r="C7" s="100" t="s">
        <v>59</v>
      </c>
      <c r="D7" s="215"/>
      <c r="E7" s="101"/>
      <c r="F7" s="26" t="s">
        <v>58</v>
      </c>
      <c r="G7" s="100" t="s">
        <v>60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61</v>
      </c>
      <c r="D8" s="23"/>
      <c r="E8" s="105">
        <v>4</v>
      </c>
      <c r="F8" s="61">
        <v>1</v>
      </c>
      <c r="G8" s="102" t="s">
        <v>62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63</v>
      </c>
      <c r="D9" s="23"/>
      <c r="E9" s="105">
        <v>5</v>
      </c>
      <c r="F9" s="61">
        <v>0</v>
      </c>
      <c r="G9" s="103" t="s">
        <v>64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65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66</v>
      </c>
      <c r="D13" s="216"/>
      <c r="E13" s="99"/>
      <c r="F13" s="107"/>
      <c r="G13" s="98" t="s">
        <v>67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68</v>
      </c>
      <c r="D14" s="216"/>
      <c r="E14" s="99"/>
      <c r="F14" s="107"/>
      <c r="G14" s="98" t="s">
        <v>69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58</v>
      </c>
      <c r="C15" s="4"/>
      <c r="D15" s="23"/>
      <c r="E15" s="4"/>
      <c r="F15" s="4"/>
      <c r="G15" s="2" t="s">
        <v>228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71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72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73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zoomScale="90" zoomScaleNormal="90" workbookViewId="0">
      <selection activeCell="E18" sqref="E1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9" t="s">
        <v>279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1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Pin maritime</v>
      </c>
      <c r="B6" s="146">
        <f>'Données projet'!D9</f>
        <v>16.016910000000003</v>
      </c>
      <c r="C6" s="147">
        <f ca="1">IF(OR('Données projet'!B9="",'Données projet'!C9="",'Données projet'!C9=0%),0,Calculateur!S3)</f>
        <v>195.14508560011791</v>
      </c>
      <c r="D6" s="147">
        <f>IF(OR('Données projet'!B9="",'Données projet'!C9="",'Données projet'!C9=0%),0,Calculateur!T3)</f>
        <v>285.1531413455931</v>
      </c>
      <c r="E6" s="147">
        <f ca="1">MIN(C6,D6)</f>
        <v>195.14508560011791</v>
      </c>
      <c r="F6" s="147">
        <f ca="1">E6*B6</f>
        <v>3125.6212729993849</v>
      </c>
      <c r="G6" s="147">
        <f ca="1">F6*(100%-'Données projet'!$C$24)*(100%-'Données projet'!$C$25)*(100%-'Données projet'!$C$26)*(100%-'Données projet'!$C$27)</f>
        <v>2391.1002738445295</v>
      </c>
      <c r="H6" s="148">
        <f>IF(OR('Données projet'!B9="",'Données projet'!C9="",'Données projet'!C9=0%),0,AVERAGE(Calculateur!$AC$3:$AC$33)*B6)</f>
        <v>211.4101375595184</v>
      </c>
      <c r="I6" s="149">
        <f>H6*(100%-'Données projet'!$C$24)*(100%-'Données projet'!$C$25)*(100%-'Données projet'!$C$26)*(100%-'Données projet'!$C$27)</f>
        <v>161.72875523303159</v>
      </c>
      <c r="J6" s="150">
        <f>IF(OR('Données projet'!B9="",'Données projet'!C9="",'Données projet'!C9=0%),0,SUM(Calculateur!$V$3:$V$33)*VLOOKUP('Données projet'!$B$9,Paramètres!$A$1:$I$89,9,0)*B6)</f>
        <v>1358.6886018300004</v>
      </c>
      <c r="K6" s="151">
        <f>J6*(100%-'Données projet'!$C$24)*(100%-'Données projet'!$C$25)*(100%-'Données projet'!$C$26)*(100%-'Données projet'!$C$27)</f>
        <v>1039.3967803999503</v>
      </c>
      <c r="L6" s="152">
        <f ca="1">G6+I6+K6</f>
        <v>3592.2258094775116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Pin taeda</v>
      </c>
      <c r="B7" s="154">
        <f>'Données projet'!D10</f>
        <v>4.3122449999999999</v>
      </c>
      <c r="C7" s="147">
        <f ca="1">IF(OR('Données projet'!B10="",'Données projet'!C10="",'Données projet'!C10=0%),0,Calculateur!AN3)</f>
        <v>195.14508560011791</v>
      </c>
      <c r="D7" s="147">
        <f>IF(OR('Données projet'!B10="",'Données projet'!C10="",'Données projet'!C10=0%),0,Calculateur!AO3)</f>
        <v>285.1531413455931</v>
      </c>
      <c r="E7" s="147">
        <f t="shared" ref="E7:E15" ca="1" si="0">MIN(C7,D7)</f>
        <v>195.14508560011791</v>
      </c>
      <c r="F7" s="147">
        <f t="shared" ref="F7:F15" ca="1" si="1">E7*B7</f>
        <v>841.51341965368044</v>
      </c>
      <c r="G7" s="147">
        <f ca="1">F7*(100%-'Données projet'!$C$24)*(100%-'Données projet'!$C$25)*(100%-'Données projet'!$C$26)*(100%-'Données projet'!$C$27)</f>
        <v>643.75776603506552</v>
      </c>
      <c r="H7" s="155">
        <f>IF(OR('Données projet'!B10="",'Données projet'!C10="",'Données projet'!C10=0%),0,AVERAGE(Calculateur!$AX$3:$AX$33)*B7)</f>
        <v>56.918113958331865</v>
      </c>
      <c r="I7" s="149">
        <f>H7*(100%-'Données projet'!$C$24)*(100%-'Données projet'!$C$25)*(100%-'Données projet'!$C$26)*(100%-'Données projet'!$C$27)</f>
        <v>43.542357178123879</v>
      </c>
      <c r="J7" s="150">
        <f>IF(OR('Données projet'!B10="",'Données projet'!C10="",'Données projet'!C10=0%),0,SUM(Calculateur!$AQ$3:$AQ$33)*VLOOKUP('Données projet'!$B$10,Paramètres!$A$1:$I$89,9,0)*B7)</f>
        <v>266.60056659115384</v>
      </c>
      <c r="K7" s="151">
        <f>J7*(100%-'Données projet'!$C$24)*(100%-'Données projet'!$C$25)*(100%-'Données projet'!$C$26)*(100%-'Données projet'!$C$27)</f>
        <v>203.94943344223267</v>
      </c>
      <c r="L7" s="152">
        <f t="shared" ref="L7:L15" ca="1" si="2">G7+I7+K7</f>
        <v>891.24955665542211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Chêne pédonculé</v>
      </c>
      <c r="B8" s="154">
        <f>'Données projet'!D11</f>
        <v>0.20534500000000003</v>
      </c>
      <c r="C8" s="147">
        <f ca="1">IF(OR('Données projet'!B11="",'Données projet'!C11="",'Données projet'!C11=0%),0,Calculateur!BI3)</f>
        <v>179.55753939285887</v>
      </c>
      <c r="D8" s="147">
        <f>IF(OR('Données projet'!B11="",'Données projet'!C11="",'Données projet'!C11=0%),0,Calculateur!BJ3)</f>
        <v>147.29214162149162</v>
      </c>
      <c r="E8" s="147">
        <f t="shared" ca="1" si="0"/>
        <v>147.29214162149162</v>
      </c>
      <c r="F8" s="147">
        <f t="shared" ca="1" si="1"/>
        <v>30.2457048212652</v>
      </c>
      <c r="G8" s="147">
        <f ca="1">F8*(100%-'Données projet'!$C$24)*(100%-'Données projet'!$C$25)*(100%-'Données projet'!$C$26)*(100%-'Données projet'!$C$27)</f>
        <v>23.137964188267876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23.137964188267876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3997.3803974743305</v>
      </c>
      <c r="G16" s="166">
        <f t="shared" ca="1" si="3"/>
        <v>3057.9960040678625</v>
      </c>
      <c r="H16" s="167">
        <f t="shared" si="3"/>
        <v>268.32825151785028</v>
      </c>
      <c r="I16" s="167">
        <f t="shared" si="3"/>
        <v>205.27111241115546</v>
      </c>
      <c r="J16" s="168">
        <f t="shared" si="3"/>
        <v>1625.2891684211543</v>
      </c>
      <c r="K16" s="168">
        <f t="shared" si="3"/>
        <v>1243.346213842183</v>
      </c>
      <c r="L16" s="169">
        <f t="shared" ca="1" si="3"/>
        <v>4506.6133303212018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92" t="s">
        <v>290</v>
      </c>
      <c r="G17" s="293"/>
      <c r="H17" s="293"/>
      <c r="I17" s="293"/>
      <c r="J17" s="293"/>
      <c r="K17" s="293"/>
      <c r="L17" s="293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88"/>
      <c r="G18" s="288"/>
      <c r="H18" s="288"/>
      <c r="I18" s="288"/>
      <c r="J18" s="288"/>
      <c r="K18" s="288"/>
      <c r="L18" s="288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Chêne pédonculé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80" zoomScaleNormal="80" workbookViewId="0">
      <selection activeCell="F26" sqref="F2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9" t="s">
        <v>291</v>
      </c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1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70" t="s">
        <v>292</v>
      </c>
      <c r="I4" s="270"/>
      <c r="K4" s="294" t="s">
        <v>293</v>
      </c>
      <c r="L4" s="295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56</v>
      </c>
      <c r="O7" s="247"/>
      <c r="P7" s="248"/>
      <c r="Q7" s="249"/>
      <c r="R7" s="304" t="s">
        <v>294</v>
      </c>
      <c r="S7" s="305"/>
      <c r="T7" s="305"/>
      <c r="U7" s="305"/>
      <c r="V7" s="30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-23537.655404664176</v>
      </c>
      <c r="U10" s="178">
        <f>'Données projet'!D9</f>
        <v>16.016910000000003</v>
      </c>
      <c r="V10" s="177">
        <f>U10*T10</f>
        <v>-377000.50822751975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-19014.908959308472</v>
      </c>
      <c r="U11" s="178">
        <f>'Données projet'!D10</f>
        <v>4.3122449999999999</v>
      </c>
      <c r="V11" s="177">
        <f t="shared" ref="V11" si="0">U11*T11</f>
        <v>-81996.946085233154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pédonculé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0.20534500000000003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75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97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47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97"/>
      <c r="H16" s="190"/>
      <c r="I16" s="191"/>
      <c r="J16" s="202"/>
      <c r="K16" s="208"/>
      <c r="L16" s="294" t="s">
        <v>311</v>
      </c>
      <c r="M16" s="295"/>
      <c r="N16" s="2">
        <v>45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192</v>
      </c>
      <c r="C17" s="198" t="s">
        <v>192</v>
      </c>
      <c r="D17" s="197" t="s">
        <v>192</v>
      </c>
      <c r="E17" s="193">
        <v>24834</v>
      </c>
      <c r="G17" s="297"/>
      <c r="J17" s="202"/>
      <c r="K17" s="208"/>
      <c r="L17" s="267" t="s">
        <v>312</v>
      </c>
      <c r="M17" s="269"/>
      <c r="N17" s="175">
        <f>VLOOKUP(N16,Calculateur!$A$2:$H$153,3,0)/VLOOKUP('Scénario référence'!$G$15,Paramètres!A1:I89,3,0)/VLOOKUP('Scénario référence'!$G$15,Paramètres!A1:I89,5,0)</f>
        <v>44.999999999999979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192</v>
      </c>
      <c r="C18" s="198" t="s">
        <v>192</v>
      </c>
      <c r="D18" s="197" t="s">
        <v>192</v>
      </c>
      <c r="E18" s="193"/>
      <c r="G18" s="297"/>
      <c r="J18" s="202"/>
      <c r="K18" s="208"/>
      <c r="L18" s="267" t="s">
        <v>308</v>
      </c>
      <c r="M18" s="269"/>
      <c r="N18" s="192">
        <v>150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192</v>
      </c>
      <c r="C19" s="198" t="s">
        <v>192</v>
      </c>
      <c r="D19" s="197" t="s">
        <v>192</v>
      </c>
      <c r="E19" s="193"/>
      <c r="F19" s="230"/>
      <c r="G19" s="297"/>
      <c r="H19" s="212" t="s">
        <v>75</v>
      </c>
      <c r="I19" s="212" t="s">
        <v>313</v>
      </c>
      <c r="J19" s="93"/>
      <c r="K19" s="173"/>
      <c r="L19" s="294" t="s">
        <v>314</v>
      </c>
      <c r="M19" s="295"/>
      <c r="N19" s="179">
        <f>N17*N18</f>
        <v>6749.9999999999964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192</v>
      </c>
      <c r="C20" s="198" t="s">
        <v>192</v>
      </c>
      <c r="D20" s="197" t="s">
        <v>192</v>
      </c>
      <c r="E20" s="193">
        <v>1129</v>
      </c>
      <c r="F20" s="230"/>
      <c r="G20" s="297"/>
      <c r="H20" s="190">
        <v>1</v>
      </c>
      <c r="I20" s="191">
        <v>2830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192</v>
      </c>
      <c r="C21" s="198" t="s">
        <v>192</v>
      </c>
      <c r="D21" s="197" t="s">
        <v>192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192</v>
      </c>
      <c r="C22" s="198" t="s">
        <v>192</v>
      </c>
      <c r="D22" s="197" t="s">
        <v>192</v>
      </c>
      <c r="E22" s="193">
        <v>1129</v>
      </c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14</v>
      </c>
      <c r="B23" s="181">
        <f>'Données projet'!D36</f>
        <v>35.969230769230769</v>
      </c>
      <c r="C23" s="193">
        <v>10</v>
      </c>
      <c r="D23" s="182">
        <f>B23*C23</f>
        <v>359.69230769230768</v>
      </c>
      <c r="E23" s="193">
        <v>150</v>
      </c>
      <c r="F23" s="230"/>
      <c r="H23" s="190"/>
      <c r="I23" s="191"/>
      <c r="K23" s="208"/>
      <c r="L23" s="296" t="s">
        <v>315</v>
      </c>
      <c r="M23" s="296"/>
      <c r="N23" s="296"/>
      <c r="O23" s="23"/>
      <c r="P23" s="23"/>
      <c r="Q23" s="234"/>
      <c r="R23" s="23"/>
      <c r="S23" s="36" t="s">
        <v>316</v>
      </c>
      <c r="T23" s="30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-514607.63134624576</v>
      </c>
      <c r="U23" s="309"/>
      <c r="V23" s="309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19</v>
      </c>
      <c r="B24" s="181">
        <f>'Données projet'!D37</f>
        <v>54.907692307692301</v>
      </c>
      <c r="C24" s="193">
        <v>18</v>
      </c>
      <c r="D24" s="182">
        <f t="shared" ref="D24:D42" si="2">B24*C24</f>
        <v>988.33846153846139</v>
      </c>
      <c r="E24" s="193">
        <v>150</v>
      </c>
      <c r="F24" s="233"/>
      <c r="H24" s="190"/>
      <c r="I24" s="191"/>
      <c r="K24" s="208"/>
      <c r="O24" s="23"/>
      <c r="P24" s="23"/>
      <c r="Q24" s="234"/>
      <c r="R24" s="23"/>
      <c r="S24" s="36" t="s">
        <v>317</v>
      </c>
      <c r="T24" s="310">
        <f ca="1">'Scénario référence'!$B$8*$M$30*'Données projet'!$C$5+('Scénario référence'!B9+'Scénario référence'!B10+'Scénario référence'!F8+'Scénario référence'!F9)*$N$19/(1+M4)^N16*'Données projet'!$C$5</f>
        <v>19122.947612380955</v>
      </c>
      <c r="U24" s="310"/>
      <c r="V24" s="310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25</v>
      </c>
      <c r="B25" s="181">
        <f>'Données projet'!D38</f>
        <v>52.9</v>
      </c>
      <c r="C25" s="193">
        <v>25</v>
      </c>
      <c r="D25" s="182">
        <f t="shared" si="2"/>
        <v>1322.5</v>
      </c>
      <c r="E25" s="193">
        <v>150</v>
      </c>
      <c r="F25" s="233"/>
      <c r="H25" s="190"/>
      <c r="I25" s="191"/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311">
        <f ca="1">T23-T24</f>
        <v>-533730.57895862672</v>
      </c>
      <c r="U25" s="311"/>
      <c r="V25" s="311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32</v>
      </c>
      <c r="B26" s="181">
        <f>'Données projet'!D39</f>
        <v>63.899999999999991</v>
      </c>
      <c r="C26" s="193">
        <v>25</v>
      </c>
      <c r="D26" s="182">
        <f t="shared" si="2"/>
        <v>1597.4999999999998</v>
      </c>
      <c r="E26" s="193">
        <v>150</v>
      </c>
      <c r="F26" s="233"/>
      <c r="G26" s="229"/>
      <c r="H26" s="190"/>
      <c r="I26" s="191"/>
      <c r="K26" s="208"/>
      <c r="L26" s="298" t="s">
        <v>320</v>
      </c>
      <c r="M26" s="299"/>
      <c r="N26" s="299"/>
      <c r="O26" s="299"/>
      <c r="P26" s="300"/>
      <c r="Q26" s="234"/>
      <c r="R26" s="23"/>
      <c r="S26" s="186" t="s">
        <v>321</v>
      </c>
      <c r="T26" s="308" t="str">
        <f ca="1">IF(T25&lt;0,"Votre projet est additionnel","Votre projet n'est pas additionnel")</f>
        <v>Votre projet est additionnel</v>
      </c>
      <c r="U26" s="308"/>
      <c r="V26" s="308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45</v>
      </c>
      <c r="B27" s="181">
        <f>'Données projet'!D40</f>
        <v>412.49230769230769</v>
      </c>
      <c r="C27" s="193">
        <v>35</v>
      </c>
      <c r="D27" s="182">
        <f t="shared" si="2"/>
        <v>14437.23076923077</v>
      </c>
      <c r="E27" s="193">
        <v>150</v>
      </c>
      <c r="F27" s="233"/>
      <c r="G27" s="229"/>
      <c r="H27" s="190"/>
      <c r="I27" s="191"/>
      <c r="K27" s="208"/>
      <c r="L27" s="301"/>
      <c r="M27" s="302"/>
      <c r="N27" s="302"/>
      <c r="O27" s="302"/>
      <c r="P27" s="303"/>
      <c r="Q27" s="234"/>
      <c r="R27" s="23"/>
      <c r="S27" s="307" t="s">
        <v>322</v>
      </c>
      <c r="T27" s="307"/>
      <c r="U27" s="307"/>
      <c r="V27" s="307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0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75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18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47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192</v>
      </c>
      <c r="C48" s="198" t="s">
        <v>192</v>
      </c>
      <c r="D48" s="197" t="s">
        <v>192</v>
      </c>
      <c r="E48" s="193">
        <v>19948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192</v>
      </c>
      <c r="C49" s="198" t="s">
        <v>192</v>
      </c>
      <c r="D49" s="197" t="s">
        <v>192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192</v>
      </c>
      <c r="C50" s="198" t="s">
        <v>192</v>
      </c>
      <c r="D50" s="197" t="s">
        <v>192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192</v>
      </c>
      <c r="C51" s="198" t="s">
        <v>192</v>
      </c>
      <c r="D51" s="197" t="s">
        <v>192</v>
      </c>
      <c r="E51" s="193">
        <v>1129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192</v>
      </c>
      <c r="C52" s="198" t="s">
        <v>192</v>
      </c>
      <c r="D52" s="197" t="s">
        <v>192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192</v>
      </c>
      <c r="C53" s="198" t="s">
        <v>192</v>
      </c>
      <c r="D53" s="197" t="s">
        <v>192</v>
      </c>
      <c r="E53" s="193">
        <v>1129</v>
      </c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14</v>
      </c>
      <c r="B54" s="181">
        <f>'Données projet'!D62</f>
        <v>35.969230769230769</v>
      </c>
      <c r="C54" s="191">
        <v>10</v>
      </c>
      <c r="D54" s="179">
        <f>B54*C54</f>
        <v>359.69230769230768</v>
      </c>
      <c r="E54" s="193">
        <v>150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19</v>
      </c>
      <c r="B55" s="181">
        <f>'Données projet'!D63</f>
        <v>54.907692307692301</v>
      </c>
      <c r="C55" s="191">
        <v>18</v>
      </c>
      <c r="D55" s="179">
        <f t="shared" ref="D55:D73" si="4">B55*C55</f>
        <v>988.33846153846139</v>
      </c>
      <c r="E55" s="193">
        <v>150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25</v>
      </c>
      <c r="B56" s="181">
        <f>'Données projet'!D64</f>
        <v>52.9</v>
      </c>
      <c r="C56" s="191">
        <v>25</v>
      </c>
      <c r="D56" s="179">
        <f t="shared" si="4"/>
        <v>1322.5</v>
      </c>
      <c r="E56" s="193">
        <v>150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32</v>
      </c>
      <c r="B57" s="181">
        <f>'Données projet'!D65</f>
        <v>63.899999999999991</v>
      </c>
      <c r="C57" s="191">
        <v>25</v>
      </c>
      <c r="D57" s="179">
        <f t="shared" si="4"/>
        <v>1597.4999999999998</v>
      </c>
      <c r="E57" s="193">
        <v>150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45</v>
      </c>
      <c r="B58" s="181">
        <f>'Données projet'!D66</f>
        <v>412.49230769230769</v>
      </c>
      <c r="C58" s="191">
        <v>35</v>
      </c>
      <c r="D58" s="179">
        <f t="shared" si="4"/>
        <v>14437.23076923077</v>
      </c>
      <c r="E58" s="193">
        <v>150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20</v>
      </c>
      <c r="B76" s="174" t="str">
        <f>IF('Données projet'!B11="","",'Données projet'!B11)</f>
        <v>Chêne pédonculé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47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192</v>
      </c>
      <c r="C79" s="198" t="s">
        <v>192</v>
      </c>
      <c r="D79" s="197" t="s">
        <v>192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192</v>
      </c>
      <c r="C80" s="198" t="s">
        <v>192</v>
      </c>
      <c r="D80" s="197" t="s">
        <v>192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192</v>
      </c>
      <c r="C81" s="198" t="s">
        <v>192</v>
      </c>
      <c r="D81" s="197" t="s">
        <v>192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192</v>
      </c>
      <c r="C82" s="198" t="s">
        <v>192</v>
      </c>
      <c r="D82" s="197" t="s">
        <v>192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192</v>
      </c>
      <c r="C83" s="198" t="s">
        <v>192</v>
      </c>
      <c r="D83" s="197" t="s">
        <v>192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192</v>
      </c>
      <c r="C84" s="198"/>
      <c r="D84" s="197" t="s">
        <v>192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38</v>
      </c>
      <c r="B85" s="181">
        <f>'Données projet'!D88</f>
        <v>62.551282049999998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45</v>
      </c>
      <c r="B86" s="181">
        <f>'Données projet'!D89</f>
        <v>32.397435899999998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52</v>
      </c>
      <c r="B87" s="181">
        <f>'Données projet'!D90</f>
        <v>32.94230769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59</v>
      </c>
      <c r="B88" s="181">
        <f>'Données projet'!D91</f>
        <v>30.320512820000001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67</v>
      </c>
      <c r="B89" s="181">
        <f>'Données projet'!D92</f>
        <v>30.314102559999998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75</v>
      </c>
      <c r="B90" s="181">
        <f>'Données projet'!D93</f>
        <v>30.705128210000002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83</v>
      </c>
      <c r="B91" s="181">
        <f>'Données projet'!D94</f>
        <v>34.955128209999998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93</v>
      </c>
      <c r="B92" s="181">
        <f>'Données projet'!D95</f>
        <v>46.82692308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103</v>
      </c>
      <c r="B93" s="181">
        <f>'Données projet'!D96</f>
        <v>46.73076923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113</v>
      </c>
      <c r="B94" s="181">
        <f>'Données projet'!D97</f>
        <v>47.141025640000002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123</v>
      </c>
      <c r="B95" s="181">
        <f>'Données projet'!D98</f>
        <v>139.2628205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125</v>
      </c>
      <c r="B96" s="181">
        <f>'Données projet'!D99</f>
        <v>48.217948720000003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127</v>
      </c>
      <c r="B97" s="181">
        <f>'Données projet'!D100</f>
        <v>31.42307692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130</v>
      </c>
      <c r="B98" s="181">
        <f>'Données projet'!D101</f>
        <v>76.846153849999993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22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47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192</v>
      </c>
      <c r="C110" s="198" t="s">
        <v>192</v>
      </c>
      <c r="D110" s="197" t="s">
        <v>192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192</v>
      </c>
      <c r="C111" s="198" t="s">
        <v>192</v>
      </c>
      <c r="D111" s="197" t="s">
        <v>192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192</v>
      </c>
      <c r="C112" s="198" t="s">
        <v>192</v>
      </c>
      <c r="D112" s="197" t="s">
        <v>192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192</v>
      </c>
      <c r="C113" s="198" t="s">
        <v>192</v>
      </c>
      <c r="D113" s="197" t="s">
        <v>192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192</v>
      </c>
      <c r="C114" s="198" t="s">
        <v>192</v>
      </c>
      <c r="D114" s="197" t="s">
        <v>192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192</v>
      </c>
      <c r="C115" s="198" t="s">
        <v>192</v>
      </c>
      <c r="D115" s="197" t="s">
        <v>192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23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47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192</v>
      </c>
      <c r="C141" s="198" t="s">
        <v>192</v>
      </c>
      <c r="D141" s="197" t="s">
        <v>192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192</v>
      </c>
      <c r="C142" s="198" t="s">
        <v>192</v>
      </c>
      <c r="D142" s="197" t="s">
        <v>192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192</v>
      </c>
      <c r="C143" s="198" t="s">
        <v>192</v>
      </c>
      <c r="D143" s="197" t="s">
        <v>192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192</v>
      </c>
      <c r="C144" s="198" t="s">
        <v>192</v>
      </c>
      <c r="D144" s="197" t="s">
        <v>192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192</v>
      </c>
      <c r="C145" s="198" t="s">
        <v>192</v>
      </c>
      <c r="D145" s="197" t="s">
        <v>192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192</v>
      </c>
      <c r="C146" s="198" t="s">
        <v>192</v>
      </c>
      <c r="D146" s="197" t="s">
        <v>192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24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47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192</v>
      </c>
      <c r="C172" s="198" t="s">
        <v>192</v>
      </c>
      <c r="D172" s="197" t="s">
        <v>192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192</v>
      </c>
      <c r="C173" s="198" t="s">
        <v>192</v>
      </c>
      <c r="D173" s="197" t="s">
        <v>192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192</v>
      </c>
      <c r="C174" s="198" t="s">
        <v>192</v>
      </c>
      <c r="D174" s="197" t="s">
        <v>192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192</v>
      </c>
      <c r="C175" s="198" t="s">
        <v>192</v>
      </c>
      <c r="D175" s="197" t="s">
        <v>192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192</v>
      </c>
      <c r="C176" s="198" t="s">
        <v>192</v>
      </c>
      <c r="D176" s="197" t="s">
        <v>192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192</v>
      </c>
      <c r="C177" s="198" t="s">
        <v>192</v>
      </c>
      <c r="D177" s="197" t="s">
        <v>192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25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47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192</v>
      </c>
      <c r="C203" s="198" t="s">
        <v>192</v>
      </c>
      <c r="D203" s="197" t="s">
        <v>192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192</v>
      </c>
      <c r="C204" s="198" t="s">
        <v>192</v>
      </c>
      <c r="D204" s="197" t="s">
        <v>192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192</v>
      </c>
      <c r="C205" s="198" t="s">
        <v>192</v>
      </c>
      <c r="D205" s="197" t="s">
        <v>192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192</v>
      </c>
      <c r="C206" s="198" t="s">
        <v>192</v>
      </c>
      <c r="D206" s="197" t="s">
        <v>192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192</v>
      </c>
      <c r="C207" s="198" t="s">
        <v>192</v>
      </c>
      <c r="D207" s="197" t="s">
        <v>192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192</v>
      </c>
      <c r="C208" s="198" t="s">
        <v>192</v>
      </c>
      <c r="D208" s="197" t="s">
        <v>192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26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47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192</v>
      </c>
      <c r="C234" s="198" t="s">
        <v>192</v>
      </c>
      <c r="D234" s="197" t="s">
        <v>192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192</v>
      </c>
      <c r="C235" s="198" t="s">
        <v>192</v>
      </c>
      <c r="D235" s="197" t="s">
        <v>192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192</v>
      </c>
      <c r="C236" s="198" t="s">
        <v>192</v>
      </c>
      <c r="D236" s="197" t="s">
        <v>192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192</v>
      </c>
      <c r="C237" s="198" t="s">
        <v>192</v>
      </c>
      <c r="D237" s="197" t="s">
        <v>192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192</v>
      </c>
      <c r="C238" s="198" t="s">
        <v>192</v>
      </c>
      <c r="D238" s="197" t="s">
        <v>192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192</v>
      </c>
      <c r="C239" s="198" t="s">
        <v>192</v>
      </c>
      <c r="D239" s="197" t="s">
        <v>192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27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47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192</v>
      </c>
      <c r="C265" s="198" t="s">
        <v>192</v>
      </c>
      <c r="D265" s="197" t="s">
        <v>192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192</v>
      </c>
      <c r="C266" s="198" t="s">
        <v>192</v>
      </c>
      <c r="D266" s="197" t="s">
        <v>192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192</v>
      </c>
      <c r="C267" s="198" t="s">
        <v>192</v>
      </c>
      <c r="D267" s="197" t="s">
        <v>192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192</v>
      </c>
      <c r="C268" s="198" t="s">
        <v>192</v>
      </c>
      <c r="D268" s="197" t="s">
        <v>192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192</v>
      </c>
      <c r="C269" s="198" t="s">
        <v>192</v>
      </c>
      <c r="D269" s="197" t="s">
        <v>192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192</v>
      </c>
      <c r="C270" s="198" t="s">
        <v>192</v>
      </c>
      <c r="D270" s="197" t="s">
        <v>192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28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47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192</v>
      </c>
      <c r="C296" s="198" t="s">
        <v>192</v>
      </c>
      <c r="D296" s="197" t="s">
        <v>192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192</v>
      </c>
      <c r="C297" s="198" t="s">
        <v>192</v>
      </c>
      <c r="D297" s="197" t="s">
        <v>192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192</v>
      </c>
      <c r="C298" s="198" t="s">
        <v>192</v>
      </c>
      <c r="D298" s="197" t="s">
        <v>192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192</v>
      </c>
      <c r="C299" s="198" t="s">
        <v>192</v>
      </c>
      <c r="D299" s="197" t="s">
        <v>192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192</v>
      </c>
      <c r="C300" s="198" t="s">
        <v>192</v>
      </c>
      <c r="D300" s="197" t="s">
        <v>192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192</v>
      </c>
      <c r="C301" s="198" t="s">
        <v>192</v>
      </c>
      <c r="D301" s="197" t="s">
        <v>192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7917BD1DD3FD43A53AD9CE171726C7" ma:contentTypeVersion="16" ma:contentTypeDescription="Create a new document." ma:contentTypeScope="" ma:versionID="49951f572a41aa882f04e9f42578a926">
  <xsd:schema xmlns:xsd="http://www.w3.org/2001/XMLSchema" xmlns:xs="http://www.w3.org/2001/XMLSchema" xmlns:p="http://schemas.microsoft.com/office/2006/metadata/properties" xmlns:ns2="7b742faf-fdf8-4591-b699-ecf8e70a4961" xmlns:ns3="eafaa6b1-975f-439f-868f-fccf4e9d887f" targetNamespace="http://schemas.microsoft.com/office/2006/metadata/properties" ma:root="true" ma:fieldsID="94df4027eaf4d90bb8314d13bfdb5452" ns2:_="" ns3:_="">
    <xsd:import namespace="7b742faf-fdf8-4591-b699-ecf8e70a4961"/>
    <xsd:import namespace="eafaa6b1-975f-439f-868f-fccf4e9d88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SearchProperties" minOccurs="0"/>
                <xsd:element ref="ns2:Commentai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42faf-fdf8-4591-b699-ecf8e70a4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b2eb45c-587e-4e45-8178-5ab3ff3b7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entaire" ma:index="23" nillable="true" ma:displayName="Commentaire" ma:description="Description du contenu du dossier" ma:format="Dropdown" ma:internalName="Commentair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aa6b1-975f-439f-868f-fccf4e9d887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272ff4b-5daf-46ba-90d8-cf5c9fcfa8f5}" ma:internalName="TaxCatchAll" ma:showField="CatchAllData" ma:web="eafaa6b1-975f-439f-868f-fccf4e9d88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742faf-fdf8-4591-b699-ecf8e70a4961">
      <Terms xmlns="http://schemas.microsoft.com/office/infopath/2007/PartnerControls"/>
    </lcf76f155ced4ddcb4097134ff3c332f>
    <TaxCatchAll xmlns="eafaa6b1-975f-439f-868f-fccf4e9d887f" xsi:nil="true"/>
    <Commentaire xmlns="7b742faf-fdf8-4591-b699-ecf8e70a4961" xsi:nil="true"/>
  </documentManagement>
</p:properties>
</file>

<file path=customXml/itemProps1.xml><?xml version="1.0" encoding="utf-8"?>
<ds:datastoreItem xmlns:ds="http://schemas.openxmlformats.org/officeDocument/2006/customXml" ds:itemID="{5688C45A-4B8D-4A20-8D05-C596FF36E7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742faf-fdf8-4591-b699-ecf8e70a4961"/>
    <ds:schemaRef ds:uri="eafaa6b1-975f-439f-868f-fccf4e9d88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0386D0-DDDC-40D1-A3B3-A75065CAB1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9360AE-2DF9-4A91-8AD6-7D879C061761}">
  <ds:schemaRefs>
    <ds:schemaRef ds:uri="http://schemas.microsoft.com/office/2006/metadata/properties"/>
    <ds:schemaRef ds:uri="http://schemas.microsoft.com/office/infopath/2007/PartnerControls"/>
    <ds:schemaRef ds:uri="7b742faf-fdf8-4591-b699-ecf8e70a4961"/>
    <ds:schemaRef ds:uri="eafaa6b1-975f-439f-868f-fccf4e9d887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Lucas Fontaine</cp:lastModifiedBy>
  <cp:revision/>
  <dcterms:created xsi:type="dcterms:W3CDTF">2021-02-01T08:22:39Z</dcterms:created>
  <dcterms:modified xsi:type="dcterms:W3CDTF">2024-12-04T10:24:45Z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0x010100B17917BD1DD3FD43A53AD9CE171726C7</vt:lpwstr>
  </property>
</Properties>
</file>