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2551eea340582f2a/5-Label Bas Carbone/2024-1 Feron - Saumos (33)/4-Labellisation/Envoi DREAL/"/>
    </mc:Choice>
  </mc:AlternateContent>
  <xr:revisionPtr revIDLastSave="273" documentId="11_B954B0FA9D2D6785A31326A0F3CC28A890EA51D0" xr6:coauthVersionLast="47" xr6:coauthVersionMax="47" xr10:uidLastSave="{2D462E54-45B8-184B-9ECC-4C765BE0C80D}"/>
  <bookViews>
    <workbookView xWindow="0" yWindow="0" windowWidth="28800" windowHeight="18000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E86" i="6" s="1"/>
  <c r="D87" i="6"/>
  <c r="E87" i="6" s="1"/>
  <c r="D88" i="6"/>
  <c r="E88" i="6" s="1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E85" i="6" s="1"/>
  <c r="D55" i="6"/>
  <c r="E55" i="6" s="1"/>
  <c r="D56" i="6"/>
  <c r="E56" i="6" s="1"/>
  <c r="D57" i="6"/>
  <c r="E57" i="6" s="1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E54" i="6" s="1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E24" i="6" s="1"/>
  <c r="D25" i="6"/>
  <c r="E25" i="6" s="1"/>
  <c r="D26" i="6"/>
  <c r="E26" i="6" s="1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E23" i="6" s="1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Q4" i="2" l="1"/>
  <c r="BQ4" i="2"/>
  <c r="EA4" i="2"/>
  <c r="BR4" i="2"/>
  <c r="EC4" i="2"/>
  <c r="GL4" i="2"/>
  <c r="FR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HH6" i="2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HI7" i="2"/>
  <c r="EA7" i="2"/>
  <c r="EW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HH10" i="2"/>
  <c r="EA10" i="2"/>
  <c r="EB10" i="2"/>
  <c r="HG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EV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C14" i="2" l="1"/>
  <c r="EB14" i="2"/>
  <c r="HH14" i="2"/>
  <c r="EX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A18" i="2" l="1"/>
  <c r="EX18" i="2"/>
  <c r="FS18" i="2"/>
  <c r="EV18" i="2"/>
  <c r="EW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FS20" i="2" l="1"/>
  <c r="HH20" i="2"/>
  <c r="EC20" i="2"/>
  <c r="EV20" i="2"/>
  <c r="HG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W22" i="2"/>
  <c r="HG22" i="2"/>
  <c r="EC22" i="2"/>
  <c r="EA22" i="2"/>
  <c r="HH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EW24" i="2" l="1"/>
  <c r="HG24" i="2"/>
  <c r="FR24" i="2"/>
  <c r="HH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EX27" i="2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C28" i="2" l="1"/>
  <c r="HI28" i="2"/>
  <c r="EV28" i="2"/>
  <c r="EB28" i="2"/>
  <c r="HG28" i="2"/>
  <c r="FS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W33" i="2"/>
  <c r="HH33" i="2"/>
  <c r="EV33" i="2"/>
  <c r="EB33" i="2"/>
  <c r="HG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FQ35" i="2"/>
  <c r="HH35" i="2"/>
  <c r="CM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FS38" i="2" l="1"/>
  <c r="HH38" i="2"/>
  <c r="EW38" i="2"/>
  <c r="EA38" i="2"/>
  <c r="HI38" i="2"/>
  <c r="EX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V42" i="2" l="1"/>
  <c r="HG42" i="2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HI43" i="2"/>
  <c r="EA43" i="2"/>
  <c r="HG43" i="2"/>
  <c r="D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EC44" i="2"/>
  <c r="HG44" i="2"/>
  <c r="FS44" i="2"/>
  <c r="HH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X45" i="2"/>
  <c r="HG45" i="2"/>
  <c r="EB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HI46" i="2"/>
  <c r="HG46" i="2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G48" i="2"/>
  <c r="HH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EC50" i="2"/>
  <c r="HI50" i="2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HG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A59" i="2" l="1"/>
  <c r="HH59" i="2"/>
  <c r="EC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EW60" i="2"/>
  <c r="EV60" i="2"/>
  <c r="HH60" i="2"/>
  <c r="HG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EW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H62" i="2" l="1"/>
  <c r="EA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HG63" i="2"/>
  <c r="EC63" i="2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FS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I70" i="2"/>
  <c r="EW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EB72" i="2"/>
  <c r="HH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H75" i="2" l="1"/>
  <c r="EA75" i="2"/>
  <c r="EB75" i="2"/>
  <c r="FS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FS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B77" i="2"/>
  <c r="EA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C78" i="2" l="1"/>
  <c r="HI78" i="2"/>
  <c r="EB78" i="2"/>
  <c r="EW78" i="2"/>
  <c r="EV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G82" i="2"/>
  <c r="HH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I85" i="2" l="1"/>
  <c r="EC85" i="2"/>
  <c r="HH85" i="2"/>
  <c r="EV85" i="2"/>
  <c r="EW85" i="2"/>
  <c r="HG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EA86" i="2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X98" i="2" l="1"/>
  <c r="FS98" i="2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B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V105" i="2" l="1"/>
  <c r="HH105" i="2"/>
  <c r="FS105" i="2"/>
  <c r="EB105" i="2"/>
  <c r="EA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C107" i="2" l="1"/>
  <c r="HG107" i="2"/>
  <c r="EB107" i="2"/>
  <c r="EX107" i="2"/>
  <c r="EA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B108" i="2" l="1"/>
  <c r="EA108" i="2"/>
  <c r="EW108" i="2"/>
  <c r="FS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H110" i="2" l="1"/>
  <c r="EB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EX112" i="2"/>
  <c r="EC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X113" i="2" l="1"/>
  <c r="FS113" i="2"/>
  <c r="HI113" i="2"/>
  <c r="EB113" i="2"/>
  <c r="HG113" i="2"/>
  <c r="EC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HH114" i="2" l="1"/>
  <c r="EV114" i="2"/>
  <c r="EW114" i="2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C116" i="2" l="1"/>
  <c r="EV116" i="2"/>
  <c r="EA116" i="2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HG117" i="2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C118" i="2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EX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EX120" i="2"/>
  <c r="FR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HI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EW122" i="2"/>
  <c r="EC122" i="2"/>
  <c r="FS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FS124" i="2" l="1"/>
  <c r="EW124" i="2"/>
  <c r="HH124" i="2"/>
  <c r="EX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HG128" i="2"/>
  <c r="EX128" i="2"/>
  <c r="EB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B130" i="2" l="1"/>
  <c r="HH130" i="2"/>
  <c r="FS130" i="2"/>
  <c r="HI130" i="2"/>
  <c r="EW130" i="2"/>
  <c r="HG130" i="2"/>
  <c r="EX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FS132" i="2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HH133" i="2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W134" i="2"/>
  <c r="HG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W135" i="2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EC138" i="2"/>
  <c r="EV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W139" i="2" l="1"/>
  <c r="FS139" i="2"/>
  <c r="HH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FS140" i="2" l="1"/>
  <c r="EC140" i="2"/>
  <c r="HG140" i="2"/>
  <c r="EX140" i="2"/>
  <c r="EB140" i="2"/>
  <c r="FR140" i="2"/>
  <c r="HH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H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HG142" i="2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HG144" i="2" l="1"/>
  <c r="EA144" i="2"/>
  <c r="FR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HG145" i="2" l="1"/>
  <c r="EB145" i="2"/>
  <c r="HH145" i="2"/>
  <c r="EX145" i="2"/>
  <c r="FR145" i="2"/>
  <c r="EA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H146" i="2" l="1"/>
  <c r="FS146" i="2"/>
  <c r="HI146" i="2"/>
  <c r="FR146" i="2"/>
  <c r="HG146" i="2"/>
  <c r="EA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EC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H150" i="2" l="1"/>
  <c r="FS150" i="2"/>
  <c r="EC150" i="2"/>
  <c r="HI150" i="2"/>
  <c r="HG150" i="2"/>
  <c r="EV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C151" i="2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B152" i="2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A153" i="2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EB154" i="2" l="1"/>
  <c r="HH154" i="2"/>
  <c r="HG154" i="2"/>
  <c r="HJ154" i="2" s="1"/>
  <c r="AB154" i="2"/>
  <c r="EX154" i="2"/>
  <c r="AA154" i="2"/>
  <c r="EV154" i="2"/>
  <c r="EY154" i="2" s="1"/>
  <c r="EC154" i="2"/>
  <c r="EA154" i="2"/>
  <c r="ED154" i="2" s="1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D155" i="2" s="1"/>
  <c r="AC154" i="2"/>
  <c r="HH155" i="2"/>
  <c r="EW155" i="2"/>
  <c r="HG155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HH156" i="2" l="1"/>
  <c r="DH156" i="2"/>
  <c r="AB156" i="2"/>
  <c r="HG156" i="2"/>
  <c r="EX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HG157" i="2" l="1"/>
  <c r="EC157" i="2"/>
  <c r="EX157" i="2"/>
  <c r="EB157" i="2"/>
  <c r="HH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V158" i="2" l="1"/>
  <c r="EW158" i="2"/>
  <c r="HH158" i="2"/>
  <c r="HG158" i="2"/>
  <c r="EC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D158" i="2" l="1"/>
  <c r="HI159" i="2"/>
  <c r="EC159" i="2"/>
  <c r="EA159" i="2"/>
  <c r="HH159" i="2"/>
  <c r="FS159" i="2"/>
  <c r="EX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DG160" i="2" l="1"/>
  <c r="FS160" i="2"/>
  <c r="HI160" i="2"/>
  <c r="ED159" i="2"/>
  <c r="HG160" i="2"/>
  <c r="HH160" i="2"/>
  <c r="EC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HG161" i="2" l="1"/>
  <c r="EA161" i="2"/>
  <c r="ED161" i="2" s="1"/>
  <c r="HH161" i="2"/>
  <c r="AB161" i="2"/>
  <c r="EB161" i="2"/>
  <c r="EX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HG162" i="2" l="1"/>
  <c r="EC162" i="2"/>
  <c r="EW162" i="2"/>
  <c r="EB162" i="2"/>
  <c r="HH162" i="2"/>
  <c r="FS162" i="2"/>
  <c r="AU162" i="2"/>
  <c r="EX162" i="2"/>
  <c r="EA162" i="2"/>
  <c r="ED162" i="2" s="1"/>
  <c r="EV162" i="2"/>
  <c r="EY162" i="2" s="1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A163" i="2" l="1"/>
  <c r="ED163" i="2" s="1"/>
  <c r="EB163" i="2"/>
  <c r="HH163" i="2"/>
  <c r="EV163" i="2"/>
  <c r="EY163" i="2" s="1"/>
  <c r="HG163" i="2"/>
  <c r="HI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HH164" i="2" l="1"/>
  <c r="DH164" i="2"/>
  <c r="FS164" i="2"/>
  <c r="EX164" i="2"/>
  <c r="EV164" i="2"/>
  <c r="HG164" i="2"/>
  <c r="FR164" i="2"/>
  <c r="DI163" i="2"/>
  <c r="EA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A165" i="2" l="1"/>
  <c r="ED165" i="2" s="1"/>
  <c r="EB165" i="2"/>
  <c r="HH165" i="2"/>
  <c r="HG165" i="2"/>
  <c r="EX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HJ166" i="2" s="1"/>
  <c r="EC166" i="2"/>
  <c r="FS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X167" i="2"/>
  <c r="EC167" i="2"/>
  <c r="HI167" i="2"/>
  <c r="FR167" i="2"/>
  <c r="HH167" i="2"/>
  <c r="EA167" i="2"/>
  <c r="EB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EY168" i="2" s="1"/>
  <c r="HI168" i="2"/>
  <c r="EC168" i="2"/>
  <c r="EW168" i="2"/>
  <c r="HH168" i="2"/>
  <c r="EB168" i="2"/>
  <c r="DI167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X169" i="2" l="1"/>
  <c r="HH169" i="2"/>
  <c r="EA169" i="2"/>
  <c r="FS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ED171" i="2" s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V172" i="2"/>
  <c r="EA172" i="2"/>
  <c r="ED172" i="2" s="1"/>
  <c r="HI172" i="2"/>
  <c r="EB172" i="2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EX173" i="2"/>
  <c r="EB173" i="2"/>
  <c r="EW173" i="2"/>
  <c r="HH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EC174" i="2"/>
  <c r="HG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FS175" i="2"/>
  <c r="HI175" i="2"/>
  <c r="EA175" i="2"/>
  <c r="EB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B176" i="2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HH177" i="2"/>
  <c r="FS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H178" i="2" l="1"/>
  <c r="EB178" i="2"/>
  <c r="HG178" i="2"/>
  <c r="FQ178" i="2"/>
  <c r="EA178" i="2"/>
  <c r="ED178" i="2" s="1"/>
  <c r="EW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A179" i="2" l="1"/>
  <c r="ED179" i="2" s="1"/>
  <c r="DF179" i="2"/>
  <c r="HG179" i="2"/>
  <c r="EV179" i="2"/>
  <c r="EY179" i="2" s="1"/>
  <c r="HI179" i="2"/>
  <c r="EB179" i="2"/>
  <c r="HH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X180" i="2" l="1"/>
  <c r="HG180" i="2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W181" i="2" l="1"/>
  <c r="FS181" i="2"/>
  <c r="HG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X182" i="2" l="1"/>
  <c r="DG182" i="2"/>
  <c r="FS182" i="2"/>
  <c r="EC182" i="2"/>
  <c r="EA182" i="2"/>
  <c r="ED182" i="2" s="1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FS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Y184" i="2" s="1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W185" i="2" l="1"/>
  <c r="HG185" i="2"/>
  <c r="EA185" i="2"/>
  <c r="HH185" i="2"/>
  <c r="EB185" i="2"/>
  <c r="HI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D185" i="2" l="1"/>
  <c r="FS186" i="2"/>
  <c r="EW186" i="2"/>
  <c r="HG186" i="2"/>
  <c r="HH186" i="2"/>
  <c r="EA186" i="2"/>
  <c r="EB186" i="2"/>
  <c r="FR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B187" i="2" l="1"/>
  <c r="HH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H188" i="2" l="1"/>
  <c r="HG188" i="2"/>
  <c r="HI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EY189" i="2" s="1"/>
  <c r="HH189" i="2"/>
  <c r="EC189" i="2"/>
  <c r="FS189" i="2"/>
  <c r="HI189" i="2"/>
  <c r="EX189" i="2"/>
  <c r="EA189" i="2"/>
  <c r="ED189" i="2" s="1"/>
  <c r="GN189" i="2"/>
  <c r="HG189" i="2"/>
  <c r="HJ189" i="2" s="1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B190" i="2" l="1"/>
  <c r="HG190" i="2"/>
  <c r="HH190" i="2"/>
  <c r="EV190" i="2"/>
  <c r="EW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I191" i="2" l="1"/>
  <c r="EW191" i="2"/>
  <c r="HG191" i="2"/>
  <c r="HH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A192" i="2" l="1"/>
  <c r="ED192" i="2" s="1"/>
  <c r="EC192" i="2"/>
  <c r="HI192" i="2"/>
  <c r="EV192" i="2"/>
  <c r="EY192" i="2" s="1"/>
  <c r="HH192" i="2"/>
  <c r="EB192" i="2"/>
  <c r="EW192" i="2"/>
  <c r="HG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FQ193" i="2" l="1"/>
  <c r="HI193" i="2"/>
  <c r="EB193" i="2"/>
  <c r="EA193" i="2"/>
  <c r="ED193" i="2" s="1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HI194" i="2" l="1"/>
  <c r="FQ194" i="2"/>
  <c r="HG194" i="2"/>
  <c r="EB194" i="2"/>
  <c r="EA194" i="2"/>
  <c r="ED194" i="2" s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DH195" i="2" l="1"/>
  <c r="EX195" i="2"/>
  <c r="FQ195" i="2"/>
  <c r="EB195" i="2"/>
  <c r="HI195" i="2"/>
  <c r="AA195" i="2"/>
  <c r="EA195" i="2"/>
  <c r="HG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EW196" i="2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HH197" i="2" l="1"/>
  <c r="HG197" i="2"/>
  <c r="EW197" i="2"/>
  <c r="AA197" i="2"/>
  <c r="EA197" i="2"/>
  <c r="ED197" i="2" s="1"/>
  <c r="EC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W198" i="2" l="1"/>
  <c r="EV198" i="2"/>
  <c r="EY198" i="2" s="1"/>
  <c r="HI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HG199" i="2" l="1"/>
  <c r="HJ199" i="2" s="1"/>
  <c r="EW199" i="2"/>
  <c r="EV199" i="2"/>
  <c r="FS199" i="2"/>
  <c r="EA199" i="2"/>
  <c r="HH199" i="2"/>
  <c r="EB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T4" i="2" s="1" a="1"/>
  <c r="GT4" i="2" s="1"/>
  <c r="GU4" i="2" s="1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BX4" i="2" s="1" a="1"/>
  <c r="BX4" i="2" s="1"/>
  <c r="BY4" i="2" s="1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AB199" i="2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I200" i="2" s="1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AH5" i="2" s="1" a="1"/>
  <c r="AH5" i="2" s="1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EI4" i="2" a="1"/>
  <c r="EI4" i="2" s="1"/>
  <c r="EJ4" i="2" s="1"/>
  <c r="AX198" i="2"/>
  <c r="ED200" i="2"/>
  <c r="EA201" i="2" l="1"/>
  <c r="ED201" i="2" s="1"/>
  <c r="EB201" i="2"/>
  <c r="HH201" i="2"/>
  <c r="HG201" i="2"/>
  <c r="FS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S202" i="2" l="1"/>
  <c r="HI202" i="2"/>
  <c r="EW202" i="2"/>
  <c r="HH202" i="2"/>
  <c r="FR202" i="2"/>
  <c r="FZ6" i="2"/>
  <c r="HG202" i="2"/>
  <c r="HJ202" i="2" s="1"/>
  <c r="EX202" i="2"/>
  <c r="EV202" i="2"/>
  <c r="EY202" i="2" s="1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DN6" i="2" a="1"/>
  <c r="DN6" i="2" s="1"/>
  <c r="DO6" i="2" s="1"/>
  <c r="AX200" i="2"/>
  <c r="FS203" i="2" l="1"/>
  <c r="GT174" i="2" a="1"/>
  <c r="GT174" i="2" s="1"/>
  <c r="GT198" i="2" a="1"/>
  <c r="GT198" i="2" s="1"/>
  <c r="GT12" i="2" a="1"/>
  <c r="GT12" i="2" s="1"/>
  <c r="EI166" i="2" a="1"/>
  <c r="EI166" i="2" s="1"/>
  <c r="GT191" i="2" a="1"/>
  <c r="GT191" i="2" s="1"/>
  <c r="GT126" i="2" a="1"/>
  <c r="GT126" i="2" s="1"/>
  <c r="GT122" i="2" a="1"/>
  <c r="GT122" i="2" s="1"/>
  <c r="CS24" i="2" a="1"/>
  <c r="CS24" i="2" s="1"/>
  <c r="EI67" i="2" a="1"/>
  <c r="EI67" i="2" s="1"/>
  <c r="FD188" i="2" a="1"/>
  <c r="FD188" i="2" s="1"/>
  <c r="GT138" i="2" a="1"/>
  <c r="GT138" i="2" s="1"/>
  <c r="GT178" i="2" a="1"/>
  <c r="GT178" i="2" s="1"/>
  <c r="EI113" i="2" a="1"/>
  <c r="EI113" i="2" s="1"/>
  <c r="EI165" i="2" a="1"/>
  <c r="EI165" i="2" s="1"/>
  <c r="EI139" i="2" a="1"/>
  <c r="EI139" i="2" s="1"/>
  <c r="EI87" i="2" a="1"/>
  <c r="EI87" i="2" s="1"/>
  <c r="GT152" i="2" a="1"/>
  <c r="GT152" i="2" s="1"/>
  <c r="GT184" i="2" a="1"/>
  <c r="GT184" i="2" s="1"/>
  <c r="GT107" i="2" a="1"/>
  <c r="GT107" i="2" s="1"/>
  <c r="GT38" i="2" a="1"/>
  <c r="GT38" i="2" s="1"/>
  <c r="GT189" i="2" a="1"/>
  <c r="GT189" i="2" s="1"/>
  <c r="GT133" i="2" a="1"/>
  <c r="GT133" i="2" s="1"/>
  <c r="GT15" i="2" a="1"/>
  <c r="GT15" i="2" s="1"/>
  <c r="GT190" i="2" a="1"/>
  <c r="GT190" i="2" s="1"/>
  <c r="GT74" i="2" a="1"/>
  <c r="GT74" i="2" s="1"/>
  <c r="GT21" i="2" a="1"/>
  <c r="GT21" i="2" s="1"/>
  <c r="GT102" i="2" a="1"/>
  <c r="GT102" i="2" s="1"/>
  <c r="GT68" i="2" a="1"/>
  <c r="GT68" i="2" s="1"/>
  <c r="CS134" i="2" a="1"/>
  <c r="CS134" i="2" s="1"/>
  <c r="FD107" i="2" a="1"/>
  <c r="FD107" i="2" s="1"/>
  <c r="CS77" i="2" a="1"/>
  <c r="CS77" i="2" s="1"/>
  <c r="FY32" i="2" a="1"/>
  <c r="FY32" i="2" s="1"/>
  <c r="FY42" i="2" a="1"/>
  <c r="FY42" i="2" s="1"/>
  <c r="CS72" i="2" a="1"/>
  <c r="CS72" i="2" s="1"/>
  <c r="CS185" i="2" a="1"/>
  <c r="CS185" i="2" s="1"/>
  <c r="CS120" i="2" a="1"/>
  <c r="CS120" i="2" s="1"/>
  <c r="CS161" i="2" a="1"/>
  <c r="CS161" i="2" s="1"/>
  <c r="DN55" i="2" a="1"/>
  <c r="DN55" i="2" s="1"/>
  <c r="DN16" i="2" a="1"/>
  <c r="DN16" i="2" s="1"/>
  <c r="FD82" i="2" a="1"/>
  <c r="FD82" i="2" s="1"/>
  <c r="DN30" i="2" a="1"/>
  <c r="DN30" i="2" s="1"/>
  <c r="CS56" i="2" a="1"/>
  <c r="CS56" i="2" s="1"/>
  <c r="FD167" i="2" a="1"/>
  <c r="FD167" i="2" s="1"/>
  <c r="FY196" i="2" a="1"/>
  <c r="FY196" i="2" s="1"/>
  <c r="AH151" i="2" a="1"/>
  <c r="AH151" i="2" s="1"/>
  <c r="FY178" i="2" a="1"/>
  <c r="FY178" i="2" s="1"/>
  <c r="DN80" i="2" a="1"/>
  <c r="DN80" i="2" s="1"/>
  <c r="FD44" i="2" a="1"/>
  <c r="FD44" i="2" s="1"/>
  <c r="CS105" i="2" a="1"/>
  <c r="CS105" i="2" s="1"/>
  <c r="FY116" i="2" a="1"/>
  <c r="FY116" i="2" s="1"/>
  <c r="FD19" i="2" a="1"/>
  <c r="FD19" i="2" s="1"/>
  <c r="FD64" i="2" a="1"/>
  <c r="FD64" i="2" s="1"/>
  <c r="FY167" i="2" a="1"/>
  <c r="FY167" i="2" s="1"/>
  <c r="FY115" i="2" a="1"/>
  <c r="FY115" i="2" s="1"/>
  <c r="AH199" i="2" a="1"/>
  <c r="AH199" i="2" s="1"/>
  <c r="CS52" i="2" a="1"/>
  <c r="CS52" i="2" s="1"/>
  <c r="FY172" i="2" a="1"/>
  <c r="FY172" i="2" s="1"/>
  <c r="FY143" i="2" a="1"/>
  <c r="FY143" i="2" s="1"/>
  <c r="FD160" i="2" a="1"/>
  <c r="FD160" i="2" s="1"/>
  <c r="FD189" i="2" a="1"/>
  <c r="FD189" i="2" s="1"/>
  <c r="FY142" i="2" a="1"/>
  <c r="FY142" i="2" s="1"/>
  <c r="FY86" i="2" a="1"/>
  <c r="FY86" i="2" s="1"/>
  <c r="AH166" i="2" a="1"/>
  <c r="AH166" i="2" s="1"/>
  <c r="FY124" i="2" a="1"/>
  <c r="FY124" i="2" s="1"/>
  <c r="FY71" i="2" a="1"/>
  <c r="FY71" i="2" s="1"/>
  <c r="CS129" i="2" a="1"/>
  <c r="CS129" i="2" s="1"/>
  <c r="FD21" i="2" a="1"/>
  <c r="FD21" i="2" s="1"/>
  <c r="FY149" i="2" a="1"/>
  <c r="FY149" i="2" s="1"/>
  <c r="AH92" i="2" a="1"/>
  <c r="AH92" i="2" s="1"/>
  <c r="FY99" i="2" a="1"/>
  <c r="FY99" i="2" s="1"/>
  <c r="FY159" i="2" a="1"/>
  <c r="FY159" i="2" s="1"/>
  <c r="FY120" i="2" a="1"/>
  <c r="FY120" i="2" s="1"/>
  <c r="FY146" i="2" a="1"/>
  <c r="FY146" i="2" s="1"/>
  <c r="FY47" i="2" a="1"/>
  <c r="FY47" i="2" s="1"/>
  <c r="BX107" i="2" a="1"/>
  <c r="BX107" i="2" s="1"/>
  <c r="CS114" i="2" a="1"/>
  <c r="CS114" i="2" s="1"/>
  <c r="FD187" i="2" a="1"/>
  <c r="FD187" i="2" s="1"/>
  <c r="FD137" i="2" a="1"/>
  <c r="FD137" i="2" s="1"/>
  <c r="FD131" i="2" a="1"/>
  <c r="FD131" i="2" s="1"/>
  <c r="FD14" i="2" a="1"/>
  <c r="FD14" i="2" s="1"/>
  <c r="FD60" i="2" a="1"/>
  <c r="FD60" i="2" s="1"/>
  <c r="FY80" i="2" a="1"/>
  <c r="FY80" i="2" s="1"/>
  <c r="FY82" i="2" a="1"/>
  <c r="FY82" i="2" s="1"/>
  <c r="FY58" i="2" a="1"/>
  <c r="FY58" i="2" s="1"/>
  <c r="AH163" i="2" a="1"/>
  <c r="AH163" i="2" s="1"/>
  <c r="AH19" i="2" a="1"/>
  <c r="AH19" i="2" s="1"/>
  <c r="CS137" i="2" a="1"/>
  <c r="CS137" i="2" s="1"/>
  <c r="CS66" i="2" a="1"/>
  <c r="CS66" i="2" s="1"/>
  <c r="FD59" i="2" a="1"/>
  <c r="FD59" i="2" s="1"/>
  <c r="FY34" i="2" a="1"/>
  <c r="FY34" i="2" s="1"/>
  <c r="FY169" i="2" a="1"/>
  <c r="FY169" i="2" s="1"/>
  <c r="FY188" i="2" a="1"/>
  <c r="FY188" i="2" s="1"/>
  <c r="FY73" i="2" a="1"/>
  <c r="FY73" i="2" s="1"/>
  <c r="FY153" i="2" a="1"/>
  <c r="FY153" i="2" s="1"/>
  <c r="FY140" i="2" a="1"/>
  <c r="FY140" i="2" s="1"/>
  <c r="FY57" i="2" a="1"/>
  <c r="FY57" i="2" s="1"/>
  <c r="FD194" i="2" a="1"/>
  <c r="FD194" i="2" s="1"/>
  <c r="FD159" i="2" a="1"/>
  <c r="FD159" i="2" s="1"/>
  <c r="FD43" i="2" a="1"/>
  <c r="FD43" i="2" s="1"/>
  <c r="FD48" i="2" a="1"/>
  <c r="FD48" i="2" s="1"/>
  <c r="FY121" i="2" a="1"/>
  <c r="FY121" i="2" s="1"/>
  <c r="FY30" i="2" a="1"/>
  <c r="FY30" i="2" s="1"/>
  <c r="FY182" i="2" a="1"/>
  <c r="FY182" i="2" s="1"/>
  <c r="CS38" i="2" a="1"/>
  <c r="CS38" i="2" s="1"/>
  <c r="AH62" i="2" a="1"/>
  <c r="AH62" i="2" s="1"/>
  <c r="AH90" i="2" a="1"/>
  <c r="AH90" i="2" s="1"/>
  <c r="CS116" i="2" a="1"/>
  <c r="CS116" i="2" s="1"/>
  <c r="FD144" i="2" a="1"/>
  <c r="FD144" i="2" s="1"/>
  <c r="FY164" i="2" a="1"/>
  <c r="FY164" i="2" s="1"/>
  <c r="FY62" i="2" a="1"/>
  <c r="FY62" i="2" s="1"/>
  <c r="FY28" i="2" a="1"/>
  <c r="FY28" i="2" s="1"/>
  <c r="FY152" i="2" a="1"/>
  <c r="FY152" i="2" s="1"/>
  <c r="FY102" i="2" a="1"/>
  <c r="FY102" i="2" s="1"/>
  <c r="FY29" i="2" a="1"/>
  <c r="FY29" i="2" s="1"/>
  <c r="FY54" i="2" a="1"/>
  <c r="FY54" i="2" s="1"/>
  <c r="EI142" i="2" a="1"/>
  <c r="EI142" i="2" s="1"/>
  <c r="EI150" i="2" a="1"/>
  <c r="EI150" i="2" s="1"/>
  <c r="GT11" i="2" a="1"/>
  <c r="GT11" i="2" s="1"/>
  <c r="GT33" i="2" a="1"/>
  <c r="GT33" i="2" s="1"/>
  <c r="GT51" i="2" a="1"/>
  <c r="GT51" i="2" s="1"/>
  <c r="GT115" i="2" a="1"/>
  <c r="GT115" i="2" s="1"/>
  <c r="GT147" i="2" a="1"/>
  <c r="GT147" i="2" s="1"/>
  <c r="GT121" i="2" a="1"/>
  <c r="GT121" i="2" s="1"/>
  <c r="GT181" i="2" a="1"/>
  <c r="GT181" i="2" s="1"/>
  <c r="DN187" i="2" a="1"/>
  <c r="DN187" i="2" s="1"/>
  <c r="DN113" i="2" a="1"/>
  <c r="DN113" i="2" s="1"/>
  <c r="BC34" i="2" a="1"/>
  <c r="BC34" i="2" s="1"/>
  <c r="HH203" i="2"/>
  <c r="DN45" i="2" a="1"/>
  <c r="DN45" i="2" s="1"/>
  <c r="DN135" i="2" a="1"/>
  <c r="DN135" i="2" s="1"/>
  <c r="DN190" i="2" a="1"/>
  <c r="DN190" i="2" s="1"/>
  <c r="BC83" i="2" a="1"/>
  <c r="BC83" i="2" s="1"/>
  <c r="FY104" i="2" a="1"/>
  <c r="FY104" i="2" s="1"/>
  <c r="FY24" i="2" a="1"/>
  <c r="FY24" i="2" s="1"/>
  <c r="FY190" i="2" a="1"/>
  <c r="FY190" i="2" s="1"/>
  <c r="FY55" i="2" a="1"/>
  <c r="FY55" i="2" s="1"/>
  <c r="FY78" i="2" a="1"/>
  <c r="FY78" i="2" s="1"/>
  <c r="FY92" i="2" a="1"/>
  <c r="FY92" i="2" s="1"/>
  <c r="FY186" i="2" a="1"/>
  <c r="FY186" i="2" s="1"/>
  <c r="FY191" i="2" a="1"/>
  <c r="FY191" i="2" s="1"/>
  <c r="FY69" i="2" a="1"/>
  <c r="FY69" i="2" s="1"/>
  <c r="FY18" i="2" a="1"/>
  <c r="FY18" i="2" s="1"/>
  <c r="FY35" i="2" a="1"/>
  <c r="FY35" i="2" s="1"/>
  <c r="FY22" i="2" a="1"/>
  <c r="FY22" i="2" s="1"/>
  <c r="FY50" i="2" a="1"/>
  <c r="FY50" i="2" s="1"/>
  <c r="FY72" i="2" a="1"/>
  <c r="FY72" i="2" s="1"/>
  <c r="FY126" i="2" a="1"/>
  <c r="FY126" i="2" s="1"/>
  <c r="FY174" i="2" a="1"/>
  <c r="FY174" i="2" s="1"/>
  <c r="FY111" i="2" a="1"/>
  <c r="FY111" i="2" s="1"/>
  <c r="FY173" i="2" a="1"/>
  <c r="FY173" i="2" s="1"/>
  <c r="FY110" i="2" a="1"/>
  <c r="FY110" i="2" s="1"/>
  <c r="FY66" i="2" a="1"/>
  <c r="FY66" i="2" s="1"/>
  <c r="FY133" i="2" a="1"/>
  <c r="FY133" i="2" s="1"/>
  <c r="FY165" i="2" a="1"/>
  <c r="FY165" i="2" s="1"/>
  <c r="FY90" i="2" a="1"/>
  <c r="FY90" i="2" s="1"/>
  <c r="FY79" i="2" a="1"/>
  <c r="FY79" i="2" s="1"/>
  <c r="DN133" i="2" a="1"/>
  <c r="DN133" i="2" s="1"/>
  <c r="DN110" i="2" a="1"/>
  <c r="DN110" i="2" s="1"/>
  <c r="DN162" i="2" a="1"/>
  <c r="DN162" i="2" s="1"/>
  <c r="DN38" i="2" a="1"/>
  <c r="DN38" i="2" s="1"/>
  <c r="BC143" i="2" a="1"/>
  <c r="BC143" i="2" s="1"/>
  <c r="DN29" i="2" a="1"/>
  <c r="DN29" i="2" s="1"/>
  <c r="DN46" i="2" a="1"/>
  <c r="DN46" i="2" s="1"/>
  <c r="DN65" i="2" a="1"/>
  <c r="DN65" i="2" s="1"/>
  <c r="DN31" i="2" a="1"/>
  <c r="DN31" i="2" s="1"/>
  <c r="DN49" i="2" a="1"/>
  <c r="DN49" i="2" s="1"/>
  <c r="DN168" i="2" a="1"/>
  <c r="DN168" i="2" s="1"/>
  <c r="BC164" i="2" a="1"/>
  <c r="BC164" i="2" s="1"/>
  <c r="DN103" i="2" a="1"/>
  <c r="DN103" i="2" s="1"/>
  <c r="DN188" i="2" a="1"/>
  <c r="DN188" i="2" s="1"/>
  <c r="DN137" i="2" a="1"/>
  <c r="DN137" i="2" s="1"/>
  <c r="BC181" i="2" a="1"/>
  <c r="BC181" i="2" s="1"/>
  <c r="FY109" i="2" a="1"/>
  <c r="FY109" i="2" s="1"/>
  <c r="DN132" i="2" a="1"/>
  <c r="DN132" i="2" s="1"/>
  <c r="DN176" i="2" a="1"/>
  <c r="DN176" i="2" s="1"/>
  <c r="DN70" i="2" a="1"/>
  <c r="DN70" i="2" s="1"/>
  <c r="DN167" i="2" a="1"/>
  <c r="DN167" i="2" s="1"/>
  <c r="DN164" i="2" a="1"/>
  <c r="DN164" i="2" s="1"/>
  <c r="DN63" i="2" a="1"/>
  <c r="DN63" i="2" s="1"/>
  <c r="DN153" i="2" a="1"/>
  <c r="DN153" i="2" s="1"/>
  <c r="BC82" i="2" a="1"/>
  <c r="BC82" i="2" s="1"/>
  <c r="BC151" i="2" a="1"/>
  <c r="BC151" i="2" s="1"/>
  <c r="BC31" i="2" a="1"/>
  <c r="BC31" i="2" s="1"/>
  <c r="BC192" i="2" a="1"/>
  <c r="BC192" i="2" s="1"/>
  <c r="DN150" i="2" a="1"/>
  <c r="DN150" i="2" s="1"/>
  <c r="DN86" i="2" a="1"/>
  <c r="DN86" i="2" s="1"/>
  <c r="DN170" i="2" a="1"/>
  <c r="DN170" i="2" s="1"/>
  <c r="DN25" i="2" a="1"/>
  <c r="DN25" i="2" s="1"/>
  <c r="DN41" i="2" a="1"/>
  <c r="DN41" i="2" s="1"/>
  <c r="DN155" i="2" a="1"/>
  <c r="DN155" i="2" s="1"/>
  <c r="BC65" i="2" a="1"/>
  <c r="BC65" i="2" s="1"/>
  <c r="BC47" i="2" a="1"/>
  <c r="BC47" i="2" s="1"/>
  <c r="BC18" i="2" a="1"/>
  <c r="BC18" i="2" s="1"/>
  <c r="BC7" i="2" a="1"/>
  <c r="BC7" i="2" s="1"/>
  <c r="BD7" i="2" s="1"/>
  <c r="BC84" i="2" a="1"/>
  <c r="BC84" i="2" s="1"/>
  <c r="BC55" i="2" a="1"/>
  <c r="BC55" i="2" s="1"/>
  <c r="DN192" i="2" a="1"/>
  <c r="DN192" i="2" s="1"/>
  <c r="DN177" i="2" a="1"/>
  <c r="DN177" i="2" s="1"/>
  <c r="DN129" i="2" a="1"/>
  <c r="DN129" i="2" s="1"/>
  <c r="DN184" i="2" a="1"/>
  <c r="DN184" i="2" s="1"/>
  <c r="DN43" i="2" a="1"/>
  <c r="DN43" i="2" s="1"/>
  <c r="DN56" i="2" a="1"/>
  <c r="DN56" i="2" s="1"/>
  <c r="BC114" i="2" a="1"/>
  <c r="BC114" i="2" s="1"/>
  <c r="BC68" i="2" a="1"/>
  <c r="BC68" i="2" s="1"/>
  <c r="BC38" i="2" a="1"/>
  <c r="BC38" i="2" s="1"/>
  <c r="BC185" i="2" a="1"/>
  <c r="BC185" i="2" s="1"/>
  <c r="BC32" i="2" a="1"/>
  <c r="BC32" i="2" s="1"/>
  <c r="BC130" i="2" a="1"/>
  <c r="BC130" i="2" s="1"/>
  <c r="DN114" i="2" a="1"/>
  <c r="DN114" i="2" s="1"/>
  <c r="DN123" i="2" a="1"/>
  <c r="DN123" i="2" s="1"/>
  <c r="DN66" i="2" a="1"/>
  <c r="DN66" i="2" s="1"/>
  <c r="DN115" i="2" a="1"/>
  <c r="DN115" i="2" s="1"/>
  <c r="DN50" i="2" a="1"/>
  <c r="DN50" i="2" s="1"/>
  <c r="DN152" i="2" a="1"/>
  <c r="DN152" i="2" s="1"/>
  <c r="DN186" i="2" a="1"/>
  <c r="DN186" i="2" s="1"/>
  <c r="DN124" i="2" a="1"/>
  <c r="DN124" i="2" s="1"/>
  <c r="BC117" i="2" a="1"/>
  <c r="BC117" i="2" s="1"/>
  <c r="BC126" i="2" a="1"/>
  <c r="BC126" i="2" s="1"/>
  <c r="BC58" i="2" a="1"/>
  <c r="BC58" i="2" s="1"/>
  <c r="EI128" i="2" a="1"/>
  <c r="EI128" i="2" s="1"/>
  <c r="EI71" i="2" a="1"/>
  <c r="EI71" i="2" s="1"/>
  <c r="EI195" i="2" a="1"/>
  <c r="EI195" i="2" s="1"/>
  <c r="EI29" i="2" a="1"/>
  <c r="EI29" i="2" s="1"/>
  <c r="EI198" i="2" a="1"/>
  <c r="EI198" i="2" s="1"/>
  <c r="EI37" i="2" a="1"/>
  <c r="EI37" i="2" s="1"/>
  <c r="EI170" i="2" a="1"/>
  <c r="EI170" i="2" s="1"/>
  <c r="EI20" i="2" a="1"/>
  <c r="EI20" i="2" s="1"/>
  <c r="EI57" i="2" a="1"/>
  <c r="EI57" i="2" s="1"/>
  <c r="EI38" i="2" a="1"/>
  <c r="EI38" i="2" s="1"/>
  <c r="EI145" i="2" a="1"/>
  <c r="EI145" i="2" s="1"/>
  <c r="EI106" i="2" a="1"/>
  <c r="EI106" i="2" s="1"/>
  <c r="EI109" i="2" a="1"/>
  <c r="EI109" i="2" s="1"/>
  <c r="EI178" i="2" a="1"/>
  <c r="EI178" i="2" s="1"/>
  <c r="EI35" i="2" a="1"/>
  <c r="EI35" i="2" s="1"/>
  <c r="EI16" i="2" a="1"/>
  <c r="EI16" i="2" s="1"/>
  <c r="EI34" i="2" a="1"/>
  <c r="EI34" i="2" s="1"/>
  <c r="EI36" i="2" a="1"/>
  <c r="EI36" i="2" s="1"/>
  <c r="EI162" i="2" a="1"/>
  <c r="EI162" i="2" s="1"/>
  <c r="EI153" i="2" a="1"/>
  <c r="EI153" i="2" s="1"/>
  <c r="BP203" i="2"/>
  <c r="FR203" i="2"/>
  <c r="HG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ED203" i="2" s="1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8" i="2" l="1"/>
  <c r="FZ9" i="2" s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<sst xmlns="http://schemas.openxmlformats.org/spreadsheetml/2006/main" count="1173" uniqueCount="325">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</sst>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2.1827412805591249</c:v>
                </c:pt>
                <c:pt idx="2">
                  <c:v>3.072752466359074</c:v>
                </c:pt>
                <c:pt idx="3">
                  <c:v>4.3272468407963478</c:v>
                </c:pt>
                <c:pt idx="4">
                  <c:v>6.0960991203634167</c:v>
                </c:pt>
                <c:pt idx="5">
                  <c:v>8.5910457829428761</c:v>
                </c:pt>
                <c:pt idx="6">
                  <c:v>12.111308120410888</c:v>
                </c:pt>
                <c:pt idx="7">
                  <c:v>17.079862262962827</c:v>
                </c:pt>
                <c:pt idx="8">
                  <c:v>24.094793106242644</c:v>
                </c:pt>
                <c:pt idx="9">
                  <c:v>34.002022945399325</c:v>
                </c:pt>
                <c:pt idx="10">
                  <c:v>47.998335925397946</c:v>
                </c:pt>
                <c:pt idx="11">
                  <c:v>67.777352025416505</c:v>
                </c:pt>
                <c:pt idx="12">
                  <c:v>95.736402105530317</c:v>
                </c:pt>
                <c:pt idx="13">
                  <c:v>135.26977619819337</c:v>
                </c:pt>
                <c:pt idx="14">
                  <c:v>122.99225398355058</c:v>
                </c:pt>
                <c:pt idx="15">
                  <c:v>147.26006612469442</c:v>
                </c:pt>
                <c:pt idx="16">
                  <c:v>171.43215609711328</c:v>
                </c:pt>
                <c:pt idx="17">
                  <c:v>195.52394332084884</c:v>
                </c:pt>
                <c:pt idx="18">
                  <c:v>219.54672196983498</c:v>
                </c:pt>
                <c:pt idx="19">
                  <c:v>190.86670891760676</c:v>
                </c:pt>
                <c:pt idx="20">
                  <c:v>213.86965334974411</c:v>
                </c:pt>
                <c:pt idx="21">
                  <c:v>236.81560804160597</c:v>
                </c:pt>
                <c:pt idx="22">
                  <c:v>259.71087111615634</c:v>
                </c:pt>
                <c:pt idx="23">
                  <c:v>282.56053853494797</c:v>
                </c:pt>
                <c:pt idx="24">
                  <c:v>234.66154341211356</c:v>
                </c:pt>
                <c:pt idx="25">
                  <c:v>253.61167654685516</c:v>
                </c:pt>
                <c:pt idx="26">
                  <c:v>272.52975131805863</c:v>
                </c:pt>
                <c:pt idx="27">
                  <c:v>291.41830574316629</c:v>
                </c:pt>
                <c:pt idx="28">
                  <c:v>310.27952190512281</c:v>
                </c:pt>
                <c:pt idx="29">
                  <c:v>329.11529492857534</c:v>
                </c:pt>
                <c:pt idx="30">
                  <c:v>347.92728532477048</c:v>
                </c:pt>
                <c:pt idx="31">
                  <c:v>366.71695941586199</c:v>
                </c:pt>
                <c:pt idx="32">
                  <c:v>385.4856210372954</c:v>
                </c:pt>
                <c:pt idx="33">
                  <c:v>404.23443674163536</c:v>
                </c:pt>
                <c:pt idx="34">
                  <c:v>422.96445608157768</c:v>
                </c:pt>
                <c:pt idx="35">
                  <c:v>1.0676332069095257E-12</c:v>
                </c:pt>
                <c:pt idx="36">
                  <c:v>1.0676332069095257E-12</c:v>
                </c:pt>
                <c:pt idx="37">
                  <c:v>1.0676332069095257E-12</c:v>
                </c:pt>
                <c:pt idx="38">
                  <c:v>1.0676332069095257E-12</c:v>
                </c:pt>
                <c:pt idx="39">
                  <c:v>1.0676332069095257E-12</c:v>
                </c:pt>
                <c:pt idx="40">
                  <c:v>1.0676332069095257E-12</c:v>
                </c:pt>
                <c:pt idx="41">
                  <c:v>1.0676332069095257E-12</c:v>
                </c:pt>
                <c:pt idx="42">
                  <c:v>1.0676332069095257E-12</c:v>
                </c:pt>
                <c:pt idx="43">
                  <c:v>1.0676332069095257E-12</c:v>
                </c:pt>
                <c:pt idx="44">
                  <c:v>1.0676332069095257E-12</c:v>
                </c:pt>
                <c:pt idx="45">
                  <c:v>1.0676332069095257E-12</c:v>
                </c:pt>
                <c:pt idx="46">
                  <c:v>1.0676332069095257E-12</c:v>
                </c:pt>
                <c:pt idx="47">
                  <c:v>1.0676332069095257E-12</c:v>
                </c:pt>
                <c:pt idx="48">
                  <c:v>1.0676332069095257E-12</c:v>
                </c:pt>
                <c:pt idx="49">
                  <c:v>1.0676332069095257E-12</c:v>
                </c:pt>
                <c:pt idx="50">
                  <c:v>1.0676332069095257E-12</c:v>
                </c:pt>
                <c:pt idx="51">
                  <c:v>1.0676332069095257E-12</c:v>
                </c:pt>
                <c:pt idx="52">
                  <c:v>1.0676332069095257E-12</c:v>
                </c:pt>
                <c:pt idx="53">
                  <c:v>1.0676332069095257E-12</c:v>
                </c:pt>
                <c:pt idx="54">
                  <c:v>1.0676332069095257E-12</c:v>
                </c:pt>
                <c:pt idx="55">
                  <c:v>1.0676332069095257E-12</c:v>
                </c:pt>
                <c:pt idx="56">
                  <c:v>1.0676332069095257E-12</c:v>
                </c:pt>
                <c:pt idx="57">
                  <c:v>1.0676332069095257E-12</c:v>
                </c:pt>
                <c:pt idx="58">
                  <c:v>1.0676332069095257E-12</c:v>
                </c:pt>
                <c:pt idx="59">
                  <c:v>1.0676332069095257E-12</c:v>
                </c:pt>
                <c:pt idx="60">
                  <c:v>1.0676332069095257E-12</c:v>
                </c:pt>
                <c:pt idx="61">
                  <c:v>1.0676332069095257E-12</c:v>
                </c:pt>
                <c:pt idx="62">
                  <c:v>1.0676332069095257E-12</c:v>
                </c:pt>
                <c:pt idx="63">
                  <c:v>1.0676332069095257E-12</c:v>
                </c:pt>
                <c:pt idx="64">
                  <c:v>1.0676332069095257E-12</c:v>
                </c:pt>
                <c:pt idx="65">
                  <c:v>1.0676332069095257E-12</c:v>
                </c:pt>
                <c:pt idx="66">
                  <c:v>1.0676332069095257E-12</c:v>
                </c:pt>
                <c:pt idx="67">
                  <c:v>1.0676332069095257E-12</c:v>
                </c:pt>
                <c:pt idx="68">
                  <c:v>1.0676332069095257E-12</c:v>
                </c:pt>
                <c:pt idx="69">
                  <c:v>1.0676332069095257E-12</c:v>
                </c:pt>
                <c:pt idx="70">
                  <c:v>1.0676332069095257E-12</c:v>
                </c:pt>
                <c:pt idx="71">
                  <c:v>1.0676332069095257E-12</c:v>
                </c:pt>
                <c:pt idx="72">
                  <c:v>1.0676332069095257E-12</c:v>
                </c:pt>
                <c:pt idx="73">
                  <c:v>1.0676332069095257E-12</c:v>
                </c:pt>
                <c:pt idx="74">
                  <c:v>1.0676332069095257E-12</c:v>
                </c:pt>
                <c:pt idx="75">
                  <c:v>1.0676332069095257E-12</c:v>
                </c:pt>
                <c:pt idx="76">
                  <c:v>1.0676332069095257E-12</c:v>
                </c:pt>
                <c:pt idx="77">
                  <c:v>1.0676332069095257E-12</c:v>
                </c:pt>
                <c:pt idx="78">
                  <c:v>1.0676332069095257E-12</c:v>
                </c:pt>
                <c:pt idx="79">
                  <c:v>1.0676332069095257E-12</c:v>
                </c:pt>
                <c:pt idx="80">
                  <c:v>1.0676332069095257E-12</c:v>
                </c:pt>
                <c:pt idx="81">
                  <c:v>1.0676332069095257E-12</c:v>
                </c:pt>
                <c:pt idx="82">
                  <c:v>1.0676332069095257E-12</c:v>
                </c:pt>
                <c:pt idx="83">
                  <c:v>1.0676332069095257E-12</c:v>
                </c:pt>
                <c:pt idx="84">
                  <c:v>1.0676332069095257E-12</c:v>
                </c:pt>
                <c:pt idx="85">
                  <c:v>1.0676332069095257E-12</c:v>
                </c:pt>
                <c:pt idx="86">
                  <c:v>1.0676332069095257E-12</c:v>
                </c:pt>
                <c:pt idx="87">
                  <c:v>1.0676332069095257E-12</c:v>
                </c:pt>
                <c:pt idx="88">
                  <c:v>1.0676332069095257E-12</c:v>
                </c:pt>
                <c:pt idx="89">
                  <c:v>1.0676332069095257E-12</c:v>
                </c:pt>
                <c:pt idx="90">
                  <c:v>1.0676332069095257E-12</c:v>
                </c:pt>
                <c:pt idx="91">
                  <c:v>1.0676332069095257E-12</c:v>
                </c:pt>
                <c:pt idx="92">
                  <c:v>1.0676332069095257E-12</c:v>
                </c:pt>
                <c:pt idx="93">
                  <c:v>1.0676332069095257E-12</c:v>
                </c:pt>
                <c:pt idx="94">
                  <c:v>1.0676332069095257E-12</c:v>
                </c:pt>
                <c:pt idx="95">
                  <c:v>1.0676332069095257E-12</c:v>
                </c:pt>
                <c:pt idx="96">
                  <c:v>1.0676332069095257E-12</c:v>
                </c:pt>
                <c:pt idx="97">
                  <c:v>1.0676332069095257E-12</c:v>
                </c:pt>
                <c:pt idx="98">
                  <c:v>1.0676332069095257E-12</c:v>
                </c:pt>
                <c:pt idx="99">
                  <c:v>1.0676332069095257E-12</c:v>
                </c:pt>
                <c:pt idx="100">
                  <c:v>1.0676332069095257E-12</c:v>
                </c:pt>
                <c:pt idx="101">
                  <c:v>1.0676332069095257E-12</c:v>
                </c:pt>
                <c:pt idx="102">
                  <c:v>1.0676332069095257E-12</c:v>
                </c:pt>
                <c:pt idx="103">
                  <c:v>1.0676332069095257E-12</c:v>
                </c:pt>
                <c:pt idx="104">
                  <c:v>1.0676332069095257E-12</c:v>
                </c:pt>
                <c:pt idx="105">
                  <c:v>1.0676332069095257E-12</c:v>
                </c:pt>
                <c:pt idx="106">
                  <c:v>1.0676332069095257E-12</c:v>
                </c:pt>
                <c:pt idx="107">
                  <c:v>1.0676332069095257E-12</c:v>
                </c:pt>
                <c:pt idx="108">
                  <c:v>1.0676332069095257E-12</c:v>
                </c:pt>
                <c:pt idx="109">
                  <c:v>1.0676332069095257E-12</c:v>
                </c:pt>
                <c:pt idx="110">
                  <c:v>1.0676332069095257E-12</c:v>
                </c:pt>
                <c:pt idx="111">
                  <c:v>1.0676332069095257E-12</c:v>
                </c:pt>
                <c:pt idx="112">
                  <c:v>1.0676332069095257E-12</c:v>
                </c:pt>
                <c:pt idx="113">
                  <c:v>1.0676332069095257E-12</c:v>
                </c:pt>
                <c:pt idx="114">
                  <c:v>1.0676332069095257E-12</c:v>
                </c:pt>
                <c:pt idx="115">
                  <c:v>1.0676332069095257E-12</c:v>
                </c:pt>
                <c:pt idx="116">
                  <c:v>1.0676332069095257E-12</c:v>
                </c:pt>
                <c:pt idx="117">
                  <c:v>1.0676332069095257E-12</c:v>
                </c:pt>
                <c:pt idx="118">
                  <c:v>1.0676332069095257E-12</c:v>
                </c:pt>
                <c:pt idx="119">
                  <c:v>1.0676332069095257E-12</c:v>
                </c:pt>
                <c:pt idx="120">
                  <c:v>1.0676332069095257E-12</c:v>
                </c:pt>
                <c:pt idx="121">
                  <c:v>1.0676332069095257E-12</c:v>
                </c:pt>
                <c:pt idx="122">
                  <c:v>1.0676332069095257E-12</c:v>
                </c:pt>
                <c:pt idx="123">
                  <c:v>1.0676332069095257E-12</c:v>
                </c:pt>
                <c:pt idx="124">
                  <c:v>1.0676332069095257E-12</c:v>
                </c:pt>
                <c:pt idx="125">
                  <c:v>1.0676332069095257E-12</c:v>
                </c:pt>
                <c:pt idx="126">
                  <c:v>1.0676332069095257E-12</c:v>
                </c:pt>
                <c:pt idx="127">
                  <c:v>1.0676332069095257E-12</c:v>
                </c:pt>
                <c:pt idx="128">
                  <c:v>1.0676332069095257E-12</c:v>
                </c:pt>
                <c:pt idx="129">
                  <c:v>1.0676332069095257E-12</c:v>
                </c:pt>
                <c:pt idx="130">
                  <c:v>1.0676332069095257E-12</c:v>
                </c:pt>
                <c:pt idx="131">
                  <c:v>1.0676332069095257E-12</c:v>
                </c:pt>
                <c:pt idx="132">
                  <c:v>1.0676332069095257E-12</c:v>
                </c:pt>
                <c:pt idx="133">
                  <c:v>1.0676332069095257E-12</c:v>
                </c:pt>
                <c:pt idx="134">
                  <c:v>1.0676332069095257E-12</c:v>
                </c:pt>
                <c:pt idx="135">
                  <c:v>1.0676332069095257E-12</c:v>
                </c:pt>
                <c:pt idx="136">
                  <c:v>1.0676332069095257E-12</c:v>
                </c:pt>
                <c:pt idx="137">
                  <c:v>1.0676332069095257E-12</c:v>
                </c:pt>
                <c:pt idx="138">
                  <c:v>1.0676332069095257E-12</c:v>
                </c:pt>
                <c:pt idx="139">
                  <c:v>1.0676332069095257E-12</c:v>
                </c:pt>
                <c:pt idx="140">
                  <c:v>1.0676332069095257E-12</c:v>
                </c:pt>
                <c:pt idx="141">
                  <c:v>1.0676332069095257E-12</c:v>
                </c:pt>
                <c:pt idx="142">
                  <c:v>1.0676332069095257E-12</c:v>
                </c:pt>
                <c:pt idx="143">
                  <c:v>1.0676332069095257E-12</c:v>
                </c:pt>
                <c:pt idx="144">
                  <c:v>1.0676332069095257E-12</c:v>
                </c:pt>
                <c:pt idx="145">
                  <c:v>1.0676332069095257E-12</c:v>
                </c:pt>
                <c:pt idx="146">
                  <c:v>1.0676332069095257E-12</c:v>
                </c:pt>
                <c:pt idx="147">
                  <c:v>1.0676332069095257E-12</c:v>
                </c:pt>
                <c:pt idx="148">
                  <c:v>1.0676332069095257E-12</c:v>
                </c:pt>
                <c:pt idx="149">
                  <c:v>1.0676332069095257E-12</c:v>
                </c:pt>
                <c:pt idx="150">
                  <c:v>1.0676332069095257E-12</c:v>
                </c:pt>
                <c:pt idx="151">
                  <c:v>1.0676332069095257E-12</c:v>
                </c:pt>
                <c:pt idx="152">
                  <c:v>1.0676332069095257E-12</c:v>
                </c:pt>
                <c:pt idx="153">
                  <c:v>1.0676332069095257E-12</c:v>
                </c:pt>
                <c:pt idx="154">
                  <c:v>1.0676332069095257E-12</c:v>
                </c:pt>
                <c:pt idx="155">
                  <c:v>1.0676332069095257E-12</c:v>
                </c:pt>
                <c:pt idx="156">
                  <c:v>1.0676332069095257E-12</c:v>
                </c:pt>
                <c:pt idx="157">
                  <c:v>1.0676332069095257E-12</c:v>
                </c:pt>
                <c:pt idx="158">
                  <c:v>1.0676332069095257E-12</c:v>
                </c:pt>
                <c:pt idx="159">
                  <c:v>1.0676332069095257E-12</c:v>
                </c:pt>
                <c:pt idx="160">
                  <c:v>1.0676332069095257E-12</c:v>
                </c:pt>
                <c:pt idx="161">
                  <c:v>1.0676332069095257E-12</c:v>
                </c:pt>
                <c:pt idx="162">
                  <c:v>1.0676332069095257E-12</c:v>
                </c:pt>
                <c:pt idx="163">
                  <c:v>1.0676332069095257E-12</c:v>
                </c:pt>
                <c:pt idx="164">
                  <c:v>1.0676332069095257E-12</c:v>
                </c:pt>
                <c:pt idx="165">
                  <c:v>1.0676332069095257E-12</c:v>
                </c:pt>
                <c:pt idx="166">
                  <c:v>1.0676332069095257E-12</c:v>
                </c:pt>
                <c:pt idx="167">
                  <c:v>1.0676332069095257E-12</c:v>
                </c:pt>
                <c:pt idx="168">
                  <c:v>1.0676332069095257E-12</c:v>
                </c:pt>
                <c:pt idx="169">
                  <c:v>1.0676332069095257E-12</c:v>
                </c:pt>
                <c:pt idx="170">
                  <c:v>1.0676332069095257E-12</c:v>
                </c:pt>
                <c:pt idx="171">
                  <c:v>1.0676332069095257E-12</c:v>
                </c:pt>
                <c:pt idx="172">
                  <c:v>1.0676332069095257E-12</c:v>
                </c:pt>
                <c:pt idx="173">
                  <c:v>1.0676332069095257E-12</c:v>
                </c:pt>
                <c:pt idx="174">
                  <c:v>1.0676332069095257E-12</c:v>
                </c:pt>
                <c:pt idx="175">
                  <c:v>1.0676332069095257E-12</c:v>
                </c:pt>
                <c:pt idx="176">
                  <c:v>1.0676332069095257E-12</c:v>
                </c:pt>
                <c:pt idx="177">
                  <c:v>1.0676332069095257E-12</c:v>
                </c:pt>
                <c:pt idx="178">
                  <c:v>1.0676332069095257E-12</c:v>
                </c:pt>
                <c:pt idx="179">
                  <c:v>1.0676332069095257E-12</c:v>
                </c:pt>
                <c:pt idx="180">
                  <c:v>1.0676332069095257E-12</c:v>
                </c:pt>
                <c:pt idx="181">
                  <c:v>1.0676332069095257E-12</c:v>
                </c:pt>
                <c:pt idx="182">
                  <c:v>1.0676332069095257E-12</c:v>
                </c:pt>
                <c:pt idx="183">
                  <c:v>1.0676332069095257E-12</c:v>
                </c:pt>
                <c:pt idx="184">
                  <c:v>1.0676332069095257E-12</c:v>
                </c:pt>
                <c:pt idx="185">
                  <c:v>1.0676332069095257E-12</c:v>
                </c:pt>
                <c:pt idx="186">
                  <c:v>1.0676332069095257E-12</c:v>
                </c:pt>
                <c:pt idx="187">
                  <c:v>1.0676332069095257E-12</c:v>
                </c:pt>
                <c:pt idx="188">
                  <c:v>1.0676332069095257E-12</c:v>
                </c:pt>
                <c:pt idx="189">
                  <c:v>1.0676332069095257E-12</c:v>
                </c:pt>
                <c:pt idx="190">
                  <c:v>1.0676332069095257E-12</c:v>
                </c:pt>
                <c:pt idx="191">
                  <c:v>1.0676332069095257E-12</c:v>
                </c:pt>
                <c:pt idx="192">
                  <c:v>1.0676332069095257E-12</c:v>
                </c:pt>
                <c:pt idx="193">
                  <c:v>1.0676332069095257E-12</c:v>
                </c:pt>
                <c:pt idx="194">
                  <c:v>1.0676332069095257E-12</c:v>
                </c:pt>
                <c:pt idx="195">
                  <c:v>1.0676332069095257E-12</c:v>
                </c:pt>
                <c:pt idx="196">
                  <c:v>1.0676332069095257E-12</c:v>
                </c:pt>
                <c:pt idx="197">
                  <c:v>1.0676332069095257E-12</c:v>
                </c:pt>
                <c:pt idx="198">
                  <c:v>1.0676332069095257E-12</c:v>
                </c:pt>
                <c:pt idx="199">
                  <c:v>1.0676332069095257E-12</c:v>
                </c:pt>
                <c:pt idx="200">
                  <c:v>1.0676332069095257E-12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"/>
  <cols>
    <col min="1" max="1" width="6.6640625" customWidth="1"/>
    <col min="2" max="13" width="15.83203125" customWidth="1"/>
  </cols>
  <sheetData>
    <row r="12" spans="2:13" ht="15" customHeight="1" x14ac:dyDescent="0.2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2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2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2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2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2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2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2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2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2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2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2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2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2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2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2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2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2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2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C21" zoomScale="226" zoomScaleNormal="80" workbookViewId="0">
      <selection activeCell="C9" activeCellId="1" sqref="C11 C9"/>
    </sheetView>
  </sheetViews>
  <sheetFormatPr baseColWidth="10" defaultColWidth="11.5" defaultRowHeight="15" x14ac:dyDescent="0.2"/>
  <cols>
    <col min="1" max="1" width="13.6640625" style="23" customWidth="1"/>
    <col min="2" max="2" width="36.1640625" style="23" customWidth="1"/>
    <col min="3" max="3" width="14.83203125" style="23" bestFit="1" customWidth="1"/>
    <col min="4" max="4" width="16.5" style="23" customWidth="1"/>
    <col min="5" max="5" width="23.33203125" style="23" customWidth="1"/>
    <col min="6" max="6" width="28.83203125" style="23" bestFit="1" customWidth="1"/>
    <col min="7" max="8" width="14.6640625" style="23" customWidth="1"/>
    <col min="9" max="9" width="17" style="23" customWidth="1"/>
    <col min="10" max="10" width="13.83203125" style="23" customWidth="1"/>
    <col min="11" max="16384" width="11.5" style="23"/>
  </cols>
  <sheetData>
    <row r="1" spans="1:38" x14ac:dyDescent="0.2">
      <c r="A1" s="4"/>
      <c r="B1" s="4"/>
      <c r="C1" s="258" t="s">
        <v>190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6" thickBot="1" x14ac:dyDescent="0.25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25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2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2">
      <c r="A5" s="268" t="s">
        <v>231</v>
      </c>
      <c r="B5" s="268"/>
      <c r="C5" s="24">
        <v>62.25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2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">
      <c r="A9" s="30" t="s">
        <v>165</v>
      </c>
      <c r="B9" s="31" t="s">
        <v>36</v>
      </c>
      <c r="C9" s="32">
        <v>0.13</v>
      </c>
      <c r="D9" s="33">
        <f t="shared" ref="D9:D18" si="0">C9*$C$5</f>
        <v>8.0925000000000011</v>
      </c>
      <c r="E9" s="34">
        <v>34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">
      <c r="A10" s="30" t="s">
        <v>166</v>
      </c>
      <c r="B10" s="31" t="s">
        <v>138</v>
      </c>
      <c r="C10" s="32">
        <v>0.2</v>
      </c>
      <c r="D10" s="33">
        <f t="shared" si="0"/>
        <v>12.450000000000001</v>
      </c>
      <c r="E10" s="34">
        <v>30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">
      <c r="A11" s="30" t="s">
        <v>167</v>
      </c>
      <c r="B11" s="31" t="s">
        <v>36</v>
      </c>
      <c r="C11" s="32">
        <v>0.67</v>
      </c>
      <c r="D11" s="33">
        <f t="shared" si="0"/>
        <v>41.707500000000003</v>
      </c>
      <c r="E11" s="34">
        <v>30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">
      <c r="A19" s="78"/>
      <c r="B19" s="36" t="s">
        <v>175</v>
      </c>
      <c r="C19" s="37">
        <f>SUM(C9:C18)</f>
        <v>1</v>
      </c>
      <c r="D19" s="38">
        <f>SUM(D9:D18)</f>
        <v>62.250000000000007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2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">
      <c r="A32" s="46" t="s">
        <v>165</v>
      </c>
      <c r="B32" s="47" t="str">
        <f>IF(B9="","",B9)</f>
        <v>Pin maritime</v>
      </c>
      <c r="C32" s="23" t="s">
        <v>324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32" x14ac:dyDescent="0.2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">
      <c r="A36" s="50">
        <v>13</v>
      </c>
      <c r="B36" s="60">
        <v>101</v>
      </c>
      <c r="C36" s="60">
        <v>1</v>
      </c>
      <c r="D36" s="60">
        <v>28</v>
      </c>
      <c r="E36" s="51"/>
      <c r="F36" s="51"/>
      <c r="G36" s="51">
        <v>1</v>
      </c>
      <c r="H36" s="51"/>
      <c r="I36" s="49">
        <f>IFERROR(B36/A36,"")</f>
        <v>7.7692307692307692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">
      <c r="A37" s="50">
        <v>18</v>
      </c>
      <c r="B37" s="60">
        <v>166</v>
      </c>
      <c r="C37" s="60">
        <v>2</v>
      </c>
      <c r="D37" s="60">
        <v>40</v>
      </c>
      <c r="E37" s="51">
        <v>0.25</v>
      </c>
      <c r="F37" s="51">
        <v>0.5</v>
      </c>
      <c r="G37" s="51">
        <v>0.25</v>
      </c>
      <c r="H37" s="51"/>
      <c r="I37" s="53">
        <f t="shared" ref="I37:I55" si="1">IF(A37&lt;&gt;0,(B37-(B36-D36))/(A37-A36),"")</f>
        <v>18.600000000000001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">
      <c r="A38" s="50">
        <v>23</v>
      </c>
      <c r="B38" s="60">
        <v>215</v>
      </c>
      <c r="C38" s="60">
        <v>3</v>
      </c>
      <c r="D38" s="60">
        <v>52</v>
      </c>
      <c r="E38" s="51">
        <v>0.6</v>
      </c>
      <c r="F38" s="51">
        <v>0.2</v>
      </c>
      <c r="G38" s="51">
        <v>0.2</v>
      </c>
      <c r="H38" s="51"/>
      <c r="I38" s="53">
        <f t="shared" si="1"/>
        <v>17.8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">
      <c r="A39" s="50">
        <v>34</v>
      </c>
      <c r="B39" s="60">
        <v>325</v>
      </c>
      <c r="C39" s="60">
        <v>4</v>
      </c>
      <c r="D39" s="60">
        <v>325</v>
      </c>
      <c r="E39" s="51">
        <v>0.8</v>
      </c>
      <c r="F39" s="51">
        <v>0.1</v>
      </c>
      <c r="G39" s="51"/>
      <c r="H39" s="51">
        <v>0.1</v>
      </c>
      <c r="I39" s="49">
        <f t="shared" si="1"/>
        <v>14.727272727272727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">
      <c r="A40" s="50"/>
      <c r="B40" s="60"/>
      <c r="C40" s="60"/>
      <c r="D40" s="60"/>
      <c r="E40" s="51"/>
      <c r="F40" s="51"/>
      <c r="G40" s="51"/>
      <c r="H40" s="51"/>
      <c r="I40" s="49" t="str">
        <f t="shared" si="1"/>
        <v/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">
      <c r="A41" s="50"/>
      <c r="B41" s="60"/>
      <c r="C41" s="60"/>
      <c r="D41" s="60"/>
      <c r="E41" s="51"/>
      <c r="F41" s="51"/>
      <c r="G41" s="51"/>
      <c r="H41" s="51"/>
      <c r="I41" s="53" t="str">
        <f t="shared" si="1"/>
        <v/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">
      <c r="A42" s="50"/>
      <c r="B42" s="60"/>
      <c r="C42" s="60"/>
      <c r="D42" s="60"/>
      <c r="E42" s="51"/>
      <c r="F42" s="51"/>
      <c r="G42" s="51"/>
      <c r="H42" s="51"/>
      <c r="I42" s="53" t="str">
        <f t="shared" si="1"/>
        <v/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">
      <c r="A43" s="50"/>
      <c r="B43" s="60"/>
      <c r="C43" s="60"/>
      <c r="D43" s="60"/>
      <c r="E43" s="51"/>
      <c r="F43" s="51"/>
      <c r="G43" s="51"/>
      <c r="H43" s="51"/>
      <c r="I43" s="49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">
      <c r="A58" s="46" t="s">
        <v>166</v>
      </c>
      <c r="B58" s="52" t="str">
        <f>IF(B10="","",B10)</f>
        <v>Pin taeda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32" x14ac:dyDescent="0.2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">
      <c r="A62" s="50">
        <v>12</v>
      </c>
      <c r="B62" s="60">
        <v>106</v>
      </c>
      <c r="C62" s="60">
        <v>1</v>
      </c>
      <c r="D62" s="60">
        <v>34</v>
      </c>
      <c r="E62" s="51"/>
      <c r="F62" s="51"/>
      <c r="G62" s="51">
        <v>1</v>
      </c>
      <c r="H62" s="51"/>
      <c r="I62" s="53">
        <f>IFERROR(B62/A62,"")</f>
        <v>8.8333333333333339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">
      <c r="A63" s="50">
        <v>17</v>
      </c>
      <c r="B63" s="60">
        <v>176</v>
      </c>
      <c r="C63" s="60">
        <v>2</v>
      </c>
      <c r="D63" s="60">
        <v>43</v>
      </c>
      <c r="E63" s="51">
        <v>0.25</v>
      </c>
      <c r="F63" s="51">
        <v>0.5</v>
      </c>
      <c r="G63" s="51">
        <v>0.25</v>
      </c>
      <c r="H63" s="51"/>
      <c r="I63" s="49">
        <f>IF(A63&lt;&gt;0,(B63-(B62-D62))/(A63-A62),"")</f>
        <v>20.8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">
      <c r="A64" s="50">
        <v>22</v>
      </c>
      <c r="B64" s="60">
        <v>232</v>
      </c>
      <c r="C64" s="60">
        <v>3</v>
      </c>
      <c r="D64" s="60">
        <v>56</v>
      </c>
      <c r="E64" s="51">
        <v>0.6</v>
      </c>
      <c r="F64" s="51">
        <v>0.2</v>
      </c>
      <c r="G64" s="51">
        <v>0.2</v>
      </c>
      <c r="H64" s="51"/>
      <c r="I64" s="49">
        <f>IF(A64&lt;&gt;0,(B64-(B63-D63))/(A64-A63),"")</f>
        <v>19.8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">
      <c r="A65" s="50">
        <v>30</v>
      </c>
      <c r="B65" s="60">
        <v>309</v>
      </c>
      <c r="C65" s="60">
        <v>4</v>
      </c>
      <c r="D65" s="60">
        <v>309</v>
      </c>
      <c r="E65" s="51">
        <v>0.8</v>
      </c>
      <c r="F65" s="51">
        <v>0.1</v>
      </c>
      <c r="G65" s="51"/>
      <c r="H65" s="51">
        <v>0.1</v>
      </c>
      <c r="I65" s="49">
        <f>IF(A65&lt;&gt;0,(B65-(B64-D64))/(A65-A64),"")</f>
        <v>16.625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">
      <c r="A66" s="50"/>
      <c r="B66" s="60"/>
      <c r="C66" s="60"/>
      <c r="D66" s="60"/>
      <c r="E66" s="51"/>
      <c r="F66" s="51"/>
      <c r="G66" s="51"/>
      <c r="H66" s="51"/>
      <c r="I66" s="49" t="str">
        <f t="shared" ref="I66:I81" si="2">IF(A66&lt;&gt;0,(B66-(B65-D65))/(A66-A65),"")</f>
        <v/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">
      <c r="A67" s="50"/>
      <c r="B67" s="60"/>
      <c r="C67" s="60"/>
      <c r="D67" s="60"/>
      <c r="E67" s="51"/>
      <c r="F67" s="51"/>
      <c r="G67" s="51"/>
      <c r="H67" s="51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">
      <c r="A68" s="50"/>
      <c r="B68" s="60"/>
      <c r="C68" s="60"/>
      <c r="D68" s="60"/>
      <c r="E68" s="51"/>
      <c r="F68" s="51"/>
      <c r="G68" s="51"/>
      <c r="H68" s="51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">
      <c r="A84" s="46" t="s">
        <v>167</v>
      </c>
      <c r="B84" s="52" t="str">
        <f>IF(B11="","",B11)</f>
        <v>Pin maritime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32" x14ac:dyDescent="0.2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">
      <c r="A88" s="50">
        <v>12</v>
      </c>
      <c r="B88" s="60">
        <v>106</v>
      </c>
      <c r="C88" s="60">
        <v>1</v>
      </c>
      <c r="D88" s="60">
        <v>34</v>
      </c>
      <c r="E88" s="51"/>
      <c r="F88" s="51"/>
      <c r="G88" s="51">
        <v>1</v>
      </c>
      <c r="H88" s="87"/>
      <c r="I88" s="53">
        <f>IFERROR(B88/A88,"")</f>
        <v>8.8333333333333339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">
      <c r="A89" s="50">
        <v>17</v>
      </c>
      <c r="B89" s="60">
        <v>176</v>
      </c>
      <c r="C89" s="60">
        <v>2</v>
      </c>
      <c r="D89" s="60">
        <v>43</v>
      </c>
      <c r="E89" s="51">
        <v>0.25</v>
      </c>
      <c r="F89" s="51">
        <v>0.5</v>
      </c>
      <c r="G89" s="51">
        <v>0.25</v>
      </c>
      <c r="H89" s="87"/>
      <c r="I89" s="53">
        <f t="shared" ref="I89:I107" si="3">IF(A89&lt;&gt;0,(B89-(B88-D88))/(A89-A88),"")</f>
        <v>20.8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">
      <c r="A90" s="50">
        <v>22</v>
      </c>
      <c r="B90" s="60">
        <v>232</v>
      </c>
      <c r="C90" s="60">
        <v>3</v>
      </c>
      <c r="D90" s="60">
        <v>56</v>
      </c>
      <c r="E90" s="87">
        <v>0.6</v>
      </c>
      <c r="F90" s="87">
        <v>0.2</v>
      </c>
      <c r="G90" s="87">
        <v>0.2</v>
      </c>
      <c r="H90" s="87"/>
      <c r="I90" s="53">
        <f t="shared" si="3"/>
        <v>19.8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">
      <c r="A91" s="50">
        <v>30</v>
      </c>
      <c r="B91" s="60">
        <v>309</v>
      </c>
      <c r="C91" s="60">
        <v>4</v>
      </c>
      <c r="D91" s="60">
        <v>309</v>
      </c>
      <c r="E91" s="87">
        <v>0.8</v>
      </c>
      <c r="F91" s="87">
        <v>0.1</v>
      </c>
      <c r="G91" s="87"/>
      <c r="H91" s="87">
        <v>0.1</v>
      </c>
      <c r="I91" s="53">
        <f t="shared" si="3"/>
        <v>16.625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32" x14ac:dyDescent="0.2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32" x14ac:dyDescent="0.2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32" x14ac:dyDescent="0.2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32" x14ac:dyDescent="0.2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32" x14ac:dyDescent="0.2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32" x14ac:dyDescent="0.2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32" x14ac:dyDescent="0.2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15" sqref="G15"/>
    </sheetView>
  </sheetViews>
  <sheetFormatPr baseColWidth="10" defaultColWidth="11.5" defaultRowHeight="15" x14ac:dyDescent="0.2"/>
  <cols>
    <col min="1" max="1" width="5.83203125" style="1" customWidth="1"/>
    <col min="2" max="2" width="14.1640625" style="1" customWidth="1"/>
    <col min="3" max="3" width="62.164062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5" style="1"/>
    <col min="11" max="11" width="12.5" style="1" customWidth="1"/>
    <col min="12" max="16384" width="11.5" style="1"/>
  </cols>
  <sheetData>
    <row r="1" spans="1:38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3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">
      <c r="C104" s="4"/>
      <c r="F104" s="4"/>
    </row>
    <row r="105" spans="3:35" x14ac:dyDescent="0.2">
      <c r="C105" s="4"/>
      <c r="F105" s="4"/>
    </row>
    <row r="106" spans="3:35" x14ac:dyDescent="0.2">
      <c r="C106" s="4"/>
      <c r="F106" s="4"/>
    </row>
    <row r="107" spans="3:35" x14ac:dyDescent="0.2">
      <c r="C107" s="4"/>
      <c r="F107" s="4"/>
    </row>
    <row r="108" spans="3:35" x14ac:dyDescent="0.2">
      <c r="C108" s="4"/>
      <c r="F108" s="4"/>
    </row>
    <row r="109" spans="3:35" x14ac:dyDescent="0.2">
      <c r="C109" s="4"/>
      <c r="F109" s="4"/>
    </row>
    <row r="110" spans="3:35" x14ac:dyDescent="0.2">
      <c r="C110" s="4"/>
      <c r="F110" s="4"/>
    </row>
    <row r="111" spans="3:35" x14ac:dyDescent="0.2">
      <c r="C111" s="4"/>
      <c r="F111" s="4"/>
    </row>
    <row r="112" spans="3:35" x14ac:dyDescent="0.2">
      <c r="C112" s="4"/>
      <c r="F112" s="4"/>
    </row>
    <row r="113" spans="3:6" x14ac:dyDescent="0.2">
      <c r="C113" s="4"/>
      <c r="F113" s="4"/>
    </row>
    <row r="114" spans="3:6" x14ac:dyDescent="0.2">
      <c r="C114" s="4"/>
      <c r="F114" s="4"/>
    </row>
    <row r="115" spans="3:6" x14ac:dyDescent="0.2">
      <c r="C115" s="4"/>
      <c r="F115" s="4"/>
    </row>
    <row r="116" spans="3:6" x14ac:dyDescent="0.2">
      <c r="C116" s="4"/>
      <c r="F116" s="4"/>
    </row>
    <row r="117" spans="3:6" x14ac:dyDescent="0.2">
      <c r="C117" s="4"/>
      <c r="F117" s="4"/>
    </row>
    <row r="118" spans="3:6" x14ac:dyDescent="0.2">
      <c r="C118" s="4"/>
      <c r="F118" s="4"/>
    </row>
    <row r="119" spans="3:6" x14ac:dyDescent="0.2">
      <c r="C119" s="4"/>
      <c r="F119" s="4"/>
    </row>
    <row r="120" spans="3:6" x14ac:dyDescent="0.2">
      <c r="C120" s="4"/>
      <c r="F120" s="4"/>
    </row>
    <row r="121" spans="3:6" x14ac:dyDescent="0.2">
      <c r="C121" s="4"/>
      <c r="F121" s="4"/>
    </row>
    <row r="122" spans="3:6" x14ac:dyDescent="0.2">
      <c r="C122" s="4"/>
      <c r="F122" s="4"/>
    </row>
    <row r="123" spans="3:6" x14ac:dyDescent="0.2">
      <c r="C123" s="4"/>
      <c r="F123" s="4"/>
    </row>
    <row r="124" spans="3:6" x14ac:dyDescent="0.2">
      <c r="C124" s="4"/>
      <c r="F124" s="4"/>
    </row>
    <row r="125" spans="3:6" x14ac:dyDescent="0.2">
      <c r="C125" s="4"/>
      <c r="F125" s="4"/>
    </row>
    <row r="126" spans="3:6" x14ac:dyDescent="0.2">
      <c r="C126" s="4"/>
      <c r="F126" s="4"/>
    </row>
    <row r="127" spans="3:6" x14ac:dyDescent="0.2">
      <c r="C127" s="4"/>
      <c r="F127" s="4"/>
    </row>
    <row r="128" spans="3:6" x14ac:dyDescent="0.2">
      <c r="C128" s="4"/>
      <c r="F128" s="4"/>
    </row>
    <row r="129" spans="3:6" x14ac:dyDescent="0.2">
      <c r="C129" s="4"/>
      <c r="F129" s="4"/>
    </row>
    <row r="130" spans="3:6" x14ac:dyDescent="0.2">
      <c r="C130" s="4"/>
      <c r="F130" s="4"/>
    </row>
    <row r="131" spans="3:6" x14ac:dyDescent="0.2">
      <c r="C131" s="4"/>
      <c r="F131" s="4"/>
    </row>
    <row r="132" spans="3:6" x14ac:dyDescent="0.2">
      <c r="F132" s="4"/>
    </row>
    <row r="133" spans="3:6" x14ac:dyDescent="0.2">
      <c r="F133" s="4"/>
    </row>
    <row r="134" spans="3:6" x14ac:dyDescent="0.2">
      <c r="F134" s="4"/>
    </row>
    <row r="135" spans="3:6" x14ac:dyDescent="0.2">
      <c r="F135" s="4"/>
    </row>
    <row r="136" spans="3:6" x14ac:dyDescent="0.2">
      <c r="F136" s="4"/>
    </row>
    <row r="137" spans="3:6" x14ac:dyDescent="0.2">
      <c r="F137" s="4"/>
    </row>
    <row r="138" spans="3:6" x14ac:dyDescent="0.2">
      <c r="F138" s="4"/>
    </row>
    <row r="139" spans="3:6" x14ac:dyDescent="0.2">
      <c r="F139" s="4"/>
    </row>
    <row r="140" spans="3:6" x14ac:dyDescent="0.2">
      <c r="F140" s="4"/>
    </row>
    <row r="141" spans="3:6" x14ac:dyDescent="0.2">
      <c r="F141" s="4"/>
    </row>
    <row r="142" spans="3:6" x14ac:dyDescent="0.2">
      <c r="F142" s="4"/>
    </row>
    <row r="143" spans="3:6" x14ac:dyDescent="0.2">
      <c r="F143" s="4"/>
    </row>
    <row r="144" spans="3:6" x14ac:dyDescent="0.2">
      <c r="F144" s="4"/>
    </row>
    <row r="145" spans="6:6" x14ac:dyDescent="0.2">
      <c r="F145" s="4"/>
    </row>
    <row r="146" spans="6:6" x14ac:dyDescent="0.2">
      <c r="F146" s="4"/>
    </row>
    <row r="147" spans="6:6" x14ac:dyDescent="0.2">
      <c r="F147" s="4"/>
    </row>
    <row r="148" spans="6:6" x14ac:dyDescent="0.2">
      <c r="F148" s="4"/>
    </row>
    <row r="149" spans="6:6" x14ac:dyDescent="0.2">
      <c r="F149" s="4"/>
    </row>
    <row r="150" spans="6:6" x14ac:dyDescent="0.2">
      <c r="F150" s="4"/>
    </row>
    <row r="151" spans="6:6" x14ac:dyDescent="0.2">
      <c r="F151" s="4"/>
    </row>
    <row r="152" spans="6:6" x14ac:dyDescent="0.2">
      <c r="F152" s="4"/>
    </row>
    <row r="153" spans="6:6" x14ac:dyDescent="0.2">
      <c r="F153" s="4"/>
    </row>
    <row r="154" spans="6:6" x14ac:dyDescent="0.2">
      <c r="F154" s="4"/>
    </row>
    <row r="155" spans="6:6" x14ac:dyDescent="0.2">
      <c r="F155" s="4"/>
    </row>
    <row r="156" spans="6:6" x14ac:dyDescent="0.2">
      <c r="F156" s="4"/>
    </row>
    <row r="157" spans="6:6" x14ac:dyDescent="0.2">
      <c r="F157" s="4"/>
    </row>
    <row r="158" spans="6:6" x14ac:dyDescent="0.2">
      <c r="F158" s="4"/>
    </row>
    <row r="159" spans="6:6" x14ac:dyDescent="0.2">
      <c r="F159" s="4"/>
    </row>
    <row r="160" spans="6:6" x14ac:dyDescent="0.2">
      <c r="F160" s="4"/>
    </row>
    <row r="161" spans="6:6" x14ac:dyDescent="0.2">
      <c r="F161" s="4"/>
    </row>
    <row r="162" spans="6:6" x14ac:dyDescent="0.2">
      <c r="F162" s="4"/>
    </row>
    <row r="163" spans="6:6" x14ac:dyDescent="0.2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5" defaultRowHeight="15" x14ac:dyDescent="0.2"/>
  <cols>
    <col min="1" max="1" width="6.83203125" style="4" bestFit="1" customWidth="1"/>
    <col min="2" max="4" width="11.5" style="4"/>
    <col min="5" max="5" width="9.5" style="4" customWidth="1"/>
    <col min="6" max="7" width="11.5" style="4"/>
    <col min="8" max="8" width="10.6640625" style="4" customWidth="1"/>
    <col min="9" max="9" width="9.5" style="4" customWidth="1"/>
    <col min="10" max="11" width="10.5" style="4" bestFit="1" customWidth="1"/>
    <col min="12" max="12" width="14" style="4" bestFit="1" customWidth="1"/>
    <col min="13" max="13" width="14" style="4" customWidth="1"/>
    <col min="14" max="23" width="11.5" style="4"/>
    <col min="24" max="24" width="11.6640625" style="4" bestFit="1" customWidth="1"/>
    <col min="25" max="25" width="14.5" style="4" bestFit="1" customWidth="1"/>
    <col min="26" max="26" width="12.5" style="4" bestFit="1" customWidth="1"/>
    <col min="27" max="27" width="9.6640625" style="4" bestFit="1" customWidth="1"/>
    <col min="28" max="28" width="11" style="4" bestFit="1" customWidth="1"/>
    <col min="29" max="29" width="9.5" style="4" bestFit="1" customWidth="1"/>
    <col min="30" max="31" width="9.5" style="4" customWidth="1"/>
    <col min="32" max="32" width="11.5" style="4"/>
    <col min="33" max="34" width="14" style="4" bestFit="1" customWidth="1"/>
    <col min="35" max="35" width="10.5" style="4" bestFit="1" customWidth="1"/>
    <col min="36" max="36" width="9.5" style="4" bestFit="1" customWidth="1"/>
    <col min="37" max="38" width="10.5" style="4" bestFit="1" customWidth="1"/>
    <col min="39" max="41" width="10.5" style="4" customWidth="1"/>
    <col min="42" max="42" width="9" style="4" bestFit="1" customWidth="1"/>
    <col min="43" max="43" width="10.5" style="4" bestFit="1" customWidth="1"/>
    <col min="44" max="44" width="9.33203125" style="4" bestFit="1" customWidth="1"/>
    <col min="45" max="45" width="11.6640625" style="4" bestFit="1" customWidth="1"/>
    <col min="46" max="46" width="8.5" style="4" bestFit="1" customWidth="1"/>
    <col min="47" max="47" width="9.5" style="4" bestFit="1" customWidth="1"/>
    <col min="48" max="48" width="9.6640625" style="4" bestFit="1" customWidth="1"/>
    <col min="49" max="49" width="11" style="4" bestFit="1" customWidth="1"/>
    <col min="50" max="50" width="9.5" style="4" bestFit="1" customWidth="1"/>
    <col min="51" max="52" width="9.5" style="4" customWidth="1"/>
    <col min="53" max="53" width="10.5" style="4" bestFit="1" customWidth="1"/>
    <col min="54" max="54" width="14.33203125" style="4" customWidth="1"/>
    <col min="55" max="55" width="14" style="4" customWidth="1"/>
    <col min="56" max="56" width="10.5" style="4" bestFit="1" customWidth="1"/>
    <col min="57" max="57" width="9.5" style="4" bestFit="1" customWidth="1"/>
    <col min="58" max="59" width="10.5" style="4" bestFit="1" customWidth="1"/>
    <col min="60" max="62" width="10.5" style="4" customWidth="1"/>
    <col min="63" max="63" width="9" style="4" bestFit="1" customWidth="1"/>
    <col min="64" max="64" width="10.5" style="4" bestFit="1" customWidth="1"/>
    <col min="65" max="65" width="9.33203125" style="4" bestFit="1" customWidth="1"/>
    <col min="66" max="66" width="11.6640625" style="4" bestFit="1" customWidth="1"/>
    <col min="67" max="67" width="8.5" style="4" bestFit="1" customWidth="1"/>
    <col min="68" max="68" width="9.5" style="4" bestFit="1" customWidth="1"/>
    <col min="69" max="69" width="9.6640625" style="4" bestFit="1" customWidth="1"/>
    <col min="70" max="70" width="11" style="4" bestFit="1" customWidth="1"/>
    <col min="71" max="71" width="9.5" style="4" bestFit="1" customWidth="1"/>
    <col min="72" max="73" width="9.5" style="4" customWidth="1"/>
    <col min="74" max="74" width="10.5" style="4" bestFit="1" customWidth="1"/>
    <col min="75" max="75" width="14" style="4" bestFit="1" customWidth="1"/>
    <col min="76" max="76" width="13.83203125" style="4" customWidth="1"/>
    <col min="77" max="77" width="10.5" style="4" bestFit="1" customWidth="1"/>
    <col min="78" max="78" width="9.5" style="4" bestFit="1" customWidth="1"/>
    <col min="79" max="80" width="10.5" style="4" bestFit="1" customWidth="1"/>
    <col min="81" max="83" width="10.5" style="4" customWidth="1"/>
    <col min="84" max="84" width="11.5" style="4"/>
    <col min="85" max="85" width="10.5" style="4" bestFit="1" customWidth="1"/>
    <col min="86" max="86" width="9.33203125" style="4" bestFit="1" customWidth="1"/>
    <col min="87" max="87" width="11.6640625" style="4" bestFit="1" customWidth="1"/>
    <col min="88" max="88" width="8.5" style="4" bestFit="1" customWidth="1"/>
    <col min="89" max="89" width="9.5" style="4" bestFit="1" customWidth="1"/>
    <col min="90" max="90" width="9.6640625" style="4" bestFit="1" customWidth="1"/>
    <col min="91" max="91" width="11" style="4" bestFit="1" customWidth="1"/>
    <col min="92" max="92" width="9.5" style="4" bestFit="1" customWidth="1"/>
    <col min="93" max="94" width="9.5" style="4" customWidth="1"/>
    <col min="95" max="95" width="11.5" style="4"/>
    <col min="96" max="97" width="14" style="4" customWidth="1"/>
    <col min="98" max="98" width="10.5" style="4" bestFit="1" customWidth="1"/>
    <col min="99" max="99" width="9.5" style="4" bestFit="1" customWidth="1"/>
    <col min="100" max="101" width="10.5" style="4" bestFit="1" customWidth="1"/>
    <col min="102" max="104" width="10.5" style="4" customWidth="1"/>
    <col min="105" max="105" width="9" style="4" bestFit="1" customWidth="1"/>
    <col min="106" max="106" width="10.5" style="4" bestFit="1" customWidth="1"/>
    <col min="107" max="107" width="9.33203125" style="4" bestFit="1" customWidth="1"/>
    <col min="108" max="108" width="11.6640625" style="4" bestFit="1" customWidth="1"/>
    <col min="109" max="109" width="8.5" style="4" bestFit="1" customWidth="1"/>
    <col min="110" max="110" width="9.5" style="4" bestFit="1" customWidth="1"/>
    <col min="111" max="111" width="9.6640625" style="4" bestFit="1" customWidth="1"/>
    <col min="112" max="112" width="11" style="4" bestFit="1" customWidth="1"/>
    <col min="113" max="113" width="9.5" style="4" bestFit="1" customWidth="1"/>
    <col min="114" max="115" width="9.5" style="4" customWidth="1"/>
    <col min="116" max="116" width="10.5" style="4" bestFit="1" customWidth="1"/>
    <col min="117" max="117" width="14.33203125" style="4" customWidth="1"/>
    <col min="118" max="118" width="14" style="4" bestFit="1" customWidth="1"/>
    <col min="119" max="119" width="10.5" style="4" bestFit="1" customWidth="1"/>
    <col min="120" max="120" width="9.5" style="4" bestFit="1" customWidth="1"/>
    <col min="121" max="122" width="10.5" style="4" bestFit="1" customWidth="1"/>
    <col min="123" max="125" width="10.5" style="4" customWidth="1"/>
    <col min="126" max="126" width="9" style="4" bestFit="1" customWidth="1"/>
    <col min="127" max="127" width="10.5" style="4" bestFit="1" customWidth="1"/>
    <col min="128" max="128" width="9.33203125" style="4" bestFit="1" customWidth="1"/>
    <col min="129" max="129" width="11.6640625" style="4" bestFit="1" customWidth="1"/>
    <col min="130" max="130" width="8.5" style="4" bestFit="1" customWidth="1"/>
    <col min="131" max="131" width="9.5" style="4" bestFit="1" customWidth="1"/>
    <col min="132" max="132" width="9.6640625" style="4" bestFit="1" customWidth="1"/>
    <col min="133" max="133" width="11" style="4" bestFit="1" customWidth="1"/>
    <col min="134" max="134" width="9.5" style="4" bestFit="1" customWidth="1"/>
    <col min="135" max="136" width="9.5" style="4" customWidth="1"/>
    <col min="137" max="137" width="10.5" style="4" bestFit="1" customWidth="1"/>
    <col min="138" max="139" width="14" style="4" customWidth="1"/>
    <col min="140" max="140" width="10.5" style="4" bestFit="1" customWidth="1"/>
    <col min="141" max="141" width="9.5" style="4" bestFit="1" customWidth="1"/>
    <col min="142" max="143" width="10.5" style="4" bestFit="1" customWidth="1"/>
    <col min="144" max="146" width="10.5" style="4" customWidth="1"/>
    <col min="147" max="147" width="9" style="4" bestFit="1" customWidth="1"/>
    <col min="148" max="148" width="10.5" style="4" bestFit="1" customWidth="1"/>
    <col min="149" max="149" width="9.33203125" style="4" bestFit="1" customWidth="1"/>
    <col min="150" max="150" width="11.6640625" style="4" bestFit="1" customWidth="1"/>
    <col min="151" max="151" width="8.5" style="4" bestFit="1" customWidth="1"/>
    <col min="152" max="152" width="9.5" style="4" bestFit="1" customWidth="1"/>
    <col min="153" max="153" width="9.6640625" style="4" bestFit="1" customWidth="1"/>
    <col min="154" max="154" width="11" style="4" bestFit="1" customWidth="1"/>
    <col min="155" max="155" width="9.5" style="4" bestFit="1" customWidth="1"/>
    <col min="156" max="157" width="9.5" style="4" customWidth="1"/>
    <col min="158" max="158" width="11.5" style="4"/>
    <col min="159" max="160" width="14" style="4" bestFit="1" customWidth="1"/>
    <col min="161" max="161" width="10.5" style="4" bestFit="1" customWidth="1"/>
    <col min="162" max="162" width="9.5" style="4" bestFit="1" customWidth="1"/>
    <col min="163" max="164" width="10.5" style="4" bestFit="1" customWidth="1"/>
    <col min="165" max="167" width="10.5" style="4" customWidth="1"/>
    <col min="168" max="168" width="9" style="4" bestFit="1" customWidth="1"/>
    <col min="169" max="169" width="10.5" style="4" bestFit="1" customWidth="1"/>
    <col min="170" max="170" width="9.33203125" style="4" bestFit="1" customWidth="1"/>
    <col min="171" max="171" width="11.6640625" style="4" bestFit="1" customWidth="1"/>
    <col min="172" max="172" width="8.1640625" style="4" bestFit="1" customWidth="1"/>
    <col min="173" max="173" width="9.5" style="4" bestFit="1" customWidth="1"/>
    <col min="174" max="174" width="9.6640625" style="4" bestFit="1" customWidth="1"/>
    <col min="175" max="175" width="11" style="4" bestFit="1" customWidth="1"/>
    <col min="176" max="176" width="9.5" style="4" bestFit="1" customWidth="1"/>
    <col min="177" max="178" width="9.5" style="4" customWidth="1"/>
    <col min="179" max="179" width="10.5" style="4" bestFit="1" customWidth="1"/>
    <col min="180" max="181" width="14" style="4" bestFit="1" customWidth="1"/>
    <col min="182" max="182" width="10.5" style="4" bestFit="1" customWidth="1"/>
    <col min="183" max="183" width="9.5" style="4" bestFit="1" customWidth="1"/>
    <col min="184" max="185" width="10.5" style="4" bestFit="1" customWidth="1"/>
    <col min="186" max="188" width="10.5" style="4" customWidth="1"/>
    <col min="189" max="189" width="9" style="4" bestFit="1" customWidth="1"/>
    <col min="190" max="190" width="10.5" style="4" bestFit="1" customWidth="1"/>
    <col min="191" max="191" width="9.33203125" style="4" bestFit="1" customWidth="1"/>
    <col min="192" max="192" width="11.5" style="4"/>
    <col min="193" max="193" width="8.5" style="4" bestFit="1" customWidth="1"/>
    <col min="194" max="194" width="9.5" style="4" bestFit="1" customWidth="1"/>
    <col min="195" max="195" width="9.6640625" style="4" bestFit="1" customWidth="1"/>
    <col min="196" max="196" width="11" style="4" bestFit="1" customWidth="1"/>
    <col min="197" max="197" width="9.5" style="4" bestFit="1" customWidth="1"/>
    <col min="198" max="199" width="9.5" style="4" customWidth="1"/>
    <col min="200" max="200" width="10.5" style="4" bestFit="1" customWidth="1"/>
    <col min="201" max="201" width="14" style="4" customWidth="1"/>
    <col min="202" max="202" width="14.33203125" style="4" customWidth="1"/>
    <col min="203" max="203" width="10.5" style="4" bestFit="1" customWidth="1"/>
    <col min="204" max="204" width="9.5" style="4" bestFit="1" customWidth="1"/>
    <col min="205" max="206" width="10.5" style="4" bestFit="1" customWidth="1"/>
    <col min="207" max="209" width="10.5" style="4" customWidth="1"/>
    <col min="210" max="210" width="9" style="4" bestFit="1" customWidth="1"/>
    <col min="211" max="211" width="10.5" style="4" bestFit="1" customWidth="1"/>
    <col min="212" max="212" width="9.33203125" style="4" bestFit="1" customWidth="1"/>
    <col min="213" max="213" width="11.6640625" style="4" bestFit="1" customWidth="1"/>
    <col min="214" max="214" width="8.5" style="4" bestFit="1" customWidth="1"/>
    <col min="215" max="215" width="9.5" style="4" bestFit="1" customWidth="1"/>
    <col min="216" max="216" width="9.6640625" style="4" bestFit="1" customWidth="1"/>
    <col min="217" max="217" width="11" style="4" bestFit="1" customWidth="1"/>
    <col min="218" max="218" width="9.5" style="4" bestFit="1" customWidth="1"/>
    <col min="219" max="16384" width="11.5" style="4"/>
  </cols>
  <sheetData>
    <row r="1" spans="1:218" ht="27" thickBot="1" x14ac:dyDescent="0.3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Pin maritime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Pin taeda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Pin maritime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/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65" thickBot="1" x14ac:dyDescent="0.2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153.00981126776304</v>
      </c>
      <c r="T3" s="59">
        <f>IF('Données projet'!E9&gt;30,$R$33-$H$33,LOOKUP('Données projet'!$E$9,$A$3:$A$203,R3:R203)-LOOKUP('Données projet'!$E$9,$A$3:$A$203,$H$3:$H$203))</f>
        <v>309.90400623462932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149.5086927376081</v>
      </c>
      <c r="AO3" s="59">
        <f>IF('Données projet'!E10&gt;30,$AM$33-$H$33,LOOKUP('Données projet'!$E$10,$A$3:$A$203,AM3:AM203)-LOOKUP('Données projet'!$E$10,$A$3:$A$203,$H$3:$H$203))</f>
        <v>364.59164590134498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149.5086927376081</v>
      </c>
      <c r="BJ3" s="59">
        <f>IF('Données projet'!E11&gt;30,$BH$33-$H$33,LOOKUP('Données projet'!$E$11,$A$3:$A$203,BH3:BH203)-LOOKUP('Données projet'!$E$11,$A$3:$A$203,$H$3:$H$203))</f>
        <v>364.59164590134498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294.75450271279925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7.7692307692307692</v>
      </c>
      <c r="N4" s="13">
        <f>IF('Données projet'!$A$36&gt;35,N3+M4-V3,IF(A4&lt;'Données projet'!$A$36,$K$205^A4,IF(A4='Données projet'!$A$36,'Données projet'!$B$36,N3+M4-V3)))</f>
        <v>1.4261938757879591</v>
      </c>
      <c r="O4" s="13">
        <f>N4*VLOOKUP('Données projet'!$B$9,Paramètres!$A$1:$I$89,3,0)*VLOOKUP('Données projet'!$B$9,Paramètres!$A$1:$I$89,5,0)</f>
        <v>0.85286393772119951</v>
      </c>
      <c r="P4" s="13">
        <f>EXP(-1.0587+0.8836*LN(O4)+0.284)</f>
        <v>0.40038464441801103</v>
      </c>
      <c r="Q4" s="20">
        <f t="shared" ref="Q4:Q34" si="2">(O4+P4)*0.475*44/12</f>
        <v>2.1827412805591249</v>
      </c>
      <c r="R4" s="59">
        <f t="shared" si="0"/>
        <v>295.51607461389244</v>
      </c>
      <c r="S4" s="59">
        <f ca="1">AVERAGE(OFFSET($R$3,0,0,'Données projet'!$E$9+1,1))-AVERAGE(OFFSET($H$3,0,0,'Données projet'!$E$9+1,1))</f>
        <v>153.00981126776304</v>
      </c>
      <c r="T4" s="59">
        <f>$T$3</f>
        <v>309.90400623462932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8.8333333333333339</v>
      </c>
      <c r="AI4" s="13">
        <f>IF('Données projet'!$A$62&gt;35,AI3+AH4-AQ3,IF(A4&lt;'Données projet'!$A$62,$AF$205^A4,IF(A4='Données projet'!$A$62,'Données projet'!$B$62,AI3+AH4-AQ3)))</f>
        <v>1.4749438547769935</v>
      </c>
      <c r="AJ4" s="13">
        <f>AI4*VLOOKUP('Données projet'!$B$10,Paramètres!$A$1:$I$89,3,0)*VLOOKUP('Données projet'!$B$10,Paramètres!$A$1:$I$89,5,0)</f>
        <v>0.88201642515664225</v>
      </c>
      <c r="AK4" s="13">
        <f>EXP(-1.0587+0.8836*LN(AJ4)+0.284)</f>
        <v>0.4124537465701128</v>
      </c>
      <c r="AL4" s="20">
        <f t="shared" ref="AL4:AL67" si="4">(AJ4+AK4)*0.475*44/12</f>
        <v>2.254535549090765</v>
      </c>
      <c r="AM4" s="59">
        <f t="shared" ref="AM4:AM67" si="5">AL4+(AD4+AE4)*44/12</f>
        <v>295.58786888242406</v>
      </c>
      <c r="AN4" s="59">
        <f ca="1">AVERAGE(OFFSET($AM$3,0,0,'Données projet'!$E$10+1,1))-AVERAGE(OFFSET($H$3,0,0,'Données projet'!$E$10+1,1))</f>
        <v>149.5086927376081</v>
      </c>
      <c r="AO4" s="59">
        <f>$AO$3</f>
        <v>364.59164590134498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8.8333333333333339</v>
      </c>
      <c r="BD4" s="12">
        <f>IF('Données projet'!$A$88&gt;35,BD3+BC4-BL3,IF(A4&lt;'Données projet'!$A$88,$BA$205^A4,IF(A4='Données projet'!$A$88,'Données projet'!$B$88,BD3+BC4-BL3)))</f>
        <v>1.4749438547769935</v>
      </c>
      <c r="BE4" s="13">
        <f>BD4*VLOOKUP('Données projet'!$B$11,Paramètres!$A$1:$I$89,3,0)*VLOOKUP('Données projet'!$B$11,Paramètres!$A$1:$I$89,5,0)</f>
        <v>0.88201642515664225</v>
      </c>
      <c r="BF4" s="13">
        <f>EXP(-1.0587+0.8836*LN(BE4)+0.284)</f>
        <v>0.4124537465701128</v>
      </c>
      <c r="BG4" s="20">
        <f t="shared" ref="BG4:BG67" si="7">(BE4+BF4)*0.475*44/12</f>
        <v>2.254535549090765</v>
      </c>
      <c r="BH4" s="59">
        <f t="shared" ref="BH4:BH67" si="8">BG4+(AY4+AZ4)*44/12</f>
        <v>295.58786888242406</v>
      </c>
      <c r="BI4" s="59">
        <f ca="1">AVERAGE(OFFSET($BH$3,0,0,'Données projet'!$E$11+1,1))-AVERAGE(OFFSET($H$3,0,0,'Données projet'!$E$11+1,1))</f>
        <v>149.5086927376081</v>
      </c>
      <c r="BJ4" s="59">
        <f>$BJ$3</f>
        <v>364.59164590134498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296.10277557080786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7.7692307692307692</v>
      </c>
      <c r="N5" s="13">
        <f>IF('Données projet'!$A$36&gt;35,N4+M5-V4,IF(A5&lt;'Données projet'!$A$36,$K$205^A5,IF(A5='Données projet'!$A$36,'Données projet'!$B$36,N4+M5-V4)))</f>
        <v>2.0340289713350805</v>
      </c>
      <c r="O5" s="13">
        <f>N5*VLOOKUP('Données projet'!$B$9,Paramètres!$A$1:$I$89,3,0)*VLOOKUP('Données projet'!$B$9,Paramètres!$A$1:$I$89,5,0)</f>
        <v>1.2163493248583781</v>
      </c>
      <c r="P5" s="13">
        <f t="shared" ref="P5:P68" si="33">EXP(-1.0587+0.8836*LN(O5)+0.284)</f>
        <v>0.54791046443869817</v>
      </c>
      <c r="Q5" s="20">
        <f t="shared" si="2"/>
        <v>3.072752466359074</v>
      </c>
      <c r="R5" s="59">
        <f t="shared" si="0"/>
        <v>296.40608579969239</v>
      </c>
      <c r="S5" s="59">
        <f ca="1">AVERAGE(OFFSET($R$3,0,0,'Données projet'!$E$9+1,1))-AVERAGE(OFFSET($H$3,0,0,'Données projet'!$E$9+1,1))</f>
        <v>153.00981126776304</v>
      </c>
      <c r="T5" s="59">
        <f t="shared" ref="T5:T68" si="34">$T$3</f>
        <v>309.90400623462932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8.8333333333333339</v>
      </c>
      <c r="AI5" s="13">
        <f>IF('Données projet'!$A$62&gt;35,AI4+AH5-AQ4,IF(A5&lt;'Données projet'!$A$62,$AF$205^A5,IF(A5='Données projet'!$A$62,'Données projet'!$B$62,AI4+AH5-AQ4)))</f>
        <v>2.1754593747444169</v>
      </c>
      <c r="AJ5" s="13">
        <f>AI5*VLOOKUP('Données projet'!$B$10,Paramètres!$A$1:$I$89,3,0)*VLOOKUP('Données projet'!$B$10,Paramètres!$A$1:$I$89,5,0)</f>
        <v>1.3009247060971614</v>
      </c>
      <c r="AK5" s="13">
        <f t="shared" ref="AK5:AK68" si="35">EXP(-1.0587+0.8836*LN(AJ5)+0.284)</f>
        <v>0.58144049425293109</v>
      </c>
      <c r="AL5" s="20">
        <f t="shared" si="4"/>
        <v>3.2784527239430776</v>
      </c>
      <c r="AM5" s="59">
        <f t="shared" si="5"/>
        <v>296.61178605727639</v>
      </c>
      <c r="AN5" s="59">
        <f ca="1">AVERAGE(OFFSET($AM$3,0,0,'Données projet'!$E$10+1,1))-AVERAGE(OFFSET($H$3,0,0,'Données projet'!$E$10+1,1))</f>
        <v>149.5086927376081</v>
      </c>
      <c r="AO5" s="59">
        <f t="shared" ref="AO5:AO68" si="36">$AO$3</f>
        <v>364.59164590134498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8.8333333333333339</v>
      </c>
      <c r="BD5" s="12">
        <f>IF('Données projet'!$A$88&gt;35,BD4+BC5-BL4,IF(A5&lt;'Données projet'!$A$88,$BA$205^A5,IF(A5='Données projet'!$A$88,'Données projet'!$B$88,BD4+BC5-BL4)))</f>
        <v>2.1754593747444169</v>
      </c>
      <c r="BE5" s="13">
        <f>BD5*VLOOKUP('Données projet'!$B$11,Paramètres!$A$1:$I$89,3,0)*VLOOKUP('Données projet'!$B$11,Paramètres!$A$1:$I$89,5,0)</f>
        <v>1.3009247060971614</v>
      </c>
      <c r="BF5" s="13">
        <f t="shared" ref="BF5:BF68" si="37">EXP(-1.0587+0.8836*LN(BE5)+0.284)</f>
        <v>0.58144049425293109</v>
      </c>
      <c r="BG5" s="20">
        <f t="shared" si="7"/>
        <v>3.2784527239430776</v>
      </c>
      <c r="BH5" s="59">
        <f t="shared" si="8"/>
        <v>296.61178605727639</v>
      </c>
      <c r="BI5" s="59">
        <f ca="1">AVERAGE(OFFSET($BH$3,0,0,'Données projet'!$E$11+1,1))-AVERAGE(OFFSET($H$3,0,0,'Données projet'!$E$11+1,1))</f>
        <v>149.5086927376081</v>
      </c>
      <c r="BJ5" s="59">
        <f t="shared" ref="BJ5:BJ68" si="38">$BJ$3</f>
        <v>364.59164590134498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297.42750651156223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7.7692307692307692</v>
      </c>
      <c r="N6" s="13">
        <f>IF('Données projet'!$A$36&gt;35,N5+M6-V5,IF(A6&lt;'Données projet'!$A$36,$K$205^A6,IF(A6='Données projet'!$A$36,'Données projet'!$B$36,N5+M6-V5)))</f>
        <v>2.9009196620933739</v>
      </c>
      <c r="O6" s="13">
        <f>N6*VLOOKUP('Données projet'!$B$9,Paramètres!$A$1:$I$89,3,0)*VLOOKUP('Données projet'!$B$9,Paramètres!$A$1:$I$89,5,0)</f>
        <v>1.7347499579318377</v>
      </c>
      <c r="P6" s="13">
        <f t="shared" si="33"/>
        <v>0.74979368271678282</v>
      </c>
      <c r="Q6" s="20">
        <f t="shared" si="2"/>
        <v>4.3272468407963478</v>
      </c>
      <c r="R6" s="59">
        <f t="shared" si="0"/>
        <v>297.66058017412968</v>
      </c>
      <c r="S6" s="59">
        <f ca="1">AVERAGE(OFFSET($R$3,0,0,'Données projet'!$E$9+1,1))-AVERAGE(OFFSET($H$3,0,0,'Données projet'!$E$9+1,1))</f>
        <v>153.00981126776304</v>
      </c>
      <c r="T6" s="59">
        <f t="shared" si="34"/>
        <v>309.90400623462932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8.8333333333333339</v>
      </c>
      <c r="AI6" s="13">
        <f>IF('Données projet'!$A$62&gt;35,AI5+AH6-AQ5,IF(A6&lt;'Données projet'!$A$62,$AF$205^A6,IF(A6='Données projet'!$A$62,'Données projet'!$B$62,AI5+AH6-AQ5)))</f>
        <v>3.2086804360962784</v>
      </c>
      <c r="AJ6" s="13">
        <f>AI6*VLOOKUP('Données projet'!$B$10,Paramètres!$A$1:$I$89,3,0)*VLOOKUP('Données projet'!$B$10,Paramètres!$A$1:$I$89,5,0)</f>
        <v>1.9187909007855746</v>
      </c>
      <c r="AK6" s="13">
        <f t="shared" si="35"/>
        <v>0.81966293473739615</v>
      </c>
      <c r="AL6" s="20">
        <f t="shared" si="4"/>
        <v>4.7694737635358404</v>
      </c>
      <c r="AM6" s="59">
        <f t="shared" si="5"/>
        <v>298.10280709686913</v>
      </c>
      <c r="AN6" s="59">
        <f ca="1">AVERAGE(OFFSET($AM$3,0,0,'Données projet'!$E$10+1,1))-AVERAGE(OFFSET($H$3,0,0,'Données projet'!$E$10+1,1))</f>
        <v>149.5086927376081</v>
      </c>
      <c r="AO6" s="59">
        <f t="shared" si="36"/>
        <v>364.59164590134498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8.8333333333333339</v>
      </c>
      <c r="BD6" s="12">
        <f>IF('Données projet'!$A$88&gt;35,BD5+BC6-BL5,IF(A6&lt;'Données projet'!$A$88,$BA$205^A6,IF(A6='Données projet'!$A$88,'Données projet'!$B$88,BD5+BC6-BL5)))</f>
        <v>3.2086804360962784</v>
      </c>
      <c r="BE6" s="13">
        <f>BD6*VLOOKUP('Données projet'!$B$11,Paramètres!$A$1:$I$89,3,0)*VLOOKUP('Données projet'!$B$11,Paramètres!$A$1:$I$89,5,0)</f>
        <v>1.9187909007855746</v>
      </c>
      <c r="BF6" s="13">
        <f t="shared" si="37"/>
        <v>0.81966293473739615</v>
      </c>
      <c r="BG6" s="20">
        <f t="shared" si="7"/>
        <v>4.7694737635358404</v>
      </c>
      <c r="BH6" s="59">
        <f t="shared" si="8"/>
        <v>298.10280709686913</v>
      </c>
      <c r="BI6" s="59">
        <f ca="1">AVERAGE(OFFSET($BH$3,0,0,'Données projet'!$E$11+1,1))-AVERAGE(OFFSET($H$3,0,0,'Données projet'!$E$11+1,1))</f>
        <v>149.5086927376081</v>
      </c>
      <c r="BJ6" s="59">
        <f t="shared" si="38"/>
        <v>364.59164590134498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298.73772566676109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7.7692307692307692</v>
      </c>
      <c r="N7" s="13">
        <f>IF('Données projet'!$A$36&gt;35,N6+M7-V6,IF(A7&lt;'Données projet'!$A$36,$K$205^A7,IF(A7='Données projet'!$A$36,'Données projet'!$B$36,N6+M7-V6)))</f>
        <v>4.1372738562304461</v>
      </c>
      <c r="O7" s="13">
        <f>N7*VLOOKUP('Données projet'!$B$9,Paramètres!$A$1:$I$89,3,0)*VLOOKUP('Données projet'!$B$9,Paramètres!$A$1:$I$89,5,0)</f>
        <v>2.474089766025807</v>
      </c>
      <c r="P7" s="13">
        <f t="shared" si="33"/>
        <v>1.0260628389675426</v>
      </c>
      <c r="Q7" s="20">
        <f t="shared" si="2"/>
        <v>6.0960991203634167</v>
      </c>
      <c r="R7" s="59">
        <f t="shared" si="0"/>
        <v>299.42943245369673</v>
      </c>
      <c r="S7" s="59">
        <f ca="1">AVERAGE(OFFSET($R$3,0,0,'Données projet'!$E$9+1,1))-AVERAGE(OFFSET($H$3,0,0,'Données projet'!$E$9+1,1))</f>
        <v>153.00981126776304</v>
      </c>
      <c r="T7" s="59">
        <f t="shared" si="34"/>
        <v>309.90400623462932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8.8333333333333339</v>
      </c>
      <c r="AI7" s="13">
        <f>IF('Données projet'!$A$62&gt;35,AI6+AH7-AQ6,IF(A7&lt;'Données projet'!$A$62,$AF$205^A7,IF(A7='Données projet'!$A$62,'Données projet'!$B$62,AI6+AH7-AQ6)))</f>
        <v>4.7326234911633689</v>
      </c>
      <c r="AJ7" s="13">
        <f>AI7*VLOOKUP('Données projet'!$B$10,Paramètres!$A$1:$I$89,3,0)*VLOOKUP('Données projet'!$B$10,Paramètres!$A$1:$I$89,5,0)</f>
        <v>2.8301088477156946</v>
      </c>
      <c r="AK7" s="13">
        <f t="shared" si="35"/>
        <v>1.1554876779704684</v>
      </c>
      <c r="AL7" s="20">
        <f t="shared" si="4"/>
        <v>6.9415806155700679</v>
      </c>
      <c r="AM7" s="59">
        <f t="shared" si="5"/>
        <v>300.27491394890336</v>
      </c>
      <c r="AN7" s="59">
        <f ca="1">AVERAGE(OFFSET($AM$3,0,0,'Données projet'!$E$10+1,1))-AVERAGE(OFFSET($H$3,0,0,'Données projet'!$E$10+1,1))</f>
        <v>149.5086927376081</v>
      </c>
      <c r="AO7" s="59">
        <f t="shared" si="36"/>
        <v>364.59164590134498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8.8333333333333339</v>
      </c>
      <c r="BD7" s="12">
        <f>IF('Données projet'!$A$88&gt;35,BD6+BC7-BL6,IF(A7&lt;'Données projet'!$A$88,$BA$205^A7,IF(A7='Données projet'!$A$88,'Données projet'!$B$88,BD6+BC7-BL6)))</f>
        <v>4.7326234911633689</v>
      </c>
      <c r="BE7" s="13">
        <f>BD7*VLOOKUP('Données projet'!$B$11,Paramètres!$A$1:$I$89,3,0)*VLOOKUP('Données projet'!$B$11,Paramètres!$A$1:$I$89,5,0)</f>
        <v>2.8301088477156946</v>
      </c>
      <c r="BF7" s="13">
        <f t="shared" si="37"/>
        <v>1.1554876779704684</v>
      </c>
      <c r="BG7" s="20">
        <f t="shared" si="7"/>
        <v>6.9415806155700679</v>
      </c>
      <c r="BH7" s="59">
        <f t="shared" si="8"/>
        <v>300.27491394890336</v>
      </c>
      <c r="BI7" s="59">
        <f ca="1">AVERAGE(OFFSET($BH$3,0,0,'Données projet'!$E$11+1,1))-AVERAGE(OFFSET($H$3,0,0,'Données projet'!$E$11+1,1))</f>
        <v>149.5086927376081</v>
      </c>
      <c r="BJ7" s="59">
        <f t="shared" si="38"/>
        <v>364.59164590134498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300.03752578811759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7.7692307692307692</v>
      </c>
      <c r="N8" s="13">
        <f>IF('Données projet'!$A$36&gt;35,N7+M8-V7,IF(A8&lt;'Données projet'!$A$36,$K$205^A8,IF(A8='Données projet'!$A$36,'Données projet'!$B$36,N7+M8-V7)))</f>
        <v>5.9005546362134957</v>
      </c>
      <c r="O8" s="13">
        <f>N8*VLOOKUP('Données projet'!$B$9,Paramètres!$A$1:$I$89,3,0)*VLOOKUP('Données projet'!$B$9,Paramètres!$A$1:$I$89,5,0)</f>
        <v>3.5285316724556708</v>
      </c>
      <c r="P8" s="13">
        <f t="shared" si="33"/>
        <v>1.404126193348852</v>
      </c>
      <c r="Q8" s="20">
        <f t="shared" si="2"/>
        <v>8.5910457829428761</v>
      </c>
      <c r="R8" s="59">
        <f t="shared" si="0"/>
        <v>301.92437911627621</v>
      </c>
      <c r="S8" s="59">
        <f ca="1">AVERAGE(OFFSET($R$3,0,0,'Données projet'!$E$9+1,1))-AVERAGE(OFFSET($H$3,0,0,'Données projet'!$E$9+1,1))</f>
        <v>153.00981126776304</v>
      </c>
      <c r="T8" s="59">
        <f t="shared" si="34"/>
        <v>309.90400623462932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8.8333333333333339</v>
      </c>
      <c r="AI8" s="13">
        <f>IF('Données projet'!$A$62&gt;35,AI7+AH8-AQ7,IF(A8&lt;'Données projet'!$A$62,$AF$205^A8,IF(A8='Données projet'!$A$62,'Données projet'!$B$62,AI7+AH8-AQ7)))</f>
        <v>6.9803539352646524</v>
      </c>
      <c r="AJ8" s="13">
        <f>AI8*VLOOKUP('Données projet'!$B$10,Paramètres!$A$1:$I$89,3,0)*VLOOKUP('Données projet'!$B$10,Paramètres!$A$1:$I$89,5,0)</f>
        <v>4.1742516532882625</v>
      </c>
      <c r="AK8" s="13">
        <f t="shared" si="35"/>
        <v>1.6289034398869595</v>
      </c>
      <c r="AL8" s="20">
        <f t="shared" si="4"/>
        <v>10.107161787280178</v>
      </c>
      <c r="AM8" s="59">
        <f t="shared" si="5"/>
        <v>303.44049512061349</v>
      </c>
      <c r="AN8" s="59">
        <f ca="1">AVERAGE(OFFSET($AM$3,0,0,'Données projet'!$E$10+1,1))-AVERAGE(OFFSET($H$3,0,0,'Données projet'!$E$10+1,1))</f>
        <v>149.5086927376081</v>
      </c>
      <c r="AO8" s="59">
        <f t="shared" si="36"/>
        <v>364.59164590134498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8.8333333333333339</v>
      </c>
      <c r="BD8" s="12">
        <f>IF('Données projet'!$A$88&gt;35,BD7+BC8-BL7,IF(A8&lt;'Données projet'!$A$88,$BA$205^A8,IF(A8='Données projet'!$A$88,'Données projet'!$B$88,BD7+BC8-BL7)))</f>
        <v>6.9803539352646524</v>
      </c>
      <c r="BE8" s="13">
        <f>BD8*VLOOKUP('Données projet'!$B$11,Paramètres!$A$1:$I$89,3,0)*VLOOKUP('Données projet'!$B$11,Paramètres!$A$1:$I$89,5,0)</f>
        <v>4.1742516532882625</v>
      </c>
      <c r="BF8" s="13">
        <f t="shared" si="37"/>
        <v>1.6289034398869595</v>
      </c>
      <c r="BG8" s="20">
        <f t="shared" si="7"/>
        <v>10.107161787280178</v>
      </c>
      <c r="BH8" s="59">
        <f t="shared" si="8"/>
        <v>303.44049512061349</v>
      </c>
      <c r="BI8" s="59">
        <f ca="1">AVERAGE(OFFSET($BH$3,0,0,'Données projet'!$E$11+1,1))-AVERAGE(OFFSET($H$3,0,0,'Données projet'!$E$11+1,1))</f>
        <v>149.5086927376081</v>
      </c>
      <c r="BJ8" s="59">
        <f t="shared" si="38"/>
        <v>364.59164590134498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301.3292415520861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7.7692307692307692</v>
      </c>
      <c r="N9" s="13">
        <f>IF('Données projet'!$A$36&gt;35,N8+M9-V8,IF(A9&lt;'Données projet'!$A$36,$K$205^A9,IF(A9='Données projet'!$A$36,'Données projet'!$B$36,N8+M9-V8)))</f>
        <v>8.4153348859199362</v>
      </c>
      <c r="O9" s="13">
        <f>N9*VLOOKUP('Données projet'!$B$9,Paramètres!$A$1:$I$89,3,0)*VLOOKUP('Données projet'!$B$9,Paramètres!$A$1:$I$89,5,0)</f>
        <v>5.0323702617801223</v>
      </c>
      <c r="P9" s="13">
        <f t="shared" si="33"/>
        <v>1.9214908599868947</v>
      </c>
      <c r="Q9" s="20">
        <f t="shared" si="2"/>
        <v>12.111308120410888</v>
      </c>
      <c r="R9" s="59">
        <f t="shared" si="0"/>
        <v>305.44464145374423</v>
      </c>
      <c r="S9" s="59">
        <f ca="1">AVERAGE(OFFSET($R$3,0,0,'Données projet'!$E$9+1,1))-AVERAGE(OFFSET($H$3,0,0,'Données projet'!$E$9+1,1))</f>
        <v>153.00981126776304</v>
      </c>
      <c r="T9" s="59">
        <f t="shared" si="34"/>
        <v>309.90400623462932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8.8333333333333339</v>
      </c>
      <c r="AI9" s="13">
        <f>IF('Données projet'!$A$62&gt;35,AI8+AH9-AQ8,IF(A9&lt;'Données projet'!$A$62,$AF$205^A9,IF(A9='Données projet'!$A$62,'Données projet'!$B$62,AI8+AH9-AQ8)))</f>
        <v>10.295630140987003</v>
      </c>
      <c r="AJ9" s="13">
        <f>AI9*VLOOKUP('Données projet'!$B$10,Paramètres!$A$1:$I$89,3,0)*VLOOKUP('Données projet'!$B$10,Paramètres!$A$1:$I$89,5,0)</f>
        <v>6.1567868243102275</v>
      </c>
      <c r="AK9" s="13">
        <f t="shared" si="35"/>
        <v>2.2962827445602434</v>
      </c>
      <c r="AL9" s="20">
        <f t="shared" si="4"/>
        <v>14.722429499116073</v>
      </c>
      <c r="AM9" s="59">
        <f t="shared" si="5"/>
        <v>308.05576283244937</v>
      </c>
      <c r="AN9" s="59">
        <f ca="1">AVERAGE(OFFSET($AM$3,0,0,'Données projet'!$E$10+1,1))-AVERAGE(OFFSET($H$3,0,0,'Données projet'!$E$10+1,1))</f>
        <v>149.5086927376081</v>
      </c>
      <c r="AO9" s="59">
        <f t="shared" si="36"/>
        <v>364.59164590134498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8.8333333333333339</v>
      </c>
      <c r="BD9" s="12">
        <f>IF('Données projet'!$A$88&gt;35,BD8+BC9-BL8,IF(A9&lt;'Données projet'!$A$88,$BA$205^A9,IF(A9='Données projet'!$A$88,'Données projet'!$B$88,BD8+BC9-BL8)))</f>
        <v>10.295630140987003</v>
      </c>
      <c r="BE9" s="13">
        <f>BD9*VLOOKUP('Données projet'!$B$11,Paramètres!$A$1:$I$89,3,0)*VLOOKUP('Données projet'!$B$11,Paramètres!$A$1:$I$89,5,0)</f>
        <v>6.1567868243102275</v>
      </c>
      <c r="BF9" s="13">
        <f t="shared" si="37"/>
        <v>2.2962827445602434</v>
      </c>
      <c r="BG9" s="20">
        <f t="shared" si="7"/>
        <v>14.722429499116073</v>
      </c>
      <c r="BH9" s="59">
        <f t="shared" si="8"/>
        <v>308.05576283244937</v>
      </c>
      <c r="BI9" s="59">
        <f ca="1">AVERAGE(OFFSET($BH$3,0,0,'Données projet'!$E$11+1,1))-AVERAGE(OFFSET($H$3,0,0,'Données projet'!$E$11+1,1))</f>
        <v>149.5086927376081</v>
      </c>
      <c r="BJ9" s="59">
        <f t="shared" si="38"/>
        <v>364.59164590134498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302.6143780343051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7.7692307692307692</v>
      </c>
      <c r="N10" s="13">
        <f>IF('Données projet'!$A$36&gt;35,N9+M10-V9,IF(A10&lt;'Données projet'!$A$36,$K$205^A10,IF(A10='Données projet'!$A$36,'Données projet'!$B$36,N9+M10-V9)))</f>
        <v>12.001899077003776</v>
      </c>
      <c r="O10" s="13">
        <f>N10*VLOOKUP('Données projet'!$B$9,Paramètres!$A$1:$I$89,3,0)*VLOOKUP('Données projet'!$B$9,Paramètres!$A$1:$I$89,5,0)</f>
        <v>7.1771356480482584</v>
      </c>
      <c r="P10" s="13">
        <f t="shared" si="33"/>
        <v>2.6294838330787229</v>
      </c>
      <c r="Q10" s="20">
        <f t="shared" si="2"/>
        <v>17.079862262962827</v>
      </c>
      <c r="R10" s="59">
        <f t="shared" si="0"/>
        <v>310.41319559629613</v>
      </c>
      <c r="S10" s="59">
        <f ca="1">AVERAGE(OFFSET($R$3,0,0,'Données projet'!$E$9+1,1))-AVERAGE(OFFSET($H$3,0,0,'Données projet'!$E$9+1,1))</f>
        <v>153.00981126776304</v>
      </c>
      <c r="T10" s="59">
        <f t="shared" si="34"/>
        <v>309.90400623462932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8.8333333333333339</v>
      </c>
      <c r="AI10" s="13">
        <f>IF('Données projet'!$A$62&gt;35,AI9+AH10-AQ9,IF(A10&lt;'Données projet'!$A$62,$AF$205^A10,IF(A10='Données projet'!$A$62,'Données projet'!$B$62,AI9+AH10-AQ9)))</f>
        <v>15.18547640750557</v>
      </c>
      <c r="AJ10" s="13">
        <f>AI10*VLOOKUP('Données projet'!$B$10,Paramètres!$A$1:$I$89,3,0)*VLOOKUP('Données projet'!$B$10,Paramètres!$A$1:$I$89,5,0)</f>
        <v>9.080914891688332</v>
      </c>
      <c r="AK10" s="13">
        <f t="shared" si="35"/>
        <v>3.2370945470721373</v>
      </c>
      <c r="AL10" s="20">
        <f t="shared" si="4"/>
        <v>21.45386643917448</v>
      </c>
      <c r="AM10" s="59">
        <f t="shared" si="5"/>
        <v>314.78719977250779</v>
      </c>
      <c r="AN10" s="59">
        <f ca="1">AVERAGE(OFFSET($AM$3,0,0,'Données projet'!$E$10+1,1))-AVERAGE(OFFSET($H$3,0,0,'Données projet'!$E$10+1,1))</f>
        <v>149.5086927376081</v>
      </c>
      <c r="AO10" s="59">
        <f t="shared" si="36"/>
        <v>364.59164590134498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8.8333333333333339</v>
      </c>
      <c r="BD10" s="12">
        <f>IF('Données projet'!$A$88&gt;35,BD9+BC10-BL9,IF(A10&lt;'Données projet'!$A$88,$BA$205^A10,IF(A10='Données projet'!$A$88,'Données projet'!$B$88,BD9+BC10-BL9)))</f>
        <v>15.18547640750557</v>
      </c>
      <c r="BE10" s="13">
        <f>BD10*VLOOKUP('Données projet'!$B$11,Paramètres!$A$1:$I$89,3,0)*VLOOKUP('Données projet'!$B$11,Paramètres!$A$1:$I$89,5,0)</f>
        <v>9.080914891688332</v>
      </c>
      <c r="BF10" s="13">
        <f t="shared" si="37"/>
        <v>3.2370945470721373</v>
      </c>
      <c r="BG10" s="20">
        <f t="shared" si="7"/>
        <v>21.45386643917448</v>
      </c>
      <c r="BH10" s="59">
        <f t="shared" si="8"/>
        <v>314.78719977250779</v>
      </c>
      <c r="BI10" s="59">
        <f ca="1">AVERAGE(OFFSET($BH$3,0,0,'Données projet'!$E$11+1,1))-AVERAGE(OFFSET($H$3,0,0,'Données projet'!$E$11+1,1))</f>
        <v>149.5086927376081</v>
      </c>
      <c r="BJ10" s="59">
        <f t="shared" si="38"/>
        <v>364.59164590134498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303.89398357937728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7.7692307692307692</v>
      </c>
      <c r="N11" s="13">
        <f>IF('Données projet'!$A$36&gt;35,N10+M11-V10,IF(A11&lt;'Données projet'!$A$36,$K$205^A11,IF(A11='Données projet'!$A$36,'Données projet'!$B$36,N10+M11-V10)))</f>
        <v>17.117034961447946</v>
      </c>
      <c r="O11" s="13">
        <f>N11*VLOOKUP('Données projet'!$B$9,Paramètres!$A$1:$I$89,3,0)*VLOOKUP('Données projet'!$B$9,Paramètres!$A$1:$I$89,5,0)</f>
        <v>10.235986906945872</v>
      </c>
      <c r="P11" s="13">
        <f t="shared" si="33"/>
        <v>3.5983440631455994</v>
      </c>
      <c r="Q11" s="20">
        <f t="shared" si="2"/>
        <v>24.094793106242644</v>
      </c>
      <c r="R11" s="59">
        <f t="shared" si="0"/>
        <v>317.42812643957598</v>
      </c>
      <c r="S11" s="59">
        <f ca="1">AVERAGE(OFFSET($R$3,0,0,'Données projet'!$E$9+1,1))-AVERAGE(OFFSET($H$3,0,0,'Données projet'!$E$9+1,1))</f>
        <v>153.00981126776304</v>
      </c>
      <c r="T11" s="59">
        <f t="shared" si="34"/>
        <v>309.90400623462932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8.8333333333333339</v>
      </c>
      <c r="AI11" s="13">
        <f>IF('Données projet'!$A$62&gt;35,AI10+AH11-AQ10,IF(A11&lt;'Données projet'!$A$62,$AF$205^A11,IF(A11='Données projet'!$A$62,'Données projet'!$B$62,AI10+AH11-AQ10)))</f>
        <v>22.397725109111352</v>
      </c>
      <c r="AJ11" s="13">
        <f>AI11*VLOOKUP('Données projet'!$B$10,Paramètres!$A$1:$I$89,3,0)*VLOOKUP('Données projet'!$B$10,Paramètres!$A$1:$I$89,5,0)</f>
        <v>13.39383961524859</v>
      </c>
      <c r="AK11" s="13">
        <f t="shared" si="35"/>
        <v>4.5633670903584358</v>
      </c>
      <c r="AL11" s="20">
        <f t="shared" si="4"/>
        <v>31.275468345598899</v>
      </c>
      <c r="AM11" s="59">
        <f t="shared" si="5"/>
        <v>324.6088016789322</v>
      </c>
      <c r="AN11" s="59">
        <f ca="1">AVERAGE(OFFSET($AM$3,0,0,'Données projet'!$E$10+1,1))-AVERAGE(OFFSET($H$3,0,0,'Données projet'!$E$10+1,1))</f>
        <v>149.5086927376081</v>
      </c>
      <c r="AO11" s="59">
        <f t="shared" si="36"/>
        <v>364.59164590134498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8.8333333333333339</v>
      </c>
      <c r="BD11" s="12">
        <f>IF('Données projet'!$A$88&gt;35,BD10+BC11-BL10,IF(A11&lt;'Données projet'!$A$88,$BA$205^A11,IF(A11='Données projet'!$A$88,'Données projet'!$B$88,BD10+BC11-BL10)))</f>
        <v>22.397725109111352</v>
      </c>
      <c r="BE11" s="13">
        <f>BD11*VLOOKUP('Données projet'!$B$11,Paramètres!$A$1:$I$89,3,0)*VLOOKUP('Données projet'!$B$11,Paramètres!$A$1:$I$89,5,0)</f>
        <v>13.39383961524859</v>
      </c>
      <c r="BF11" s="13">
        <f t="shared" si="37"/>
        <v>4.5633670903584358</v>
      </c>
      <c r="BG11" s="20">
        <f t="shared" si="7"/>
        <v>31.275468345598899</v>
      </c>
      <c r="BH11" s="59">
        <f t="shared" si="8"/>
        <v>324.6088016789322</v>
      </c>
      <c r="BI11" s="59">
        <f ca="1">AVERAGE(OFFSET($BH$3,0,0,'Données projet'!$E$11+1,1))-AVERAGE(OFFSET($H$3,0,0,'Données projet'!$E$11+1,1))</f>
        <v>149.5086927376081</v>
      </c>
      <c r="BJ11" s="59">
        <f t="shared" si="38"/>
        <v>364.59164590134498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305.16882873392143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7.7692307692307692</v>
      </c>
      <c r="N12" s="13">
        <f>IF('Données projet'!$A$36&gt;35,N11+M12-V11,IF(A12&lt;'Données projet'!$A$36,$K$205^A12,IF(A12='Données projet'!$A$36,'Données projet'!$B$36,N11+M12-V11)))</f>
        <v>24.412210433665443</v>
      </c>
      <c r="O12" s="13">
        <f>N12*VLOOKUP('Données projet'!$B$9,Paramètres!$A$1:$I$89,3,0)*VLOOKUP('Données projet'!$B$9,Paramètres!$A$1:$I$89,5,0)</f>
        <v>14.598501839331936</v>
      </c>
      <c r="P12" s="13">
        <f t="shared" si="33"/>
        <v>4.9241907608973428</v>
      </c>
      <c r="Q12" s="20">
        <f t="shared" si="2"/>
        <v>34.002022945399325</v>
      </c>
      <c r="R12" s="59">
        <f t="shared" si="0"/>
        <v>327.33535627873266</v>
      </c>
      <c r="S12" s="59">
        <f ca="1">AVERAGE(OFFSET($R$3,0,0,'Données projet'!$E$9+1,1))-AVERAGE(OFFSET($H$3,0,0,'Données projet'!$E$9+1,1))</f>
        <v>153.00981126776304</v>
      </c>
      <c r="T12" s="59">
        <f t="shared" si="34"/>
        <v>309.90400623462932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8.8333333333333339</v>
      </c>
      <c r="AI12" s="13">
        <f>IF('Données projet'!$A$62&gt;35,AI11+AH12-AQ11,IF(A12&lt;'Données projet'!$A$62,$AF$205^A12,IF(A12='Données projet'!$A$62,'Données projet'!$B$62,AI11+AH12-AQ11)))</f>
        <v>33.035387010668153</v>
      </c>
      <c r="AJ12" s="13">
        <f>AI12*VLOOKUP('Données projet'!$B$10,Paramètres!$A$1:$I$89,3,0)*VLOOKUP('Données projet'!$B$10,Paramètres!$A$1:$I$89,5,0)</f>
        <v>19.755161432379555</v>
      </c>
      <c r="AK12" s="13">
        <f t="shared" si="35"/>
        <v>6.433027796547198</v>
      </c>
      <c r="AL12" s="20">
        <f t="shared" si="4"/>
        <v>45.61109624038076</v>
      </c>
      <c r="AM12" s="59">
        <f t="shared" si="5"/>
        <v>338.94442957371405</v>
      </c>
      <c r="AN12" s="59">
        <f ca="1">AVERAGE(OFFSET($AM$3,0,0,'Données projet'!$E$10+1,1))-AVERAGE(OFFSET($H$3,0,0,'Données projet'!$E$10+1,1))</f>
        <v>149.5086927376081</v>
      </c>
      <c r="AO12" s="59">
        <f t="shared" si="36"/>
        <v>364.59164590134498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8.8333333333333339</v>
      </c>
      <c r="BD12" s="12">
        <f>IF('Données projet'!$A$88&gt;35,BD11+BC12-BL11,IF(A12&lt;'Données projet'!$A$88,$BA$205^A12,IF(A12='Données projet'!$A$88,'Données projet'!$B$88,BD11+BC12-BL11)))</f>
        <v>33.035387010668153</v>
      </c>
      <c r="BE12" s="13">
        <f>BD12*VLOOKUP('Données projet'!$B$11,Paramètres!$A$1:$I$89,3,0)*VLOOKUP('Données projet'!$B$11,Paramètres!$A$1:$I$89,5,0)</f>
        <v>19.755161432379555</v>
      </c>
      <c r="BF12" s="13">
        <f t="shared" si="37"/>
        <v>6.433027796547198</v>
      </c>
      <c r="BG12" s="20">
        <f t="shared" si="7"/>
        <v>45.61109624038076</v>
      </c>
      <c r="BH12" s="59">
        <f t="shared" si="8"/>
        <v>338.94442957371405</v>
      </c>
      <c r="BI12" s="59">
        <f ca="1">AVERAGE(OFFSET($BH$3,0,0,'Données projet'!$E$11+1,1))-AVERAGE(OFFSET($H$3,0,0,'Données projet'!$E$11+1,1))</f>
        <v>149.5086927376081</v>
      </c>
      <c r="BJ12" s="59">
        <f t="shared" si="38"/>
        <v>364.59164590134498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306.43950276659285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7.7692307692307692</v>
      </c>
      <c r="N13" s="13">
        <f>IF('Données projet'!$A$36&gt;35,N12+M13-V12,IF(A13&lt;'Données projet'!$A$36,$K$205^A13,IF(A13='Données projet'!$A$36,'Données projet'!$B$36,N12+M13-V12)))</f>
        <v>34.816545014940573</v>
      </c>
      <c r="O13" s="13">
        <f>N13*VLOOKUP('Données projet'!$B$9,Paramètres!$A$1:$I$89,3,0)*VLOOKUP('Données projet'!$B$9,Paramètres!$A$1:$I$89,5,0)</f>
        <v>20.820293918934464</v>
      </c>
      <c r="P13" s="13">
        <f t="shared" si="33"/>
        <v>6.7385592439734481</v>
      </c>
      <c r="Q13" s="20">
        <f t="shared" si="2"/>
        <v>47.998335925397946</v>
      </c>
      <c r="R13" s="59">
        <f t="shared" si="0"/>
        <v>341.33166925873127</v>
      </c>
      <c r="S13" s="59">
        <f ca="1">AVERAGE(OFFSET($R$3,0,0,'Données projet'!$E$9+1,1))-AVERAGE(OFFSET($H$3,0,0,'Données projet'!$E$9+1,1))</f>
        <v>153.00981126776304</v>
      </c>
      <c r="T13" s="59">
        <f t="shared" si="34"/>
        <v>309.90400623462932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8.8333333333333339</v>
      </c>
      <c r="AI13" s="13">
        <f>IF('Données projet'!$A$62&gt;35,AI12+AH13-AQ12,IF(A13&lt;'Données projet'!$A$62,$AF$205^A13,IF(A13='Données projet'!$A$62,'Données projet'!$B$62,AI12+AH13-AQ12)))</f>
        <v>48.725341061564706</v>
      </c>
      <c r="AJ13" s="13">
        <f>AI13*VLOOKUP('Données projet'!$B$10,Paramètres!$A$1:$I$89,3,0)*VLOOKUP('Données projet'!$B$10,Paramètres!$A$1:$I$89,5,0)</f>
        <v>29.137753954815693</v>
      </c>
      <c r="AK13" s="13">
        <f t="shared" si="35"/>
        <v>9.0687086556296208</v>
      </c>
      <c r="AL13" s="20">
        <f t="shared" si="4"/>
        <v>66.542922379858922</v>
      </c>
      <c r="AM13" s="59">
        <f t="shared" si="5"/>
        <v>359.87625571319222</v>
      </c>
      <c r="AN13" s="59">
        <f ca="1">AVERAGE(OFFSET($AM$3,0,0,'Données projet'!$E$10+1,1))-AVERAGE(OFFSET($H$3,0,0,'Données projet'!$E$10+1,1))</f>
        <v>149.5086927376081</v>
      </c>
      <c r="AO13" s="59">
        <f t="shared" si="36"/>
        <v>364.59164590134498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8.8333333333333339</v>
      </c>
      <c r="BD13" s="12">
        <f>IF('Données projet'!$A$88&gt;35,BD12+BC13-BL12,IF(A13&lt;'Données projet'!$A$88,$BA$205^A13,IF(A13='Données projet'!$A$88,'Données projet'!$B$88,BD12+BC13-BL12)))</f>
        <v>48.725341061564706</v>
      </c>
      <c r="BE13" s="13">
        <f>BD13*VLOOKUP('Données projet'!$B$11,Paramètres!$A$1:$I$89,3,0)*VLOOKUP('Données projet'!$B$11,Paramètres!$A$1:$I$89,5,0)</f>
        <v>29.137753954815693</v>
      </c>
      <c r="BF13" s="13">
        <f t="shared" si="37"/>
        <v>9.0687086556296208</v>
      </c>
      <c r="BG13" s="20">
        <f t="shared" si="7"/>
        <v>66.542922379858922</v>
      </c>
      <c r="BH13" s="59">
        <f t="shared" si="8"/>
        <v>359.87625571319222</v>
      </c>
      <c r="BI13" s="59">
        <f ca="1">AVERAGE(OFFSET($BH$3,0,0,'Données projet'!$E$11+1,1))-AVERAGE(OFFSET($H$3,0,0,'Données projet'!$E$11+1,1))</f>
        <v>149.5086927376081</v>
      </c>
      <c r="BJ13" s="59">
        <f t="shared" si="38"/>
        <v>364.59164590134498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307.70647027243518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7.7692307692307692</v>
      </c>
      <c r="N14" s="13">
        <f>IF('Données projet'!$A$36&gt;35,N13+M14-V13,IF(A14&lt;'Données projet'!$A$36,$K$205^A14,IF(A14='Données projet'!$A$36,'Données projet'!$B$36,N13+M14-V13)))</f>
        <v>49.65514327640404</v>
      </c>
      <c r="O14" s="13">
        <f>N14*VLOOKUP('Données projet'!$B$9,Paramètres!$A$1:$I$89,3,0)*VLOOKUP('Données projet'!$B$9,Paramètres!$A$1:$I$89,5,0)</f>
        <v>29.693775679289619</v>
      </c>
      <c r="P14" s="13">
        <f t="shared" si="33"/>
        <v>9.2214503640117265</v>
      </c>
      <c r="Q14" s="20">
        <f t="shared" si="2"/>
        <v>67.777352025416505</v>
      </c>
      <c r="R14" s="59">
        <f t="shared" si="0"/>
        <v>361.11068535874983</v>
      </c>
      <c r="S14" s="59">
        <f ca="1">AVERAGE(OFFSET($R$3,0,0,'Données projet'!$E$9+1,1))-AVERAGE(OFFSET($H$3,0,0,'Données projet'!$E$9+1,1))</f>
        <v>153.00981126776304</v>
      </c>
      <c r="T14" s="59">
        <f t="shared" si="34"/>
        <v>309.90400623462932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8.8333333333333339</v>
      </c>
      <c r="AI14" s="13">
        <f>IF('Données projet'!$A$62&gt;35,AI13+AH14-AQ13,IF(A14&lt;'Données projet'!$A$62,$AF$205^A14,IF(A14='Données projet'!$A$62,'Données projet'!$B$62,AI13+AH14-AQ13)))</f>
        <v>71.867142370667978</v>
      </c>
      <c r="AJ14" s="13">
        <f>AI14*VLOOKUP('Données projet'!$B$10,Paramètres!$A$1:$I$89,3,0)*VLOOKUP('Données projet'!$B$10,Paramètres!$A$1:$I$89,5,0)</f>
        <v>42.976551137659456</v>
      </c>
      <c r="AK14" s="13">
        <f t="shared" si="35"/>
        <v>12.784256384658107</v>
      </c>
      <c r="AL14" s="20">
        <f t="shared" si="4"/>
        <v>97.116739768036425</v>
      </c>
      <c r="AM14" s="59">
        <f t="shared" si="5"/>
        <v>390.45007310136975</v>
      </c>
      <c r="AN14" s="59">
        <f ca="1">AVERAGE(OFFSET($AM$3,0,0,'Données projet'!$E$10+1,1))-AVERAGE(OFFSET($H$3,0,0,'Données projet'!$E$10+1,1))</f>
        <v>149.5086927376081</v>
      </c>
      <c r="AO14" s="59">
        <f t="shared" si="36"/>
        <v>364.59164590134498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8.8333333333333339</v>
      </c>
      <c r="BD14" s="12">
        <f>IF('Données projet'!$A$88&gt;35,BD13+BC14-BL13,IF(A14&lt;'Données projet'!$A$88,$BA$205^A14,IF(A14='Données projet'!$A$88,'Données projet'!$B$88,BD13+BC14-BL13)))</f>
        <v>71.867142370667978</v>
      </c>
      <c r="BE14" s="13">
        <f>BD14*VLOOKUP('Données projet'!$B$11,Paramètres!$A$1:$I$89,3,0)*VLOOKUP('Données projet'!$B$11,Paramètres!$A$1:$I$89,5,0)</f>
        <v>42.976551137659456</v>
      </c>
      <c r="BF14" s="13">
        <f t="shared" si="37"/>
        <v>12.784256384658107</v>
      </c>
      <c r="BG14" s="20">
        <f t="shared" si="7"/>
        <v>97.116739768036425</v>
      </c>
      <c r="BH14" s="59">
        <f t="shared" si="8"/>
        <v>390.45007310136975</v>
      </c>
      <c r="BI14" s="59">
        <f ca="1">AVERAGE(OFFSET($BH$3,0,0,'Données projet'!$E$11+1,1))-AVERAGE(OFFSET($H$3,0,0,'Données projet'!$E$11+1,1))</f>
        <v>149.5086927376081</v>
      </c>
      <c r="BJ14" s="59">
        <f t="shared" si="38"/>
        <v>364.59164590134498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308.97010652964002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7.7692307692307692</v>
      </c>
      <c r="N15" s="13">
        <f>IF('Données projet'!$A$36&gt;35,N14+M15-V14,IF(A15&lt;'Données projet'!$A$36,$K$205^A15,IF(A15='Données projet'!$A$36,'Données projet'!$B$36,N14+M15-V14)))</f>
        <v>70.81786124218111</v>
      </c>
      <c r="O15" s="13">
        <f>N15*VLOOKUP('Données projet'!$B$9,Paramètres!$A$1:$I$89,3,0)*VLOOKUP('Données projet'!$B$9,Paramètres!$A$1:$I$89,5,0)</f>
        <v>42.349081022824308</v>
      </c>
      <c r="P15" s="13">
        <f t="shared" si="33"/>
        <v>12.61918812867636</v>
      </c>
      <c r="Q15" s="20">
        <f t="shared" si="2"/>
        <v>95.736402105530317</v>
      </c>
      <c r="R15" s="59">
        <f t="shared" si="0"/>
        <v>389.06973543886363</v>
      </c>
      <c r="S15" s="59">
        <f ca="1">AVERAGE(OFFSET($R$3,0,0,'Données projet'!$E$9+1,1))-AVERAGE(OFFSET($H$3,0,0,'Données projet'!$E$9+1,1))</f>
        <v>153.00981126776304</v>
      </c>
      <c r="T15" s="59">
        <f t="shared" si="34"/>
        <v>309.90400623462932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>
        <f>VLOOKUP(A15,'Données projet'!$A$61:$I$81,2,0)</f>
        <v>106</v>
      </c>
      <c r="AG15" s="12">
        <f>VLOOKUP(A15,'Données projet'!$A$61:$I$81,9,0)</f>
        <v>8.8333333333333339</v>
      </c>
      <c r="AH15" s="12">
        <f t="array" ref="AH15">INDEX(AG:AG,MIN(IF(ISNUMBER(AG15:AG211),ROW(AG15:AG211),"")))</f>
        <v>8.8333333333333339</v>
      </c>
      <c r="AI15" s="13">
        <f>IF('Données projet'!$A$62&gt;35,AI14+AH15-AQ14,IF(A15&lt;'Données projet'!$A$62,$AF$205^A15,IF(A15='Données projet'!$A$62,'Données projet'!$B$62,AI14+AH15-AQ14)))</f>
        <v>106</v>
      </c>
      <c r="AJ15" s="13">
        <f>AI15*VLOOKUP('Données projet'!$B$10,Paramètres!$A$1:$I$89,3,0)*VLOOKUP('Données projet'!$B$10,Paramètres!$A$1:$I$89,5,0)</f>
        <v>63.388000000000012</v>
      </c>
      <c r="AK15" s="13">
        <f t="shared" si="35"/>
        <v>18.022104085041263</v>
      </c>
      <c r="AL15" s="20">
        <f t="shared" si="4"/>
        <v>141.78926461478019</v>
      </c>
      <c r="AM15" s="59">
        <f t="shared" si="5"/>
        <v>435.12259794811348</v>
      </c>
      <c r="AN15" s="59">
        <f ca="1">AVERAGE(OFFSET($AM$3,0,0,'Données projet'!$E$10+1,1))-AVERAGE(OFFSET($H$3,0,0,'Données projet'!$E$10+1,1))</f>
        <v>149.5086927376081</v>
      </c>
      <c r="AO15" s="59">
        <f t="shared" si="36"/>
        <v>364.59164590134498</v>
      </c>
      <c r="AP15" s="15">
        <f>IF(ISNA(VLOOKUP(A15,'Données projet'!$A$61:$I$81,3,0)),0,VLOOKUP(A15,'Données projet'!$A$61:$I$81,3,0))</f>
        <v>1</v>
      </c>
      <c r="AQ15" s="15">
        <f>IF(ISNA(VLOOKUP(A15,'Données projet'!$A$61:$I$81,4,0)),0,VLOOKUP(A15,'Données projet'!$A$61:$I$81,4,0))</f>
        <v>34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1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23.020547073308105</v>
      </c>
      <c r="AX15" s="21">
        <f t="shared" si="6"/>
        <v>23.020547073308105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>
        <f>VLOOKUP(A15,'Données projet'!$A$87:$I$107,2,0)</f>
        <v>106</v>
      </c>
      <c r="BB15" s="12">
        <f>VLOOKUP(A15,'Données projet'!$A$87:$I$107,9,0)</f>
        <v>8.8333333333333339</v>
      </c>
      <c r="BC15" s="12">
        <f t="array" ref="BC15">INDEX(BB:BB,MIN(IF(ISNUMBER(BB15:BB211),ROW(BB15:BB211),"")))</f>
        <v>8.8333333333333339</v>
      </c>
      <c r="BD15" s="12">
        <f>IF('Données projet'!$A$88&gt;35,BD14+BC15-BL14,IF(A15&lt;'Données projet'!$A$88,$BA$205^A15,IF(A15='Données projet'!$A$88,'Données projet'!$B$88,BD14+BC15-BL14)))</f>
        <v>106</v>
      </c>
      <c r="BE15" s="13">
        <f>BD15*VLOOKUP('Données projet'!$B$11,Paramètres!$A$1:$I$89,3,0)*VLOOKUP('Données projet'!$B$11,Paramètres!$A$1:$I$89,5,0)</f>
        <v>63.388000000000012</v>
      </c>
      <c r="BF15" s="13">
        <f t="shared" si="37"/>
        <v>18.022104085041263</v>
      </c>
      <c r="BG15" s="20">
        <f t="shared" si="7"/>
        <v>141.78926461478019</v>
      </c>
      <c r="BH15" s="59">
        <f t="shared" si="8"/>
        <v>435.12259794811348</v>
      </c>
      <c r="BI15" s="59">
        <f ca="1">AVERAGE(OFFSET($BH$3,0,0,'Données projet'!$E$11+1,1))-AVERAGE(OFFSET($H$3,0,0,'Données projet'!$E$11+1,1))</f>
        <v>149.5086927376081</v>
      </c>
      <c r="BJ15" s="59">
        <f t="shared" si="38"/>
        <v>364.59164590134498</v>
      </c>
      <c r="BK15" s="15">
        <f>IF(ISNA(VLOOKUP(A15,'Données projet'!$A$87:$I$107,3,0)),0,VLOOKUP(A15,'Données projet'!$A$87:$I$107,3,0))</f>
        <v>1</v>
      </c>
      <c r="BL15" s="15">
        <f>IF(ISNA(VLOOKUP(A15,'Données projet'!$A$87:$I$107,4,0)),0,VLOOKUP(A15,'Données projet'!$A$87:$I$107,4,0))</f>
        <v>34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1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23.020547073308105</v>
      </c>
      <c r="BS15" s="22">
        <f t="shared" si="9"/>
        <v>23.020547073308105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310.23072070337594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101</v>
      </c>
      <c r="L16" s="12">
        <f>VLOOKUP(A16,'Données projet'!$A$35:$I$55,9,0)</f>
        <v>7.7692307692307692</v>
      </c>
      <c r="M16" s="12">
        <f t="array" ref="M16">INDEX(L:L,MIN(IF(ISNUMBER(L16:L212),ROW(L16:L212),"")))</f>
        <v>7.7692307692307692</v>
      </c>
      <c r="N16" s="13">
        <f>IF('Données projet'!$A$36&gt;35,N15+M16-V15,IF(A16&lt;'Données projet'!$A$36,$K$205^A16,IF(A16='Données projet'!$A$36,'Données projet'!$B$36,N15+M16-V15)))</f>
        <v>101</v>
      </c>
      <c r="O16" s="13">
        <f>N16*VLOOKUP('Données projet'!$B$9,Paramètres!$A$1:$I$89,3,0)*VLOOKUP('Données projet'!$B$9,Paramètres!$A$1:$I$89,5,0)</f>
        <v>60.398000000000003</v>
      </c>
      <c r="P16" s="13">
        <f t="shared" si="33"/>
        <v>17.26885714728807</v>
      </c>
      <c r="Q16" s="20">
        <f t="shared" si="2"/>
        <v>135.26977619819337</v>
      </c>
      <c r="R16" s="59">
        <f t="shared" si="0"/>
        <v>428.60310953152668</v>
      </c>
      <c r="S16" s="59">
        <f ca="1">AVERAGE(OFFSET($R$3,0,0,'Données projet'!$E$9+1,1))-AVERAGE(OFFSET($H$3,0,0,'Données projet'!$E$9+1,1))</f>
        <v>153.00981126776304</v>
      </c>
      <c r="T16" s="59">
        <f t="shared" si="34"/>
        <v>309.90400623462932</v>
      </c>
      <c r="U16" s="15">
        <f>IF(ISNA(VLOOKUP(A16,'Données projet'!$A$35:$I$55,3,0)),0,VLOOKUP(A16,'Données projet'!$A$35:$I$55,3,0))</f>
        <v>1</v>
      </c>
      <c r="V16" s="15">
        <f>IF(ISNA(VLOOKUP(A16,'Données projet'!$A$35:$I$55,4,0)),0,VLOOKUP(A16,'Données projet'!$A$35:$I$55,4,0))</f>
        <v>28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1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18.958097589783147</v>
      </c>
      <c r="AC16" s="22">
        <f t="shared" si="3"/>
        <v>18.958097589783147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20.8</v>
      </c>
      <c r="AI16" s="13">
        <f>IF('Données projet'!$A$62&gt;35,AI15+AH16-AQ15,IF(A16&lt;'Données projet'!$A$62,$AF$205^A16,IF(A16='Données projet'!$A$62,'Données projet'!$B$62,AI15+AH16-AQ15)))</f>
        <v>92.8</v>
      </c>
      <c r="AJ16" s="13">
        <f>AI16*VLOOKUP('Données projet'!$B$10,Paramètres!$A$1:$I$89,3,0)*VLOOKUP('Données projet'!$B$10,Paramètres!$A$1:$I$89,5,0)</f>
        <v>55.494400000000006</v>
      </c>
      <c r="AK16" s="13">
        <f t="shared" si="35"/>
        <v>16.023988434505792</v>
      </c>
      <c r="AL16" s="20">
        <f t="shared" si="4"/>
        <v>124.5611931900976</v>
      </c>
      <c r="AM16" s="59">
        <f t="shared" si="5"/>
        <v>417.8945265234309</v>
      </c>
      <c r="AN16" s="59">
        <f ca="1">AVERAGE(OFFSET($AM$3,0,0,'Données projet'!$E$10+1,1))-AVERAGE(OFFSET($H$3,0,0,'Données projet'!$E$10+1,1))</f>
        <v>149.5086927376081</v>
      </c>
      <c r="AO16" s="59">
        <f t="shared" si="36"/>
        <v>364.59164590134498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16.277984942160291</v>
      </c>
      <c r="AX16" s="21">
        <f t="shared" si="6"/>
        <v>16.277984942160291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20.8</v>
      </c>
      <c r="BD16" s="12">
        <f>IF('Données projet'!$A$88&gt;35,BD15+BC16-BL15,IF(A16&lt;'Données projet'!$A$88,$BA$205^A16,IF(A16='Données projet'!$A$88,'Données projet'!$B$88,BD15+BC16-BL15)))</f>
        <v>92.8</v>
      </c>
      <c r="BE16" s="13">
        <f>BD16*VLOOKUP('Données projet'!$B$11,Paramètres!$A$1:$I$89,3,0)*VLOOKUP('Données projet'!$B$11,Paramètres!$A$1:$I$89,5,0)</f>
        <v>55.494400000000006</v>
      </c>
      <c r="BF16" s="13">
        <f t="shared" si="37"/>
        <v>16.023988434505792</v>
      </c>
      <c r="BG16" s="20">
        <f t="shared" si="7"/>
        <v>124.5611931900976</v>
      </c>
      <c r="BH16" s="59">
        <f t="shared" si="8"/>
        <v>417.8945265234309</v>
      </c>
      <c r="BI16" s="59">
        <f ca="1">AVERAGE(OFFSET($BH$3,0,0,'Données projet'!$E$11+1,1))-AVERAGE(OFFSET($H$3,0,0,'Données projet'!$E$11+1,1))</f>
        <v>149.5086927376081</v>
      </c>
      <c r="BJ16" s="59">
        <f t="shared" si="38"/>
        <v>364.59164590134498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16.277984942160291</v>
      </c>
      <c r="BS16" s="22">
        <f t="shared" si="9"/>
        <v>16.277984942160291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311.4885716930055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18.600000000000001</v>
      </c>
      <c r="N17" s="13">
        <f>IF('Données projet'!$A$36&gt;35,N16+M17-V16,IF(A17&lt;'Données projet'!$A$36,$K$205^A17,IF(A17='Données projet'!$A$36,'Données projet'!$B$36,N16+M17-V16)))</f>
        <v>91.6</v>
      </c>
      <c r="O17" s="13">
        <f>N17*VLOOKUP('Données projet'!$B$9,Paramètres!$A$1:$I$89,3,0)*VLOOKUP('Données projet'!$B$9,Paramètres!$A$1:$I$89,5,0)</f>
        <v>54.776799999999994</v>
      </c>
      <c r="P17" s="13">
        <f t="shared" si="33"/>
        <v>15.840762095818524</v>
      </c>
      <c r="Q17" s="20">
        <f t="shared" si="2"/>
        <v>122.99225398355058</v>
      </c>
      <c r="R17" s="59">
        <f t="shared" si="0"/>
        <v>416.32558731688391</v>
      </c>
      <c r="S17" s="59">
        <f ca="1">AVERAGE(OFFSET($R$3,0,0,'Données projet'!$E$9+1,1))-AVERAGE(OFFSET($H$3,0,0,'Données projet'!$E$9+1,1))</f>
        <v>153.00981126776304</v>
      </c>
      <c r="T17" s="59">
        <f t="shared" si="34"/>
        <v>309.90400623462932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13.405399364132007</v>
      </c>
      <c r="AC17" s="22">
        <f t="shared" si="3"/>
        <v>13.405399364132007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20.8</v>
      </c>
      <c r="AI17" s="13">
        <f>IF('Données projet'!$A$62&gt;35,AI16+AH17-AQ16,IF(A17&lt;'Données projet'!$A$62,$AF$205^A17,IF(A17='Données projet'!$A$62,'Données projet'!$B$62,AI16+AH17-AQ16)))</f>
        <v>113.6</v>
      </c>
      <c r="AJ17" s="13">
        <f>AI17*VLOOKUP('Données projet'!$B$10,Paramètres!$A$1:$I$89,3,0)*VLOOKUP('Données projet'!$B$10,Paramètres!$A$1:$I$89,5,0)</f>
        <v>67.9328</v>
      </c>
      <c r="AK17" s="13">
        <f t="shared" si="35"/>
        <v>19.159206778906245</v>
      </c>
      <c r="AL17" s="20">
        <f t="shared" si="4"/>
        <v>151.68524513992836</v>
      </c>
      <c r="AM17" s="59">
        <f t="shared" si="5"/>
        <v>445.01857847326164</v>
      </c>
      <c r="AN17" s="59">
        <f ca="1">AVERAGE(OFFSET($AM$3,0,0,'Données projet'!$E$10+1,1))-AVERAGE(OFFSET($H$3,0,0,'Données projet'!$E$10+1,1))</f>
        <v>149.5086927376081</v>
      </c>
      <c r="AO17" s="59">
        <f t="shared" si="36"/>
        <v>364.59164590134498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11.510273536654053</v>
      </c>
      <c r="AX17" s="21">
        <f t="shared" si="6"/>
        <v>11.510273536654053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20.8</v>
      </c>
      <c r="BD17" s="12">
        <f>IF('Données projet'!$A$88&gt;35,BD16+BC17-BL16,IF(A17&lt;'Données projet'!$A$88,$BA$205^A17,IF(A17='Données projet'!$A$88,'Données projet'!$B$88,BD16+BC17-BL16)))</f>
        <v>113.6</v>
      </c>
      <c r="BE17" s="13">
        <f>BD17*VLOOKUP('Données projet'!$B$11,Paramètres!$A$1:$I$89,3,0)*VLOOKUP('Données projet'!$B$11,Paramètres!$A$1:$I$89,5,0)</f>
        <v>67.9328</v>
      </c>
      <c r="BF17" s="13">
        <f t="shared" si="37"/>
        <v>19.159206778906245</v>
      </c>
      <c r="BG17" s="20">
        <f t="shared" si="7"/>
        <v>151.68524513992836</v>
      </c>
      <c r="BH17" s="59">
        <f t="shared" si="8"/>
        <v>445.01857847326164</v>
      </c>
      <c r="BI17" s="59">
        <f ca="1">AVERAGE(OFFSET($BH$3,0,0,'Données projet'!$E$11+1,1))-AVERAGE(OFFSET($H$3,0,0,'Données projet'!$E$11+1,1))</f>
        <v>149.5086927376081</v>
      </c>
      <c r="BJ17" s="59">
        <f t="shared" si="38"/>
        <v>364.59164590134498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11.510273536654053</v>
      </c>
      <c r="BS17" s="22">
        <f t="shared" si="9"/>
        <v>11.510273536654053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312.74387931648818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18.600000000000001</v>
      </c>
      <c r="N18" s="13">
        <f>IF('Données projet'!$A$36&gt;35,N17+M18-V17,IF(A18&lt;'Données projet'!$A$36,$K$205^A18,IF(A18='Données projet'!$A$36,'Données projet'!$B$36,N17+M18-V17)))</f>
        <v>110.19999999999999</v>
      </c>
      <c r="O18" s="13">
        <f>N18*VLOOKUP('Données projet'!$B$9,Paramètres!$A$1:$I$89,3,0)*VLOOKUP('Données projet'!$B$9,Paramètres!$A$1:$I$89,5,0)</f>
        <v>65.899600000000007</v>
      </c>
      <c r="P18" s="13">
        <f t="shared" si="33"/>
        <v>18.651634138580526</v>
      </c>
      <c r="Q18" s="20">
        <f t="shared" si="2"/>
        <v>147.26006612469442</v>
      </c>
      <c r="R18" s="59">
        <f t="shared" si="0"/>
        <v>440.59339945802776</v>
      </c>
      <c r="S18" s="59">
        <f ca="1">AVERAGE(OFFSET($R$3,0,0,'Données projet'!$E$9+1,1))-AVERAGE(OFFSET($H$3,0,0,'Données projet'!$E$9+1,1))</f>
        <v>153.00981126776304</v>
      </c>
      <c r="T18" s="59">
        <f t="shared" si="34"/>
        <v>309.90400623462932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9.4790487948915754</v>
      </c>
      <c r="AC18" s="22">
        <f t="shared" si="3"/>
        <v>9.4790487948915754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20.8</v>
      </c>
      <c r="AI18" s="13">
        <f>IF('Données projet'!$A$62&gt;35,AI17+AH18-AQ17,IF(A18&lt;'Données projet'!$A$62,$AF$205^A18,IF(A18='Données projet'!$A$62,'Données projet'!$B$62,AI17+AH18-AQ17)))</f>
        <v>134.4</v>
      </c>
      <c r="AJ18" s="13">
        <f>AI18*VLOOKUP('Données projet'!$B$10,Paramètres!$A$1:$I$89,3,0)*VLOOKUP('Données projet'!$B$10,Paramètres!$A$1:$I$89,5,0)</f>
        <v>80.371200000000016</v>
      </c>
      <c r="AK18" s="13">
        <f t="shared" si="35"/>
        <v>22.227919990990831</v>
      </c>
      <c r="AL18" s="20">
        <f t="shared" si="4"/>
        <v>178.69346731764236</v>
      </c>
      <c r="AM18" s="59">
        <f t="shared" si="5"/>
        <v>472.0268006509757</v>
      </c>
      <c r="AN18" s="59">
        <f ca="1">AVERAGE(OFFSET($AM$3,0,0,'Données projet'!$E$10+1,1))-AVERAGE(OFFSET($H$3,0,0,'Données projet'!$E$10+1,1))</f>
        <v>149.5086927376081</v>
      </c>
      <c r="AO18" s="59">
        <f t="shared" si="36"/>
        <v>364.59164590134498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8.1389924710801456</v>
      </c>
      <c r="AX18" s="21">
        <f t="shared" si="6"/>
        <v>8.1389924710801456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20.8</v>
      </c>
      <c r="BD18" s="12">
        <f>IF('Données projet'!$A$88&gt;35,BD17+BC18-BL17,IF(A18&lt;'Données projet'!$A$88,$BA$205^A18,IF(A18='Données projet'!$A$88,'Données projet'!$B$88,BD17+BC18-BL17)))</f>
        <v>134.4</v>
      </c>
      <c r="BE18" s="13">
        <f>BD18*VLOOKUP('Données projet'!$B$11,Paramètres!$A$1:$I$89,3,0)*VLOOKUP('Données projet'!$B$11,Paramètres!$A$1:$I$89,5,0)</f>
        <v>80.371200000000016</v>
      </c>
      <c r="BF18" s="13">
        <f t="shared" si="37"/>
        <v>22.227919990990831</v>
      </c>
      <c r="BG18" s="20">
        <f t="shared" si="7"/>
        <v>178.69346731764236</v>
      </c>
      <c r="BH18" s="59">
        <f t="shared" si="8"/>
        <v>472.0268006509757</v>
      </c>
      <c r="BI18" s="59">
        <f ca="1">AVERAGE(OFFSET($BH$3,0,0,'Données projet'!$E$11+1,1))-AVERAGE(OFFSET($H$3,0,0,'Données projet'!$E$11+1,1))</f>
        <v>149.5086927376081</v>
      </c>
      <c r="BJ18" s="59">
        <f t="shared" si="38"/>
        <v>364.59164590134498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8.1389924710801456</v>
      </c>
      <c r="BS18" s="22">
        <f t="shared" si="9"/>
        <v>8.1389924710801456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313.99683242457326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18.600000000000001</v>
      </c>
      <c r="N19" s="13">
        <f>IF('Données projet'!$A$36&gt;35,N18+M19-V18,IF(A19&lt;'Données projet'!$A$36,$K$205^A19,IF(A19='Données projet'!$A$36,'Données projet'!$B$36,N18+M19-V18)))</f>
        <v>128.79999999999998</v>
      </c>
      <c r="O19" s="13">
        <f>N19*VLOOKUP('Données projet'!$B$9,Paramètres!$A$1:$I$89,3,0)*VLOOKUP('Données projet'!$B$9,Paramètres!$A$1:$I$89,5,0)</f>
        <v>77.022400000000005</v>
      </c>
      <c r="P19" s="13">
        <f t="shared" si="33"/>
        <v>21.407546084466961</v>
      </c>
      <c r="Q19" s="20">
        <f t="shared" si="2"/>
        <v>171.43215609711328</v>
      </c>
      <c r="R19" s="59">
        <f t="shared" si="0"/>
        <v>464.76548943044656</v>
      </c>
      <c r="S19" s="59">
        <f ca="1">AVERAGE(OFFSET($R$3,0,0,'Données projet'!$E$9+1,1))-AVERAGE(OFFSET($H$3,0,0,'Données projet'!$E$9+1,1))</f>
        <v>153.00981126776304</v>
      </c>
      <c r="T19" s="59">
        <f t="shared" si="34"/>
        <v>309.90400623462932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6.7026996820660045</v>
      </c>
      <c r="AC19" s="22">
        <f t="shared" si="3"/>
        <v>6.7026996820660045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20.8</v>
      </c>
      <c r="AI19" s="13">
        <f>IF('Données projet'!$A$62&gt;35,AI18+AH19-AQ18,IF(A19&lt;'Données projet'!$A$62,$AF$205^A19,IF(A19='Données projet'!$A$62,'Données projet'!$B$62,AI18+AH19-AQ18)))</f>
        <v>155.20000000000002</v>
      </c>
      <c r="AJ19" s="13">
        <f>AI19*VLOOKUP('Données projet'!$B$10,Paramètres!$A$1:$I$89,3,0)*VLOOKUP('Données projet'!$B$10,Paramètres!$A$1:$I$89,5,0)</f>
        <v>92.809600000000017</v>
      </c>
      <c r="AK19" s="13">
        <f t="shared" si="35"/>
        <v>25.241615800824192</v>
      </c>
      <c r="AL19" s="20">
        <f t="shared" si="4"/>
        <v>205.60586751976882</v>
      </c>
      <c r="AM19" s="59">
        <f t="shared" si="5"/>
        <v>498.93920085310214</v>
      </c>
      <c r="AN19" s="59">
        <f ca="1">AVERAGE(OFFSET($AM$3,0,0,'Données projet'!$E$10+1,1))-AVERAGE(OFFSET($H$3,0,0,'Données projet'!$E$10+1,1))</f>
        <v>149.5086927376081</v>
      </c>
      <c r="AO19" s="59">
        <f t="shared" si="36"/>
        <v>364.59164590134498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5.7551367683270263</v>
      </c>
      <c r="AX19" s="21">
        <f t="shared" si="6"/>
        <v>5.7551367683270263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20.8</v>
      </c>
      <c r="BD19" s="12">
        <f>IF('Données projet'!$A$88&gt;35,BD18+BC19-BL18,IF(A19&lt;'Données projet'!$A$88,$BA$205^A19,IF(A19='Données projet'!$A$88,'Données projet'!$B$88,BD18+BC19-BL18)))</f>
        <v>155.20000000000002</v>
      </c>
      <c r="BE19" s="13">
        <f>BD19*VLOOKUP('Données projet'!$B$11,Paramètres!$A$1:$I$89,3,0)*VLOOKUP('Données projet'!$B$11,Paramètres!$A$1:$I$89,5,0)</f>
        <v>92.809600000000017</v>
      </c>
      <c r="BF19" s="13">
        <f t="shared" si="37"/>
        <v>25.241615800824192</v>
      </c>
      <c r="BG19" s="20">
        <f t="shared" si="7"/>
        <v>205.60586751976882</v>
      </c>
      <c r="BH19" s="59">
        <f t="shared" si="8"/>
        <v>498.93920085310214</v>
      </c>
      <c r="BI19" s="59">
        <f ca="1">AVERAGE(OFFSET($BH$3,0,0,'Données projet'!$E$11+1,1))-AVERAGE(OFFSET($H$3,0,0,'Données projet'!$E$11+1,1))</f>
        <v>149.5086927376081</v>
      </c>
      <c r="BJ19" s="59">
        <f t="shared" si="38"/>
        <v>364.59164590134498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5.7551367683270263</v>
      </c>
      <c r="BS19" s="22">
        <f t="shared" si="9"/>
        <v>5.7551367683270263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315.24759492743152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18.600000000000001</v>
      </c>
      <c r="N20" s="13">
        <f>IF('Données projet'!$A$36&gt;35,N19+M20-V19,IF(A20&lt;'Données projet'!$A$36,$K$205^A20,IF(A20='Données projet'!$A$36,'Données projet'!$B$36,N19+M20-V19)))</f>
        <v>147.39999999999998</v>
      </c>
      <c r="O20" s="13">
        <f>N20*VLOOKUP('Données projet'!$B$9,Paramètres!$A$1:$I$89,3,0)*VLOOKUP('Données projet'!$B$9,Paramètres!$A$1:$I$89,5,0)</f>
        <v>88.145199999999988</v>
      </c>
      <c r="P20" s="13">
        <f t="shared" si="33"/>
        <v>24.117351189004136</v>
      </c>
      <c r="Q20" s="20">
        <f t="shared" si="2"/>
        <v>195.52394332084884</v>
      </c>
      <c r="R20" s="59">
        <f t="shared" si="0"/>
        <v>488.85727665418216</v>
      </c>
      <c r="S20" s="59">
        <f ca="1">AVERAGE(OFFSET($R$3,0,0,'Données projet'!$E$9+1,1))-AVERAGE(OFFSET($H$3,0,0,'Données projet'!$E$9+1,1))</f>
        <v>153.00981126776304</v>
      </c>
      <c r="T20" s="59">
        <f t="shared" si="34"/>
        <v>309.90400623462932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4.7395243974457886</v>
      </c>
      <c r="AC20" s="22">
        <f t="shared" si="3"/>
        <v>4.7395243974457886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>
        <f>VLOOKUP(A20,'Données projet'!$A$61:$I$81,2,0)</f>
        <v>176</v>
      </c>
      <c r="AG20" s="12">
        <f>VLOOKUP(A20,'Données projet'!$A$61:$I$81,9,0)</f>
        <v>20.8</v>
      </c>
      <c r="AH20" s="12">
        <f t="array" ref="AH20">INDEX(AG:AG,MIN(IF(ISNUMBER(AG20:AG216),ROW(AG20:AG216),"")))</f>
        <v>20.8</v>
      </c>
      <c r="AI20" s="13">
        <f>IF('Données projet'!$A$62&gt;35,AI19+AH20-AQ19,IF(A20&lt;'Données projet'!$A$62,$AF$205^A20,IF(A20='Données projet'!$A$62,'Données projet'!$B$62,AI19+AH20-AQ19)))</f>
        <v>176.00000000000003</v>
      </c>
      <c r="AJ20" s="13">
        <f>AI20*VLOOKUP('Données projet'!$B$10,Paramètres!$A$1:$I$89,3,0)*VLOOKUP('Données projet'!$B$10,Paramètres!$A$1:$I$89,5,0)</f>
        <v>105.24800000000003</v>
      </c>
      <c r="AK20" s="13">
        <f t="shared" si="35"/>
        <v>28.208515027560551</v>
      </c>
      <c r="AL20" s="20">
        <f t="shared" si="4"/>
        <v>232.43676367300134</v>
      </c>
      <c r="AM20" s="59">
        <f t="shared" si="5"/>
        <v>525.77009700633471</v>
      </c>
      <c r="AN20" s="59">
        <f ca="1">AVERAGE(OFFSET($AM$3,0,0,'Données projet'!$E$10+1,1))-AVERAGE(OFFSET($H$3,0,0,'Données projet'!$E$10+1,1))</f>
        <v>149.5086927376081</v>
      </c>
      <c r="AO20" s="59">
        <f t="shared" si="36"/>
        <v>364.59164590134498</v>
      </c>
      <c r="AP20" s="15">
        <f>IF(ISNA(VLOOKUP(A20,'Données projet'!$A$61:$I$81,3,0)),0,VLOOKUP(A20,'Données projet'!$A$61:$I$81,3,0))</f>
        <v>2</v>
      </c>
      <c r="AQ20" s="15">
        <f>IF(ISNA(VLOOKUP(A20,'Données projet'!$A$61:$I$81,4,0)),0,VLOOKUP(A20,'Données projet'!$A$61:$I$81,4,0))</f>
        <v>43</v>
      </c>
      <c r="AR20" s="16">
        <f>IF(ISNA(VLOOKUP(A20,'Données projet'!$A$61:$I$81,5,0)),0%,VLOOKUP(A20,'Données projet'!$A$61:$I$81,5,0)*VLOOKUP('Données projet'!$B$10,Paramètres!$A$1:$I$89,7,0))</f>
        <v>0.1125</v>
      </c>
      <c r="AS20" s="16">
        <f>IF(ISNA(VLOOKUP(A20,'Données projet'!$A$61:$I$81,6,0)),0%,VLOOKUP(A20,'Données projet'!$A$61:$I$81,6,0)*VLOOKUP('Données projet'!$B$10,Paramètres!$A$1:$I$89,7,0))</f>
        <v>0.22500000000000001</v>
      </c>
      <c r="AT20" s="16">
        <f>IF(ISNA(VLOOKUP(A20,'Données projet'!$A$61:$I$81,7,0)),0%,VLOOKUP(A20,'Données projet'!$A$61:$I$81,7,0))</f>
        <v>0.25</v>
      </c>
      <c r="AU20" s="21">
        <f>EXP(-LN(2)/35)*AU19+(1-EXP(-LN(2)/35))/(LN(2)/35)*AQ20*AR20*VLOOKUP('Données projet'!$B$10,Paramètres!$A$1:$I$89,3,0)*0.475*44/12</f>
        <v>3.837518820806888</v>
      </c>
      <c r="AV20" s="21">
        <f>EXP(-LN(2)/25)*AV19+(1-EXP(-LN(2)/25))/(LN(2)/25)*Calculateur!AQ20*Calculateur!AS20*VLOOKUP('Données projet'!$B$10,Paramètres!$A$1:$I$89,3,0)*0.475*44/12</f>
        <v>7.6448180940001293</v>
      </c>
      <c r="AW20" s="21">
        <f>EXP(-LN(2)/2)*AW19+(1-EXP(-LN(2)/2))/(LN(2)/2)*AQ20*AT20*VLOOKUP('Données projet'!$B$10,Paramètres!$A$1:$I$89,3,0)*0.475*44/12</f>
        <v>11.348051560188958</v>
      </c>
      <c r="AX20" s="21">
        <f t="shared" si="6"/>
        <v>22.830388474995978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>
        <f>VLOOKUP(A20,'Données projet'!$A$87:$I$107,2,0)</f>
        <v>176</v>
      </c>
      <c r="BB20" s="12">
        <f>VLOOKUP(A20,'Données projet'!$A$87:$I$107,9,0)</f>
        <v>20.8</v>
      </c>
      <c r="BC20" s="12">
        <f t="array" ref="BC20">INDEX(BB:BB,MIN(IF(ISNUMBER(BB20:BB216),ROW(BB20:BB216),"")))</f>
        <v>20.8</v>
      </c>
      <c r="BD20" s="12">
        <f>IF('Données projet'!$A$88&gt;35,BD19+BC20-BL19,IF(A20&lt;'Données projet'!$A$88,$BA$205^A20,IF(A20='Données projet'!$A$88,'Données projet'!$B$88,BD19+BC20-BL19)))</f>
        <v>176.00000000000003</v>
      </c>
      <c r="BE20" s="13">
        <f>BD20*VLOOKUP('Données projet'!$B$11,Paramètres!$A$1:$I$89,3,0)*VLOOKUP('Données projet'!$B$11,Paramètres!$A$1:$I$89,5,0)</f>
        <v>105.24800000000003</v>
      </c>
      <c r="BF20" s="13">
        <f t="shared" si="37"/>
        <v>28.208515027560551</v>
      </c>
      <c r="BG20" s="20">
        <f t="shared" si="7"/>
        <v>232.43676367300134</v>
      </c>
      <c r="BH20" s="59">
        <f t="shared" si="8"/>
        <v>525.77009700633471</v>
      </c>
      <c r="BI20" s="59">
        <f ca="1">AVERAGE(OFFSET($BH$3,0,0,'Données projet'!$E$11+1,1))-AVERAGE(OFFSET($H$3,0,0,'Données projet'!$E$11+1,1))</f>
        <v>149.5086927376081</v>
      </c>
      <c r="BJ20" s="59">
        <f t="shared" si="38"/>
        <v>364.59164590134498</v>
      </c>
      <c r="BK20" s="15">
        <f>IF(ISNA(VLOOKUP(A20,'Données projet'!$A$87:$I$107,3,0)),0,VLOOKUP(A20,'Données projet'!$A$87:$I$107,3,0))</f>
        <v>2</v>
      </c>
      <c r="BL20" s="15">
        <f>IF(ISNA(VLOOKUP(A20,'Données projet'!$A$87:$I$107,4,0)),0,VLOOKUP(A20,'Données projet'!$A$87:$I$107,4,0))</f>
        <v>43</v>
      </c>
      <c r="BM20" s="16">
        <f>IF(ISNA(VLOOKUP(A20,'Données projet'!$A$87:$I$107,5,0)),0%,VLOOKUP(A20,'Données projet'!$A$87:$I$107,5,0)*VLOOKUP('Données projet'!$B$11,Paramètres!$A$1:$I$89,7,0))</f>
        <v>0.1125</v>
      </c>
      <c r="BN20" s="16">
        <f>IF(ISNA(VLOOKUP(A20,'Données projet'!$A$87:$I$107,6,0)),0%,VLOOKUP(A20,'Données projet'!$A$87:$I$107,6,0)*VLOOKUP('Données projet'!$B$11,Paramètres!$A$1:$I$89,7,0))</f>
        <v>0.22500000000000001</v>
      </c>
      <c r="BO20" s="16">
        <f>IF(ISNA(VLOOKUP(A20,'Données projet'!$A$87:$I$107,7,0)),0%,VLOOKUP(A20,'Données projet'!$A$87:$I$107,7,0))</f>
        <v>0.25</v>
      </c>
      <c r="BP20" s="21">
        <f>EXP(-LN(2)/35)*BP19+(1-EXP(-LN(2)/35))/(LN(2)/35)*BL20*BM20*VLOOKUP('Données projet'!$B$11,Paramètres!$A$1:$I$89,3,0)*0.475*44/12</f>
        <v>3.837518820806888</v>
      </c>
      <c r="BQ20" s="21">
        <f>EXP(-LN(2)/25)*BQ19+(1-EXP(-LN(2)/25))/(LN(2)/25)*Calculateur!BL20*Calculateur!BN20*VLOOKUP('Données projet'!$B$11,Paramètres!$A$1:$I$89,3,0)*0.475*44/12</f>
        <v>7.6448180940001293</v>
      </c>
      <c r="BR20" s="21">
        <f>EXP(-LN(2)/2)*BR19+(1-EXP(-LN(2)/2))/(LN(2)/2)*BL20*BO20*VLOOKUP('Données projet'!$B$11,Paramètres!$A$1:$I$89,3,0)*0.475*44/12</f>
        <v>11.348051560188958</v>
      </c>
      <c r="BS20" s="22">
        <f t="shared" si="9"/>
        <v>22.830388474995978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316.49631036234257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166</v>
      </c>
      <c r="L21" s="12">
        <f>VLOOKUP(A21,'Données projet'!$A$35:$I$55,9,0)</f>
        <v>18.600000000000001</v>
      </c>
      <c r="M21" s="12">
        <f t="array" ref="M21">INDEX(L:L,MIN(IF(ISNUMBER(L21:L217),ROW(L21:L217),"")))</f>
        <v>18.600000000000001</v>
      </c>
      <c r="N21" s="13">
        <f>IF('Données projet'!$A$36&gt;35,N20+M21-V20,IF(A21&lt;'Données projet'!$A$36,$K$205^A21,IF(A21='Données projet'!$A$36,'Données projet'!$B$36,N20+M21-V20)))</f>
        <v>165.99999999999997</v>
      </c>
      <c r="O21" s="13">
        <f>N21*VLOOKUP('Données projet'!$B$9,Paramètres!$A$1:$I$89,3,0)*VLOOKUP('Données projet'!$B$9,Paramètres!$A$1:$I$89,5,0)</f>
        <v>99.267999999999986</v>
      </c>
      <c r="P21" s="13">
        <f t="shared" si="33"/>
        <v>26.78753414535981</v>
      </c>
      <c r="Q21" s="20">
        <f t="shared" si="2"/>
        <v>219.54672196983498</v>
      </c>
      <c r="R21" s="59">
        <f t="shared" si="0"/>
        <v>512.88005530316832</v>
      </c>
      <c r="S21" s="59">
        <f ca="1">AVERAGE(OFFSET($R$3,0,0,'Données projet'!$E$9+1,1))-AVERAGE(OFFSET($H$3,0,0,'Données projet'!$E$9+1,1))</f>
        <v>153.00981126776304</v>
      </c>
      <c r="T21" s="59">
        <f t="shared" si="34"/>
        <v>309.90400623462932</v>
      </c>
      <c r="U21" s="15">
        <f>IF(ISNA(VLOOKUP(A21,'Données projet'!$A$35:$I$55,3,0)),0,VLOOKUP(A21,'Données projet'!$A$35:$I$55,3,0))</f>
        <v>2</v>
      </c>
      <c r="V21" s="15">
        <f>IF(ISNA(VLOOKUP(A21,'Données projet'!$A$35:$I$55,4,0)),0,VLOOKUP(A21,'Données projet'!$A$35:$I$55,4,0))</f>
        <v>40</v>
      </c>
      <c r="W21" s="16">
        <f>IF(ISNA(VLOOKUP(A21,'Données projet'!$A$35:$I$55,5,0)),0%,VLOOKUP(A21,'Données projet'!$A$35:$I$55,5,0)*VLOOKUP('Données projet'!$B$9,Paramètres!$A$1:$I$89,7,0))</f>
        <v>0.1125</v>
      </c>
      <c r="X21" s="16">
        <f>IF(ISNA(VLOOKUP(A21,'Données projet'!$A$35:$I$55,6,0)),0%,VLOOKUP(A21,'Données projet'!$A$35:$I$55,6,0)*VLOOKUP('Données projet'!$B$9,Paramètres!$A$1:$I$89,7,0))</f>
        <v>0.22500000000000001</v>
      </c>
      <c r="Y21" s="16">
        <f>IF(ISNA(VLOOKUP(A21,'Données projet'!$A$35:$I$55,7,0)),0%,VLOOKUP(A21,'Données projet'!$A$35:$I$55,7,0))</f>
        <v>0.25</v>
      </c>
      <c r="Z21" s="21">
        <f>EXP(-LN(2)/35)*Z20+(1-EXP(-LN(2)/35))/(LN(2)/35)*V21*W21*VLOOKUP('Données projet'!$B$9,Paramètres!$A$1:$I$89,3,0)*0.475*44/12</f>
        <v>3.5697849495878025</v>
      </c>
      <c r="AA21" s="21">
        <f>EXP(-LN(2)/25)*AA20+(1-EXP(-LN(2)/25))/(LN(2)/25)*Calculateur!V21*Calculateur!X21*VLOOKUP('Données projet'!$B$9,Paramètres!$A$1:$I$89,3,0)*0.475*44/12</f>
        <v>7.1114586920931444</v>
      </c>
      <c r="AB21" s="21">
        <f>EXP(-LN(2)/2)*AB20+(1-EXP(-LN(2)/2))/(LN(2)/2)*V21*Y21*VLOOKUP('Données projet'!$B$9,Paramètres!$A$1:$I$89,3,0)*0.475*44/12</f>
        <v>10.122098980241269</v>
      </c>
      <c r="AC21" s="22">
        <f t="shared" si="3"/>
        <v>20.803342621922216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19.8</v>
      </c>
      <c r="AI21" s="13">
        <f>IF('Données projet'!$A$62&gt;35,AI20+AH21-AQ20,IF(A21&lt;'Données projet'!$A$62,$AF$205^A21,IF(A21='Données projet'!$A$62,'Données projet'!$B$62,AI20+AH21-AQ20)))</f>
        <v>152.80000000000004</v>
      </c>
      <c r="AJ21" s="13">
        <f>AI21*VLOOKUP('Données projet'!$B$10,Paramètres!$A$1:$I$89,3,0)*VLOOKUP('Données projet'!$B$10,Paramètres!$A$1:$I$89,5,0)</f>
        <v>91.374400000000037</v>
      </c>
      <c r="AK21" s="13">
        <f t="shared" si="35"/>
        <v>24.89640423383166</v>
      </c>
      <c r="AL21" s="20">
        <f t="shared" si="4"/>
        <v>202.50498404059022</v>
      </c>
      <c r="AM21" s="59">
        <f t="shared" si="5"/>
        <v>495.83831737392353</v>
      </c>
      <c r="AN21" s="59">
        <f ca="1">AVERAGE(OFFSET($AM$3,0,0,'Données projet'!$E$10+1,1))-AVERAGE(OFFSET($H$3,0,0,'Données projet'!$E$10+1,1))</f>
        <v>149.5086927376081</v>
      </c>
      <c r="AO21" s="59">
        <f t="shared" si="36"/>
        <v>364.59164590134498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3.7622674173862252</v>
      </c>
      <c r="AV21" s="21">
        <f>EXP(-LN(2)/25)*AV20+(1-EXP(-LN(2)/25))/(LN(2)/25)*Calculateur!AQ21*Calculateur!AS21*VLOOKUP('Données projet'!$B$10,Paramètres!$A$1:$I$89,3,0)*0.475*44/12</f>
        <v>7.4357701411961843</v>
      </c>
      <c r="AW21" s="21">
        <f>EXP(-LN(2)/2)*AW20+(1-EXP(-LN(2)/2))/(LN(2)/2)*AQ21*AT21*VLOOKUP('Données projet'!$B$10,Paramètres!$A$1:$I$89,3,0)*0.475*44/12</f>
        <v>8.0242842114641935</v>
      </c>
      <c r="AX21" s="21">
        <f t="shared" si="6"/>
        <v>19.222321770046605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19.8</v>
      </c>
      <c r="BD21" s="12">
        <f>IF('Données projet'!$A$88&gt;35,BD20+BC21-BL20,IF(A21&lt;'Données projet'!$A$88,$BA$205^A21,IF(A21='Données projet'!$A$88,'Données projet'!$B$88,BD20+BC21-BL20)))</f>
        <v>152.80000000000004</v>
      </c>
      <c r="BE21" s="13">
        <f>BD21*VLOOKUP('Données projet'!$B$11,Paramètres!$A$1:$I$89,3,0)*VLOOKUP('Données projet'!$B$11,Paramètres!$A$1:$I$89,5,0)</f>
        <v>91.374400000000037</v>
      </c>
      <c r="BF21" s="13">
        <f t="shared" si="37"/>
        <v>24.89640423383166</v>
      </c>
      <c r="BG21" s="20">
        <f t="shared" si="7"/>
        <v>202.50498404059022</v>
      </c>
      <c r="BH21" s="59">
        <f t="shared" si="8"/>
        <v>495.83831737392353</v>
      </c>
      <c r="BI21" s="59">
        <f ca="1">AVERAGE(OFFSET($BH$3,0,0,'Données projet'!$E$11+1,1))-AVERAGE(OFFSET($H$3,0,0,'Données projet'!$E$11+1,1))</f>
        <v>149.5086927376081</v>
      </c>
      <c r="BJ21" s="59">
        <f t="shared" si="38"/>
        <v>364.59164590134498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3.7622674173862252</v>
      </c>
      <c r="BQ21" s="21">
        <f>EXP(-LN(2)/25)*BQ20+(1-EXP(-LN(2)/25))/(LN(2)/25)*Calculateur!BL21*Calculateur!BN21*VLOOKUP('Données projet'!$B$11,Paramètres!$A$1:$I$89,3,0)*0.475*44/12</f>
        <v>7.4357701411961843</v>
      </c>
      <c r="BR21" s="21">
        <f>EXP(-LN(2)/2)*BR20+(1-EXP(-LN(2)/2))/(LN(2)/2)*BL21*BO21*VLOOKUP('Données projet'!$B$11,Paramètres!$A$1:$I$89,3,0)*0.475*44/12</f>
        <v>8.0242842114641935</v>
      </c>
      <c r="BS21" s="22">
        <f t="shared" si="9"/>
        <v>19.222321770046605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317.74310541723986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17.8</v>
      </c>
      <c r="N22" s="13">
        <f>IF('Données projet'!$A$36&gt;35,N21+M22-V21,IF(A22&lt;'Données projet'!$A$36,$K$205^A22,IF(A22='Données projet'!$A$36,'Données projet'!$B$36,N21+M22-V21)))</f>
        <v>143.79999999999998</v>
      </c>
      <c r="O22" s="13">
        <f>N22*VLOOKUP('Données projet'!$B$9,Paramètres!$A$1:$I$89,3,0)*VLOOKUP('Données projet'!$B$9,Paramètres!$A$1:$I$89,5,0)</f>
        <v>85.992400000000004</v>
      </c>
      <c r="P22" s="13">
        <f t="shared" si="33"/>
        <v>23.596141005324462</v>
      </c>
      <c r="Q22" s="20">
        <f t="shared" si="2"/>
        <v>190.86670891760676</v>
      </c>
      <c r="R22" s="59">
        <f t="shared" si="0"/>
        <v>484.2000422509401</v>
      </c>
      <c r="S22" s="59">
        <f ca="1">AVERAGE(OFFSET($R$3,0,0,'Données projet'!$E$9+1,1))-AVERAGE(OFFSET($H$3,0,0,'Données projet'!$E$9+1,1))</f>
        <v>153.00981126776304</v>
      </c>
      <c r="T22" s="59">
        <f t="shared" si="34"/>
        <v>309.90400623462932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3.499783644080209</v>
      </c>
      <c r="AA22" s="21">
        <f>EXP(-LN(2)/25)*AA21+(1-EXP(-LN(2)/25))/(LN(2)/25)*Calculateur!V22*Calculateur!X22*VLOOKUP('Données projet'!$B$9,Paramètres!$A$1:$I$89,3,0)*0.475*44/12</f>
        <v>6.9169954801824982</v>
      </c>
      <c r="AB22" s="21">
        <f>EXP(-LN(2)/2)*AB21+(1-EXP(-LN(2)/2))/(LN(2)/2)*V22*Y22*VLOOKUP('Données projet'!$B$9,Paramètres!$A$1:$I$89,3,0)*0.475*44/12</f>
        <v>7.1574048287700389</v>
      </c>
      <c r="AC22" s="22">
        <f t="shared" si="3"/>
        <v>17.574183953032744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19.8</v>
      </c>
      <c r="AI22" s="13">
        <f>IF('Données projet'!$A$62&gt;35,AI21+AH22-AQ21,IF(A22&lt;'Données projet'!$A$62,$AF$205^A22,IF(A22='Données projet'!$A$62,'Données projet'!$B$62,AI21+AH22-AQ21)))</f>
        <v>172.60000000000005</v>
      </c>
      <c r="AJ22" s="13">
        <f>AI22*VLOOKUP('Données projet'!$B$10,Paramètres!$A$1:$I$89,3,0)*VLOOKUP('Données projet'!$B$10,Paramètres!$A$1:$I$89,5,0)</f>
        <v>103.21480000000004</v>
      </c>
      <c r="AK22" s="13">
        <f t="shared" si="35"/>
        <v>27.726463199430338</v>
      </c>
      <c r="AL22" s="20">
        <f t="shared" si="4"/>
        <v>228.05603340567458</v>
      </c>
      <c r="AM22" s="59">
        <f t="shared" si="5"/>
        <v>521.38936673900787</v>
      </c>
      <c r="AN22" s="59">
        <f ca="1">AVERAGE(OFFSET($AM$3,0,0,'Données projet'!$E$10+1,1))-AVERAGE(OFFSET($H$3,0,0,'Données projet'!$E$10+1,1))</f>
        <v>149.5086927376081</v>
      </c>
      <c r="AO22" s="59">
        <f t="shared" si="36"/>
        <v>364.59164590134498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3.6884916480878176</v>
      </c>
      <c r="AV22" s="21">
        <f>EXP(-LN(2)/25)*AV21+(1-EXP(-LN(2)/25))/(LN(2)/25)*Calculateur!AQ22*Calculateur!AS22*VLOOKUP('Données projet'!$B$10,Paramètres!$A$1:$I$89,3,0)*0.475*44/12</f>
        <v>7.2324386156550178</v>
      </c>
      <c r="AW22" s="21">
        <f>EXP(-LN(2)/2)*AW21+(1-EXP(-LN(2)/2))/(LN(2)/2)*AQ22*AT22*VLOOKUP('Données projet'!$B$10,Paramètres!$A$1:$I$89,3,0)*0.475*44/12</f>
        <v>5.67402578009448</v>
      </c>
      <c r="AX22" s="21">
        <f t="shared" si="6"/>
        <v>16.594956043837314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19.8</v>
      </c>
      <c r="BD22" s="12">
        <f>IF('Données projet'!$A$88&gt;35,BD21+BC22-BL21,IF(A22&lt;'Données projet'!$A$88,$BA$205^A22,IF(A22='Données projet'!$A$88,'Données projet'!$B$88,BD21+BC22-BL21)))</f>
        <v>172.60000000000005</v>
      </c>
      <c r="BE22" s="13">
        <f>BD22*VLOOKUP('Données projet'!$B$11,Paramètres!$A$1:$I$89,3,0)*VLOOKUP('Données projet'!$B$11,Paramètres!$A$1:$I$89,5,0)</f>
        <v>103.21480000000004</v>
      </c>
      <c r="BF22" s="13">
        <f t="shared" si="37"/>
        <v>27.726463199430338</v>
      </c>
      <c r="BG22" s="20">
        <f t="shared" si="7"/>
        <v>228.05603340567458</v>
      </c>
      <c r="BH22" s="59">
        <f t="shared" si="8"/>
        <v>521.38936673900787</v>
      </c>
      <c r="BI22" s="59">
        <f ca="1">AVERAGE(OFFSET($BH$3,0,0,'Données projet'!$E$11+1,1))-AVERAGE(OFFSET($H$3,0,0,'Données projet'!$E$11+1,1))</f>
        <v>149.5086927376081</v>
      </c>
      <c r="BJ22" s="59">
        <f t="shared" si="38"/>
        <v>364.59164590134498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3.6884916480878176</v>
      </c>
      <c r="BQ22" s="21">
        <f>EXP(-LN(2)/25)*BQ21+(1-EXP(-LN(2)/25))/(LN(2)/25)*Calculateur!BL22*Calculateur!BN22*VLOOKUP('Données projet'!$B$11,Paramètres!$A$1:$I$89,3,0)*0.475*44/12</f>
        <v>7.2324386156550178</v>
      </c>
      <c r="BR22" s="21">
        <f>EXP(-LN(2)/2)*BR21+(1-EXP(-LN(2)/2))/(LN(2)/2)*BL22*BO22*VLOOKUP('Données projet'!$B$11,Paramètres!$A$1:$I$89,3,0)*0.475*44/12</f>
        <v>5.67402578009448</v>
      </c>
      <c r="BS22" s="22">
        <f t="shared" si="9"/>
        <v>16.594956043837314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318.98809269129538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17.8</v>
      </c>
      <c r="N23" s="13">
        <f>IF('Données projet'!$A$36&gt;35,N22+M23-V22,IF(A23&lt;'Données projet'!$A$36,$K$205^A23,IF(A23='Données projet'!$A$36,'Données projet'!$B$36,N22+M23-V22)))</f>
        <v>161.6</v>
      </c>
      <c r="O23" s="13">
        <f>N23*VLOOKUP('Données projet'!$B$9,Paramètres!$A$1:$I$89,3,0)*VLOOKUP('Données projet'!$B$9,Paramètres!$A$1:$I$89,5,0)</f>
        <v>96.636800000000008</v>
      </c>
      <c r="P23" s="13">
        <f t="shared" si="33"/>
        <v>26.159173215164081</v>
      </c>
      <c r="Q23" s="20">
        <f t="shared" si="2"/>
        <v>213.86965334974411</v>
      </c>
      <c r="R23" s="59">
        <f t="shared" si="0"/>
        <v>507.20298668307743</v>
      </c>
      <c r="S23" s="59">
        <f ca="1">AVERAGE(OFFSET($R$3,0,0,'Données projet'!$E$9+1,1))-AVERAGE(OFFSET($H$3,0,0,'Données projet'!$E$9+1,1))</f>
        <v>153.00981126776304</v>
      </c>
      <c r="T23" s="59">
        <f t="shared" si="34"/>
        <v>309.90400623462932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3.4311550214770392</v>
      </c>
      <c r="AA23" s="21">
        <f>EXP(-LN(2)/25)*AA22+(1-EXP(-LN(2)/25))/(LN(2)/25)*Calculateur!V23*Calculateur!X23*VLOOKUP('Données projet'!$B$9,Paramètres!$A$1:$I$89,3,0)*0.475*44/12</f>
        <v>6.7278498750279248</v>
      </c>
      <c r="AB23" s="21">
        <f>EXP(-LN(2)/2)*AB22+(1-EXP(-LN(2)/2))/(LN(2)/2)*V23*Y23*VLOOKUP('Données projet'!$B$9,Paramètres!$A$1:$I$89,3,0)*0.475*44/12</f>
        <v>5.0610494901206353</v>
      </c>
      <c r="AC23" s="22">
        <f t="shared" si="3"/>
        <v>15.220054386625598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19.8</v>
      </c>
      <c r="AI23" s="13">
        <f>IF('Données projet'!$A$62&gt;35,AI22+AH23-AQ22,IF(A23&lt;'Données projet'!$A$62,$AF$205^A23,IF(A23='Données projet'!$A$62,'Données projet'!$B$62,AI22+AH23-AQ22)))</f>
        <v>192.40000000000006</v>
      </c>
      <c r="AJ23" s="13">
        <f>AI23*VLOOKUP('Données projet'!$B$10,Paramètres!$A$1:$I$89,3,0)*VLOOKUP('Données projet'!$B$10,Paramètres!$A$1:$I$89,5,0)</f>
        <v>115.05520000000004</v>
      </c>
      <c r="AK23" s="13">
        <f t="shared" si="35"/>
        <v>30.5188966745568</v>
      </c>
      <c r="AL23" s="20">
        <f t="shared" si="4"/>
        <v>253.54155170818649</v>
      </c>
      <c r="AM23" s="59">
        <f t="shared" si="5"/>
        <v>546.87488504151975</v>
      </c>
      <c r="AN23" s="59">
        <f ca="1">AVERAGE(OFFSET($AM$3,0,0,'Données projet'!$E$10+1,1))-AVERAGE(OFFSET($H$3,0,0,'Données projet'!$E$10+1,1))</f>
        <v>149.5086927376081</v>
      </c>
      <c r="AO23" s="59">
        <f t="shared" si="36"/>
        <v>364.59164590134498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3.6161625766265759</v>
      </c>
      <c r="AV23" s="21">
        <f>EXP(-LN(2)/25)*AV22+(1-EXP(-LN(2)/25))/(LN(2)/25)*Calculateur!AQ23*Calculateur!AS23*VLOOKUP('Données projet'!$B$10,Paramètres!$A$1:$I$89,3,0)*0.475*44/12</f>
        <v>7.0346672013725149</v>
      </c>
      <c r="AW23" s="21">
        <f>EXP(-LN(2)/2)*AW22+(1-EXP(-LN(2)/2))/(LN(2)/2)*AQ23*AT23*VLOOKUP('Données projet'!$B$10,Paramètres!$A$1:$I$89,3,0)*0.475*44/12</f>
        <v>4.0121421057320976</v>
      </c>
      <c r="AX23" s="21">
        <f t="shared" si="6"/>
        <v>14.662971883731188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19.8</v>
      </c>
      <c r="BD23" s="12">
        <f>IF('Données projet'!$A$88&gt;35,BD22+BC23-BL22,IF(A23&lt;'Données projet'!$A$88,$BA$205^A23,IF(A23='Données projet'!$A$88,'Données projet'!$B$88,BD22+BC23-BL22)))</f>
        <v>192.40000000000006</v>
      </c>
      <c r="BE23" s="13">
        <f>BD23*VLOOKUP('Données projet'!$B$11,Paramètres!$A$1:$I$89,3,0)*VLOOKUP('Données projet'!$B$11,Paramètres!$A$1:$I$89,5,0)</f>
        <v>115.05520000000004</v>
      </c>
      <c r="BF23" s="13">
        <f t="shared" si="37"/>
        <v>30.5188966745568</v>
      </c>
      <c r="BG23" s="20">
        <f t="shared" si="7"/>
        <v>253.54155170818649</v>
      </c>
      <c r="BH23" s="59">
        <f t="shared" si="8"/>
        <v>546.87488504151975</v>
      </c>
      <c r="BI23" s="59">
        <f ca="1">AVERAGE(OFFSET($BH$3,0,0,'Données projet'!$E$11+1,1))-AVERAGE(OFFSET($H$3,0,0,'Données projet'!$E$11+1,1))</f>
        <v>149.5086927376081</v>
      </c>
      <c r="BJ23" s="59">
        <f t="shared" si="38"/>
        <v>364.59164590134498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3.6161625766265759</v>
      </c>
      <c r="BQ23" s="21">
        <f>EXP(-LN(2)/25)*BQ22+(1-EXP(-LN(2)/25))/(LN(2)/25)*Calculateur!BL23*Calculateur!BN23*VLOOKUP('Données projet'!$B$11,Paramètres!$A$1:$I$89,3,0)*0.475*44/12</f>
        <v>7.0346672013725149</v>
      </c>
      <c r="BR23" s="21">
        <f>EXP(-LN(2)/2)*BR22+(1-EXP(-LN(2)/2))/(LN(2)/2)*BL23*BO23*VLOOKUP('Données projet'!$B$11,Paramètres!$A$1:$I$89,3,0)*0.475*44/12</f>
        <v>4.0121421057320976</v>
      </c>
      <c r="BS23" s="22">
        <f t="shared" si="9"/>
        <v>14.662971883731188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320.23137288769698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17.8</v>
      </c>
      <c r="N24" s="13">
        <f>IF('Données projet'!$A$36&gt;35,N23+M24-V23,IF(A24&lt;'Données projet'!$A$36,$K$205^A24,IF(A24='Données projet'!$A$36,'Données projet'!$B$36,N23+M24-V23)))</f>
        <v>179.4</v>
      </c>
      <c r="O24" s="13">
        <f>N24*VLOOKUP('Données projet'!$B$9,Paramètres!$A$1:$I$89,3,0)*VLOOKUP('Données projet'!$B$9,Paramètres!$A$1:$I$89,5,0)</f>
        <v>107.2812</v>
      </c>
      <c r="P24" s="13">
        <f t="shared" si="33"/>
        <v>28.68948404302737</v>
      </c>
      <c r="Q24" s="20">
        <f t="shared" si="2"/>
        <v>236.81560804160597</v>
      </c>
      <c r="R24" s="59">
        <f t="shared" si="0"/>
        <v>530.14894137493934</v>
      </c>
      <c r="S24" s="59">
        <f ca="1">AVERAGE(OFFSET($R$3,0,0,'Données projet'!$E$9+1,1))-AVERAGE(OFFSET($H$3,0,0,'Données projet'!$E$9+1,1))</f>
        <v>153.00981126776304</v>
      </c>
      <c r="T24" s="59">
        <f t="shared" si="34"/>
        <v>309.90400623462932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3.3638721643037908</v>
      </c>
      <c r="AA24" s="21">
        <f>EXP(-LN(2)/25)*AA23+(1-EXP(-LN(2)/25))/(LN(2)/25)*Calculateur!V24*Calculateur!X24*VLOOKUP('Données projet'!$B$9,Paramètres!$A$1:$I$89,3,0)*0.475*44/12</f>
        <v>6.543876466393038</v>
      </c>
      <c r="AB24" s="21">
        <f>EXP(-LN(2)/2)*AB23+(1-EXP(-LN(2)/2))/(LN(2)/2)*V24*Y24*VLOOKUP('Données projet'!$B$9,Paramètres!$A$1:$I$89,3,0)*0.475*44/12</f>
        <v>3.5787024143850203</v>
      </c>
      <c r="AC24" s="22">
        <f t="shared" si="3"/>
        <v>13.48645104508185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19.8</v>
      </c>
      <c r="AI24" s="13">
        <f>IF('Données projet'!$A$62&gt;35,AI23+AH24-AQ23,IF(A24&lt;'Données projet'!$A$62,$AF$205^A24,IF(A24='Données projet'!$A$62,'Données projet'!$B$62,AI23+AH24-AQ23)))</f>
        <v>212.20000000000007</v>
      </c>
      <c r="AJ24" s="13">
        <f>AI24*VLOOKUP('Données projet'!$B$10,Paramètres!$A$1:$I$89,3,0)*VLOOKUP('Données projet'!$B$10,Paramètres!$A$1:$I$89,5,0)</f>
        <v>126.89560000000006</v>
      </c>
      <c r="AK24" s="13">
        <f t="shared" si="35"/>
        <v>33.278017701950326</v>
      </c>
      <c r="AL24" s="20">
        <f t="shared" si="4"/>
        <v>278.96905083089689</v>
      </c>
      <c r="AM24" s="59">
        <f t="shared" si="5"/>
        <v>572.30238416423026</v>
      </c>
      <c r="AN24" s="59">
        <f ca="1">AVERAGE(OFFSET($AM$3,0,0,'Données projet'!$E$10+1,1))-AVERAGE(OFFSET($H$3,0,0,'Données projet'!$E$10+1,1))</f>
        <v>149.5086927376081</v>
      </c>
      <c r="AO24" s="59">
        <f t="shared" si="36"/>
        <v>364.59164590134498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3.5452518341403114</v>
      </c>
      <c r="AV24" s="21">
        <f>EXP(-LN(2)/25)*AV23+(1-EXP(-LN(2)/25))/(LN(2)/25)*Calculateur!AQ24*Calculateur!AS24*VLOOKUP('Données projet'!$B$10,Paramètres!$A$1:$I$89,3,0)*0.475*44/12</f>
        <v>6.8423038568139134</v>
      </c>
      <c r="AW24" s="21">
        <f>EXP(-LN(2)/2)*AW23+(1-EXP(-LN(2)/2))/(LN(2)/2)*AQ24*AT24*VLOOKUP('Données projet'!$B$10,Paramètres!$A$1:$I$89,3,0)*0.475*44/12</f>
        <v>2.8370128900472404</v>
      </c>
      <c r="AX24" s="21">
        <f t="shared" si="6"/>
        <v>13.224568581001465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19.8</v>
      </c>
      <c r="BD24" s="12">
        <f>IF('Données projet'!$A$88&gt;35,BD23+BC24-BL23,IF(A24&lt;'Données projet'!$A$88,$BA$205^A24,IF(A24='Données projet'!$A$88,'Données projet'!$B$88,BD23+BC24-BL23)))</f>
        <v>212.20000000000007</v>
      </c>
      <c r="BE24" s="13">
        <f>BD24*VLOOKUP('Données projet'!$B$11,Paramètres!$A$1:$I$89,3,0)*VLOOKUP('Données projet'!$B$11,Paramètres!$A$1:$I$89,5,0)</f>
        <v>126.89560000000006</v>
      </c>
      <c r="BF24" s="13">
        <f t="shared" si="37"/>
        <v>33.278017701950326</v>
      </c>
      <c r="BG24" s="20">
        <f t="shared" si="7"/>
        <v>278.96905083089689</v>
      </c>
      <c r="BH24" s="59">
        <f t="shared" si="8"/>
        <v>572.30238416423026</v>
      </c>
      <c r="BI24" s="59">
        <f ca="1">AVERAGE(OFFSET($BH$3,0,0,'Données projet'!$E$11+1,1))-AVERAGE(OFFSET($H$3,0,0,'Données projet'!$E$11+1,1))</f>
        <v>149.5086927376081</v>
      </c>
      <c r="BJ24" s="59">
        <f t="shared" si="38"/>
        <v>364.59164590134498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3.5452518341403114</v>
      </c>
      <c r="BQ24" s="21">
        <f>EXP(-LN(2)/25)*BQ23+(1-EXP(-LN(2)/25))/(LN(2)/25)*Calculateur!BL24*Calculateur!BN24*VLOOKUP('Données projet'!$B$11,Paramètres!$A$1:$I$89,3,0)*0.475*44/12</f>
        <v>6.8423038568139134</v>
      </c>
      <c r="BR24" s="21">
        <f>EXP(-LN(2)/2)*BR23+(1-EXP(-LN(2)/2))/(LN(2)/2)*BL24*BO24*VLOOKUP('Données projet'!$B$11,Paramètres!$A$1:$I$89,3,0)*0.475*44/12</f>
        <v>2.8370128900472404</v>
      </c>
      <c r="BS24" s="22">
        <f t="shared" si="9"/>
        <v>13.224568581001465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321.47303657691953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17.8</v>
      </c>
      <c r="N25" s="13">
        <f>IF('Données projet'!$A$36&gt;35,N24+M25-V24,IF(A25&lt;'Données projet'!$A$36,$K$205^A25,IF(A25='Données projet'!$A$36,'Données projet'!$B$36,N24+M25-V24)))</f>
        <v>197.20000000000002</v>
      </c>
      <c r="O25" s="13">
        <f>N25*VLOOKUP('Données projet'!$B$9,Paramètres!$A$1:$I$89,3,0)*VLOOKUP('Données projet'!$B$9,Paramètres!$A$1:$I$89,5,0)</f>
        <v>117.92560000000003</v>
      </c>
      <c r="P25" s="13">
        <f t="shared" si="33"/>
        <v>31.190689636070587</v>
      </c>
      <c r="Q25" s="20">
        <f t="shared" si="2"/>
        <v>259.71087111615634</v>
      </c>
      <c r="R25" s="59">
        <f t="shared" si="0"/>
        <v>553.0442044494896</v>
      </c>
      <c r="S25" s="59">
        <f ca="1">AVERAGE(OFFSET($R$3,0,0,'Données projet'!$E$9+1,1))-AVERAGE(OFFSET($H$3,0,0,'Données projet'!$E$9+1,1))</f>
        <v>153.00981126776304</v>
      </c>
      <c r="T25" s="59">
        <f t="shared" si="34"/>
        <v>309.90400623462932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3.2979086829212192</v>
      </c>
      <c r="AA25" s="21">
        <f>EXP(-LN(2)/25)*AA24+(1-EXP(-LN(2)/25))/(LN(2)/25)*Calculateur!V25*Calculateur!X25*VLOOKUP('Données projet'!$B$9,Paramètres!$A$1:$I$89,3,0)*0.475*44/12</f>
        <v>6.3649338202920136</v>
      </c>
      <c r="AB25" s="21">
        <f>EXP(-LN(2)/2)*AB24+(1-EXP(-LN(2)/2))/(LN(2)/2)*V25*Y25*VLOOKUP('Données projet'!$B$9,Paramètres!$A$1:$I$89,3,0)*0.475*44/12</f>
        <v>2.5305247450603181</v>
      </c>
      <c r="AC25" s="22">
        <f t="shared" si="3"/>
        <v>12.19336724827355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>
        <f>VLOOKUP(A25,'Données projet'!$A$61:$I$81,2,0)</f>
        <v>232</v>
      </c>
      <c r="AG25" s="12">
        <f>VLOOKUP(A25,'Données projet'!$A$61:$I$81,9,0)</f>
        <v>19.8</v>
      </c>
      <c r="AH25" s="12">
        <f t="array" ref="AH25">INDEX(AG:AG,MIN(IF(ISNUMBER(AG25:AG221),ROW(AG25:AG221),"")))</f>
        <v>19.8</v>
      </c>
      <c r="AI25" s="13">
        <f>IF('Données projet'!$A$62&gt;35,AI24+AH25-AQ24,IF(A25&lt;'Données projet'!$A$62,$AF$205^A25,IF(A25='Données projet'!$A$62,'Données projet'!$B$62,AI24+AH25-AQ24)))</f>
        <v>232.00000000000009</v>
      </c>
      <c r="AJ25" s="13">
        <f>AI25*VLOOKUP('Données projet'!$B$10,Paramètres!$A$1:$I$89,3,0)*VLOOKUP('Données projet'!$B$10,Paramètres!$A$1:$I$89,5,0)</f>
        <v>138.73600000000005</v>
      </c>
      <c r="AK25" s="13">
        <f t="shared" si="35"/>
        <v>36.007288175538072</v>
      </c>
      <c r="AL25" s="20">
        <f t="shared" si="4"/>
        <v>304.34456023906222</v>
      </c>
      <c r="AM25" s="59">
        <f t="shared" si="5"/>
        <v>597.67789357239553</v>
      </c>
      <c r="AN25" s="59">
        <f ca="1">AVERAGE(OFFSET($AM$3,0,0,'Données projet'!$E$10+1,1))-AVERAGE(OFFSET($H$3,0,0,'Données projet'!$E$10+1,1))</f>
        <v>149.5086927376081</v>
      </c>
      <c r="AO25" s="59">
        <f t="shared" si="36"/>
        <v>364.59164590134498</v>
      </c>
      <c r="AP25" s="15">
        <f>IF(ISNA(VLOOKUP(A25,'Données projet'!$A$61:$I$81,3,0)),0,VLOOKUP(A25,'Données projet'!$A$61:$I$81,3,0))</f>
        <v>3</v>
      </c>
      <c r="AQ25" s="15">
        <f>IF(ISNA(VLOOKUP(A25,'Données projet'!$A$61:$I$81,4,0)),0,VLOOKUP(A25,'Données projet'!$A$61:$I$81,4,0))</f>
        <v>56</v>
      </c>
      <c r="AR25" s="16">
        <f>IF(ISNA(VLOOKUP(A25,'Données projet'!$A$61:$I$81,5,0)),0%,VLOOKUP(A25,'Données projet'!$A$61:$I$81,5,0)*VLOOKUP('Données projet'!$B$10,Paramètres!$A$1:$I$89,7,0))</f>
        <v>0.27</v>
      </c>
      <c r="AS25" s="16">
        <f>IF(ISNA(VLOOKUP(A25,'Données projet'!$A$61:$I$81,6,0)),0%,VLOOKUP(A25,'Données projet'!$A$61:$I$81,6,0)*VLOOKUP('Données projet'!$B$10,Paramètres!$A$1:$I$89,7,0))</f>
        <v>9.0000000000000011E-2</v>
      </c>
      <c r="AT25" s="16">
        <f>IF(ISNA(VLOOKUP(A25,'Données projet'!$A$61:$I$81,7,0)),0%,VLOOKUP(A25,'Données projet'!$A$61:$I$81,7,0))</f>
        <v>0.2</v>
      </c>
      <c r="AU25" s="21">
        <f>EXP(-LN(2)/35)*AU24+(1-EXP(-LN(2)/35))/(LN(2)/35)*AQ25*AR25*VLOOKUP('Données projet'!$B$10,Paramètres!$A$1:$I$89,3,0)*0.475*44/12</f>
        <v>15.47020903867794</v>
      </c>
      <c r="AV25" s="21">
        <f>EXP(-LN(2)/25)*AV24+(1-EXP(-LN(2)/25))/(LN(2)/25)*Calculateur!AQ25*Calculateur!AS25*VLOOKUP('Données projet'!$B$10,Paramètres!$A$1:$I$89,3,0)*0.475*44/12</f>
        <v>10.637617565600378</v>
      </c>
      <c r="AW25" s="21">
        <f>EXP(-LN(2)/2)*AW24+(1-EXP(-LN(2)/2))/(LN(2)/2)*AQ25*AT25*VLOOKUP('Données projet'!$B$10,Paramètres!$A$1:$I$89,3,0)*0.475*44/12</f>
        <v>9.5893100887793068</v>
      </c>
      <c r="AX25" s="21">
        <f t="shared" si="6"/>
        <v>35.697136693057622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>
        <f>VLOOKUP(A25,'Données projet'!$A$87:$I$107,2,0)</f>
        <v>232</v>
      </c>
      <c r="BB25" s="12">
        <f>VLOOKUP(A25,'Données projet'!$A$87:$I$107,9,0)</f>
        <v>19.8</v>
      </c>
      <c r="BC25" s="12">
        <f t="array" ref="BC25">INDEX(BB:BB,MIN(IF(ISNUMBER(BB25:BB221),ROW(BB25:BB221),"")))</f>
        <v>19.8</v>
      </c>
      <c r="BD25" s="12">
        <f>IF('Données projet'!$A$88&gt;35,BD24+BC25-BL24,IF(A25&lt;'Données projet'!$A$88,$BA$205^A25,IF(A25='Données projet'!$A$88,'Données projet'!$B$88,BD24+BC25-BL24)))</f>
        <v>232.00000000000009</v>
      </c>
      <c r="BE25" s="13">
        <f>BD25*VLOOKUP('Données projet'!$B$11,Paramètres!$A$1:$I$89,3,0)*VLOOKUP('Données projet'!$B$11,Paramètres!$A$1:$I$89,5,0)</f>
        <v>138.73600000000005</v>
      </c>
      <c r="BF25" s="13">
        <f t="shared" si="37"/>
        <v>36.007288175538072</v>
      </c>
      <c r="BG25" s="20">
        <f t="shared" si="7"/>
        <v>304.34456023906222</v>
      </c>
      <c r="BH25" s="59">
        <f t="shared" si="8"/>
        <v>597.67789357239553</v>
      </c>
      <c r="BI25" s="59">
        <f ca="1">AVERAGE(OFFSET($BH$3,0,0,'Données projet'!$E$11+1,1))-AVERAGE(OFFSET($H$3,0,0,'Données projet'!$E$11+1,1))</f>
        <v>149.5086927376081</v>
      </c>
      <c r="BJ25" s="59">
        <f t="shared" si="38"/>
        <v>364.59164590134498</v>
      </c>
      <c r="BK25" s="15">
        <f>IF(ISNA(VLOOKUP(A25,'Données projet'!$A$87:$I$107,3,0)),0,VLOOKUP(A25,'Données projet'!$A$87:$I$107,3,0))</f>
        <v>3</v>
      </c>
      <c r="BL25" s="15">
        <f>IF(ISNA(VLOOKUP(A25,'Données projet'!$A$87:$I$107,4,0)),0,VLOOKUP(A25,'Données projet'!$A$87:$I$107,4,0))</f>
        <v>56</v>
      </c>
      <c r="BM25" s="16">
        <f>IF(ISNA(VLOOKUP(A25,'Données projet'!$A$87:$I$107,5,0)),0%,VLOOKUP(A25,'Données projet'!$A$87:$I$107,5,0)*VLOOKUP('Données projet'!$B$11,Paramètres!$A$1:$I$89,7,0))</f>
        <v>0.27</v>
      </c>
      <c r="BN25" s="16">
        <f>IF(ISNA(VLOOKUP(A25,'Données projet'!$A$87:$I$107,6,0)),0%,VLOOKUP(A25,'Données projet'!$A$87:$I$107,6,0)*VLOOKUP('Données projet'!$B$11,Paramètres!$A$1:$I$89,7,0))</f>
        <v>9.0000000000000011E-2</v>
      </c>
      <c r="BO25" s="16">
        <f>IF(ISNA(VLOOKUP(A25,'Données projet'!$A$87:$I$107,7,0)),0%,VLOOKUP(A25,'Données projet'!$A$87:$I$107,7,0))</f>
        <v>0.2</v>
      </c>
      <c r="BP25" s="21">
        <f>EXP(-LN(2)/35)*BP24+(1-EXP(-LN(2)/35))/(LN(2)/35)*BL25*BM25*VLOOKUP('Données projet'!$B$11,Paramètres!$A$1:$I$89,3,0)*0.475*44/12</f>
        <v>15.47020903867794</v>
      </c>
      <c r="BQ25" s="21">
        <f>EXP(-LN(2)/25)*BQ24+(1-EXP(-LN(2)/25))/(LN(2)/25)*Calculateur!BL25*Calculateur!BN25*VLOOKUP('Données projet'!$B$11,Paramètres!$A$1:$I$89,3,0)*0.475*44/12</f>
        <v>10.637617565600378</v>
      </c>
      <c r="BR25" s="21">
        <f>EXP(-LN(2)/2)*BR24+(1-EXP(-LN(2)/2))/(LN(2)/2)*BL25*BO25*VLOOKUP('Données projet'!$B$11,Paramètres!$A$1:$I$89,3,0)*0.475*44/12</f>
        <v>9.5893100887793068</v>
      </c>
      <c r="BS25" s="22">
        <f t="shared" si="9"/>
        <v>35.697136693057622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322.71316563033918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215</v>
      </c>
      <c r="L26" s="12">
        <f>VLOOKUP(A26,'Données projet'!$A$35:$I$55,9,0)</f>
        <v>17.8</v>
      </c>
      <c r="M26" s="12">
        <f t="array" ref="M26">INDEX(L:L,MIN(IF(ISNUMBER(L26:L222),ROW(L26:L222),"")))</f>
        <v>17.8</v>
      </c>
      <c r="N26" s="13">
        <f>IF('Données projet'!$A$36&gt;35,N25+M26-V25,IF(A26&lt;'Données projet'!$A$36,$K$205^A26,IF(A26='Données projet'!$A$36,'Données projet'!$B$36,N25+M26-V25)))</f>
        <v>215.00000000000003</v>
      </c>
      <c r="O26" s="13">
        <f>N26*VLOOKUP('Données projet'!$B$9,Paramètres!$A$1:$I$89,3,0)*VLOOKUP('Données projet'!$B$9,Paramètres!$A$1:$I$89,5,0)</f>
        <v>128.57000000000002</v>
      </c>
      <c r="P26" s="13">
        <f t="shared" si="33"/>
        <v>33.665715905233277</v>
      </c>
      <c r="Q26" s="20">
        <f t="shared" si="2"/>
        <v>282.56053853494797</v>
      </c>
      <c r="R26" s="59">
        <f t="shared" si="0"/>
        <v>575.89387186828128</v>
      </c>
      <c r="S26" s="59">
        <f ca="1">AVERAGE(OFFSET($R$3,0,0,'Données projet'!$E$9+1,1))-AVERAGE(OFFSET($H$3,0,0,'Données projet'!$E$9+1,1))</f>
        <v>153.00981126776304</v>
      </c>
      <c r="T26" s="59">
        <f t="shared" si="34"/>
        <v>309.90400623462932</v>
      </c>
      <c r="U26" s="15">
        <f>IF(ISNA(VLOOKUP(A26,'Données projet'!$A$35:$I$55,3,0)),0,VLOOKUP(A26,'Données projet'!$A$35:$I$55,3,0))</f>
        <v>3</v>
      </c>
      <c r="V26" s="15">
        <f>IF(ISNA(VLOOKUP(A26,'Données projet'!$A$35:$I$55,4,0)),0,VLOOKUP(A26,'Données projet'!$A$35:$I$55,4,0))</f>
        <v>52</v>
      </c>
      <c r="W26" s="16">
        <f>IF(ISNA(VLOOKUP(A26,'Données projet'!$A$35:$I$55,5,0)),0%,VLOOKUP(A26,'Données projet'!$A$35:$I$55,5,0)*VLOOKUP('Données projet'!$B$9,Paramètres!$A$1:$I$89,7,0))</f>
        <v>0.27</v>
      </c>
      <c r="X26" s="16">
        <f>IF(ISNA(VLOOKUP(A26,'Données projet'!$A$35:$I$55,6,0)),0%,VLOOKUP(A26,'Données projet'!$A$35:$I$55,6,0)*VLOOKUP('Données projet'!$B$9,Paramètres!$A$1:$I$89,7,0))</f>
        <v>9.0000000000000011E-2</v>
      </c>
      <c r="Y26" s="16">
        <f>IF(ISNA(VLOOKUP(A26,'Données projet'!$A$35:$I$55,7,0)),0%,VLOOKUP(A26,'Données projet'!$A$35:$I$55,7,0))</f>
        <v>0.2</v>
      </c>
      <c r="Z26" s="21">
        <f>EXP(-LN(2)/35)*Z25+(1-EXP(-LN(2)/35))/(LN(2)/35)*V26*W26*VLOOKUP('Données projet'!$B$9,Paramètres!$A$1:$I$89,3,0)*0.475*44/12</f>
        <v>14.370967747888754</v>
      </c>
      <c r="AA26" s="21">
        <f>EXP(-LN(2)/25)*AA25+(1-EXP(-LN(2)/25))/(LN(2)/25)*Calculateur!V26*Calculateur!X26*VLOOKUP('Données projet'!$B$9,Paramètres!$A$1:$I$89,3,0)*0.475*44/12</f>
        <v>9.8888428901472416</v>
      </c>
      <c r="AB26" s="21">
        <f>EXP(-LN(2)/2)*AB25+(1-EXP(-LN(2)/2))/(LN(2)/2)*V26*Y26*VLOOKUP('Données projet'!$B$9,Paramètres!$A$1:$I$89,3,0)*0.475*44/12</f>
        <v>8.8309303119691069</v>
      </c>
      <c r="AC26" s="22">
        <f t="shared" si="3"/>
        <v>33.090740950005099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16.625</v>
      </c>
      <c r="AI26" s="13">
        <f>IF('Données projet'!$A$62&gt;35,AI25+AH26-AQ25,IF(A26&lt;'Données projet'!$A$62,$AF$205^A26,IF(A26='Données projet'!$A$62,'Données projet'!$B$62,AI25+AH26-AQ25)))</f>
        <v>192.62500000000009</v>
      </c>
      <c r="AJ26" s="13">
        <f>AI26*VLOOKUP('Données projet'!$B$10,Paramètres!$A$1:$I$89,3,0)*VLOOKUP('Données projet'!$B$10,Paramètres!$A$1:$I$89,5,0)</f>
        <v>115.18975000000006</v>
      </c>
      <c r="AK26" s="13">
        <f t="shared" si="35"/>
        <v>30.550430193620951</v>
      </c>
      <c r="AL26" s="20">
        <f t="shared" si="4"/>
        <v>253.83081383722325</v>
      </c>
      <c r="AM26" s="59">
        <f t="shared" si="5"/>
        <v>547.16414717055659</v>
      </c>
      <c r="AN26" s="59">
        <f ca="1">AVERAGE(OFFSET($AM$3,0,0,'Données projet'!$E$10+1,1))-AVERAGE(OFFSET($H$3,0,0,'Données projet'!$E$10+1,1))</f>
        <v>149.5086927376081</v>
      </c>
      <c r="AO26" s="59">
        <f t="shared" si="36"/>
        <v>364.59164590134498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15.166847675325261</v>
      </c>
      <c r="AV26" s="21">
        <f>EXP(-LN(2)/25)*AV25+(1-EXP(-LN(2)/25))/(LN(2)/25)*Calculateur!AQ26*Calculateur!AS26*VLOOKUP('Données projet'!$B$10,Paramètres!$A$1:$I$89,3,0)*0.475*44/12</f>
        <v>10.34673135386104</v>
      </c>
      <c r="AW26" s="21">
        <f>EXP(-LN(2)/2)*AW25+(1-EXP(-LN(2)/2))/(LN(2)/2)*AQ26*AT26*VLOOKUP('Données projet'!$B$10,Paramètres!$A$1:$I$89,3,0)*0.475*44/12</f>
        <v>6.7806661906764223</v>
      </c>
      <c r="AX26" s="21">
        <f t="shared" si="6"/>
        <v>32.294245219862724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16.625</v>
      </c>
      <c r="BD26" s="12">
        <f>IF('Données projet'!$A$88&gt;35,BD25+BC26-BL25,IF(A26&lt;'Données projet'!$A$88,$BA$205^A26,IF(A26='Données projet'!$A$88,'Données projet'!$B$88,BD25+BC26-BL25)))</f>
        <v>192.62500000000009</v>
      </c>
      <c r="BE26" s="13">
        <f>BD26*VLOOKUP('Données projet'!$B$11,Paramètres!$A$1:$I$89,3,0)*VLOOKUP('Données projet'!$B$11,Paramètres!$A$1:$I$89,5,0)</f>
        <v>115.18975000000006</v>
      </c>
      <c r="BF26" s="13">
        <f t="shared" si="37"/>
        <v>30.550430193620951</v>
      </c>
      <c r="BG26" s="20">
        <f t="shared" si="7"/>
        <v>253.83081383722325</v>
      </c>
      <c r="BH26" s="59">
        <f t="shared" si="8"/>
        <v>547.16414717055659</v>
      </c>
      <c r="BI26" s="59">
        <f ca="1">AVERAGE(OFFSET($BH$3,0,0,'Données projet'!$E$11+1,1))-AVERAGE(OFFSET($H$3,0,0,'Données projet'!$E$11+1,1))</f>
        <v>149.5086927376081</v>
      </c>
      <c r="BJ26" s="59">
        <f t="shared" si="38"/>
        <v>364.59164590134498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15.166847675325261</v>
      </c>
      <c r="BQ26" s="21">
        <f>EXP(-LN(2)/25)*BQ25+(1-EXP(-LN(2)/25))/(LN(2)/25)*Calculateur!BL26*Calculateur!BN26*VLOOKUP('Données projet'!$B$11,Paramètres!$A$1:$I$89,3,0)*0.475*44/12</f>
        <v>10.34673135386104</v>
      </c>
      <c r="BR26" s="21">
        <f>EXP(-LN(2)/2)*BR25+(1-EXP(-LN(2)/2))/(LN(2)/2)*BL26*BO26*VLOOKUP('Données projet'!$B$11,Paramètres!$A$1:$I$89,3,0)*0.475*44/12</f>
        <v>6.7806661906764223</v>
      </c>
      <c r="BS26" s="22">
        <f t="shared" si="9"/>
        <v>32.294245219862724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323.95183439748814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14.727272727272727</v>
      </c>
      <c r="N27" s="13">
        <f>IF('Données projet'!$A$36&gt;35,N26+M27-V26,IF(A27&lt;'Données projet'!$A$36,$K$205^A27,IF(A27='Données projet'!$A$36,'Données projet'!$B$36,N26+M27-V26)))</f>
        <v>177.72727272727275</v>
      </c>
      <c r="O27" s="13">
        <f>N27*VLOOKUP('Données projet'!$B$9,Paramètres!$A$1:$I$89,3,0)*VLOOKUP('Données projet'!$B$9,Paramètres!$A$1:$I$89,5,0)</f>
        <v>106.28090909090911</v>
      </c>
      <c r="P27" s="13">
        <f t="shared" si="33"/>
        <v>28.45299143279248</v>
      </c>
      <c r="Q27" s="20">
        <f t="shared" si="2"/>
        <v>234.66154341211356</v>
      </c>
      <c r="R27" s="59">
        <f t="shared" si="0"/>
        <v>527.99487674544685</v>
      </c>
      <c r="S27" s="59">
        <f ca="1">AVERAGE(OFFSET($R$3,0,0,'Données projet'!$E$9+1,1))-AVERAGE(OFFSET($H$3,0,0,'Données projet'!$E$9+1,1))</f>
        <v>153.00981126776304</v>
      </c>
      <c r="T27" s="59">
        <f t="shared" si="34"/>
        <v>309.90400623462932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14.089161835777468</v>
      </c>
      <c r="AA27" s="21">
        <f>EXP(-LN(2)/25)*AA26+(1-EXP(-LN(2)/25))/(LN(2)/25)*Calculateur!V27*Calculateur!X27*VLOOKUP('Données projet'!$B$9,Paramètres!$A$1:$I$89,3,0)*0.475*44/12</f>
        <v>9.6184319612845197</v>
      </c>
      <c r="AB27" s="21">
        <f>EXP(-LN(2)/2)*AB26+(1-EXP(-LN(2)/2))/(LN(2)/2)*V27*Y27*VLOOKUP('Données projet'!$B$9,Paramètres!$A$1:$I$89,3,0)*0.475*44/12</f>
        <v>6.2444107077791893</v>
      </c>
      <c r="AC27" s="22">
        <f t="shared" si="3"/>
        <v>29.952004504841177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16.625</v>
      </c>
      <c r="AI27" s="13">
        <f>IF('Données projet'!$A$62&gt;35,AI26+AH27-AQ26,IF(A27&lt;'Données projet'!$A$62,$AF$205^A27,IF(A27='Données projet'!$A$62,'Données projet'!$B$62,AI26+AH27-AQ26)))</f>
        <v>209.25000000000009</v>
      </c>
      <c r="AJ27" s="13">
        <f>AI27*VLOOKUP('Données projet'!$B$10,Paramètres!$A$1:$I$89,3,0)*VLOOKUP('Données projet'!$B$10,Paramètres!$A$1:$I$89,5,0)</f>
        <v>125.13150000000006</v>
      </c>
      <c r="AK27" s="13">
        <f t="shared" si="35"/>
        <v>32.868905092404546</v>
      </c>
      <c r="AL27" s="20">
        <f t="shared" si="4"/>
        <v>275.18403886927132</v>
      </c>
      <c r="AM27" s="59">
        <f t="shared" si="5"/>
        <v>568.51737220260463</v>
      </c>
      <c r="AN27" s="59">
        <f ca="1">AVERAGE(OFFSET($AM$3,0,0,'Données projet'!$E$10+1,1))-AVERAGE(OFFSET($H$3,0,0,'Données projet'!$E$10+1,1))</f>
        <v>149.5086927376081</v>
      </c>
      <c r="AO27" s="59">
        <f t="shared" si="36"/>
        <v>364.59164590134498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14.869435043275768</v>
      </c>
      <c r="AV27" s="21">
        <f>EXP(-LN(2)/25)*AV26+(1-EXP(-LN(2)/25))/(LN(2)/25)*Calculateur!AQ27*Calculateur!AS27*VLOOKUP('Données projet'!$B$10,Paramètres!$A$1:$I$89,3,0)*0.475*44/12</f>
        <v>10.063799440878755</v>
      </c>
      <c r="AW27" s="21">
        <f>EXP(-LN(2)/2)*AW26+(1-EXP(-LN(2)/2))/(LN(2)/2)*AQ27*AT27*VLOOKUP('Données projet'!$B$10,Paramètres!$A$1:$I$89,3,0)*0.475*44/12</f>
        <v>4.7946550443896543</v>
      </c>
      <c r="AX27" s="21">
        <f t="shared" si="6"/>
        <v>29.727889528544178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16.625</v>
      </c>
      <c r="BD27" s="12">
        <f>IF('Données projet'!$A$88&gt;35,BD26+BC27-BL26,IF(A27&lt;'Données projet'!$A$88,$BA$205^A27,IF(A27='Données projet'!$A$88,'Données projet'!$B$88,BD26+BC27-BL26)))</f>
        <v>209.25000000000009</v>
      </c>
      <c r="BE27" s="13">
        <f>BD27*VLOOKUP('Données projet'!$B$11,Paramètres!$A$1:$I$89,3,0)*VLOOKUP('Données projet'!$B$11,Paramètres!$A$1:$I$89,5,0)</f>
        <v>125.13150000000006</v>
      </c>
      <c r="BF27" s="13">
        <f t="shared" si="37"/>
        <v>32.868905092404546</v>
      </c>
      <c r="BG27" s="20">
        <f t="shared" si="7"/>
        <v>275.18403886927132</v>
      </c>
      <c r="BH27" s="59">
        <f t="shared" si="8"/>
        <v>568.51737220260463</v>
      </c>
      <c r="BI27" s="59">
        <f ca="1">AVERAGE(OFFSET($BH$3,0,0,'Données projet'!$E$11+1,1))-AVERAGE(OFFSET($H$3,0,0,'Données projet'!$E$11+1,1))</f>
        <v>149.5086927376081</v>
      </c>
      <c r="BJ27" s="59">
        <f t="shared" si="38"/>
        <v>364.59164590134498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14.869435043275768</v>
      </c>
      <c r="BQ27" s="21">
        <f>EXP(-LN(2)/25)*BQ26+(1-EXP(-LN(2)/25))/(LN(2)/25)*Calculateur!BL27*Calculateur!BN27*VLOOKUP('Données projet'!$B$11,Paramètres!$A$1:$I$89,3,0)*0.475*44/12</f>
        <v>10.063799440878755</v>
      </c>
      <c r="BR27" s="21">
        <f>EXP(-LN(2)/2)*BR26+(1-EXP(-LN(2)/2))/(LN(2)/2)*BL27*BO27*VLOOKUP('Données projet'!$B$11,Paramètres!$A$1:$I$89,3,0)*0.475*44/12</f>
        <v>4.7946550443896543</v>
      </c>
      <c r="BS27" s="22">
        <f t="shared" si="9"/>
        <v>29.727889528544178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325.18911068157126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14.727272727272727</v>
      </c>
      <c r="N28" s="13">
        <f>IF('Données projet'!$A$36&gt;35,N27+M28-V27,IF(A28&lt;'Données projet'!$A$36,$K$205^A28,IF(A28='Données projet'!$A$36,'Données projet'!$B$36,N27+M28-V27)))</f>
        <v>192.45454545454547</v>
      </c>
      <c r="O28" s="13">
        <f>N28*VLOOKUP('Données projet'!$B$9,Paramètres!$A$1:$I$89,3,0)*VLOOKUP('Données projet'!$B$9,Paramètres!$A$1:$I$89,5,0)</f>
        <v>115.08781818181821</v>
      </c>
      <c r="P28" s="13">
        <f t="shared" si="33"/>
        <v>30.526541558002926</v>
      </c>
      <c r="Q28" s="20">
        <f t="shared" si="2"/>
        <v>253.61167654685516</v>
      </c>
      <c r="R28" s="59">
        <f t="shared" si="0"/>
        <v>546.94500988018854</v>
      </c>
      <c r="S28" s="59">
        <f ca="1">AVERAGE(OFFSET($R$3,0,0,'Données projet'!$E$9+1,1))-AVERAGE(OFFSET($H$3,0,0,'Données projet'!$E$9+1,1))</f>
        <v>153.00981126776304</v>
      </c>
      <c r="T28" s="59">
        <f t="shared" si="34"/>
        <v>309.90400623462932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13.81288196571805</v>
      </c>
      <c r="AA28" s="21">
        <f>EXP(-LN(2)/25)*AA27+(1-EXP(-LN(2)/25))/(LN(2)/25)*Calculateur!V28*Calculateur!X28*VLOOKUP('Données projet'!$B$9,Paramètres!$A$1:$I$89,3,0)*0.475*44/12</f>
        <v>9.3554154334918405</v>
      </c>
      <c r="AB28" s="21">
        <f>EXP(-LN(2)/2)*AB27+(1-EXP(-LN(2)/2))/(LN(2)/2)*V28*Y28*VLOOKUP('Données projet'!$B$9,Paramètres!$A$1:$I$89,3,0)*0.475*44/12</f>
        <v>4.4154651559845535</v>
      </c>
      <c r="AC28" s="22">
        <f t="shared" si="3"/>
        <v>27.583762555194443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16.625</v>
      </c>
      <c r="AI28" s="13">
        <f>IF('Données projet'!$A$62&gt;35,AI27+AH28-AQ27,IF(A28&lt;'Données projet'!$A$62,$AF$205^A28,IF(A28='Données projet'!$A$62,'Données projet'!$B$62,AI27+AH28-AQ27)))</f>
        <v>225.87500000000009</v>
      </c>
      <c r="AJ28" s="13">
        <f>AI28*VLOOKUP('Données projet'!$B$10,Paramètres!$A$1:$I$89,3,0)*VLOOKUP('Données projet'!$B$10,Paramètres!$A$1:$I$89,5,0)</f>
        <v>135.07325000000006</v>
      </c>
      <c r="AK28" s="13">
        <f t="shared" si="35"/>
        <v>35.166013795582487</v>
      </c>
      <c r="AL28" s="20">
        <f t="shared" si="4"/>
        <v>296.50005111063956</v>
      </c>
      <c r="AM28" s="59">
        <f t="shared" si="5"/>
        <v>589.83338444397282</v>
      </c>
      <c r="AN28" s="59">
        <f ca="1">AVERAGE(OFFSET($AM$3,0,0,'Données projet'!$E$10+1,1))-AVERAGE(OFFSET($H$3,0,0,'Données projet'!$E$10+1,1))</f>
        <v>149.5086927376081</v>
      </c>
      <c r="AO28" s="59">
        <f t="shared" si="36"/>
        <v>364.59164590134498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14.577854491536971</v>
      </c>
      <c r="AV28" s="21">
        <f>EXP(-LN(2)/25)*AV27+(1-EXP(-LN(2)/25))/(LN(2)/25)*Calculateur!AQ28*Calculateur!AS28*VLOOKUP('Données projet'!$B$10,Paramètres!$A$1:$I$89,3,0)*0.475*44/12</f>
        <v>9.7886043159357143</v>
      </c>
      <c r="AW28" s="21">
        <f>EXP(-LN(2)/2)*AW27+(1-EXP(-LN(2)/2))/(LN(2)/2)*AQ28*AT28*VLOOKUP('Données projet'!$B$10,Paramètres!$A$1:$I$89,3,0)*0.475*44/12</f>
        <v>3.390333095338212</v>
      </c>
      <c r="AX28" s="21">
        <f t="shared" si="6"/>
        <v>27.756791902810896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16.625</v>
      </c>
      <c r="BD28" s="12">
        <f>IF('Données projet'!$A$88&gt;35,BD27+BC28-BL27,IF(A28&lt;'Données projet'!$A$88,$BA$205^A28,IF(A28='Données projet'!$A$88,'Données projet'!$B$88,BD27+BC28-BL27)))</f>
        <v>225.87500000000009</v>
      </c>
      <c r="BE28" s="13">
        <f>BD28*VLOOKUP('Données projet'!$B$11,Paramètres!$A$1:$I$89,3,0)*VLOOKUP('Données projet'!$B$11,Paramètres!$A$1:$I$89,5,0)</f>
        <v>135.07325000000006</v>
      </c>
      <c r="BF28" s="13">
        <f t="shared" si="37"/>
        <v>35.166013795582487</v>
      </c>
      <c r="BG28" s="20">
        <f t="shared" si="7"/>
        <v>296.50005111063956</v>
      </c>
      <c r="BH28" s="59">
        <f t="shared" si="8"/>
        <v>589.83338444397282</v>
      </c>
      <c r="BI28" s="59">
        <f ca="1">AVERAGE(OFFSET($BH$3,0,0,'Données projet'!$E$11+1,1))-AVERAGE(OFFSET($H$3,0,0,'Données projet'!$E$11+1,1))</f>
        <v>149.5086927376081</v>
      </c>
      <c r="BJ28" s="59">
        <f t="shared" si="38"/>
        <v>364.59164590134498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14.577854491536971</v>
      </c>
      <c r="BQ28" s="21">
        <f>EXP(-LN(2)/25)*BQ27+(1-EXP(-LN(2)/25))/(LN(2)/25)*Calculateur!BL28*Calculateur!BN28*VLOOKUP('Données projet'!$B$11,Paramètres!$A$1:$I$89,3,0)*0.475*44/12</f>
        <v>9.7886043159357143</v>
      </c>
      <c r="BR28" s="21">
        <f>EXP(-LN(2)/2)*BR27+(1-EXP(-LN(2)/2))/(LN(2)/2)*BL28*BO28*VLOOKUP('Données projet'!$B$11,Paramètres!$A$1:$I$89,3,0)*0.475*44/12</f>
        <v>3.390333095338212</v>
      </c>
      <c r="BS28" s="22">
        <f t="shared" si="9"/>
        <v>27.756791902810896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326.42505655450702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14.727272727272727</v>
      </c>
      <c r="N29" s="13">
        <f>IF('Données projet'!$A$36&gt;35,N28+M29-V28,IF(A29&lt;'Données projet'!$A$36,$K$205^A29,IF(A29='Données projet'!$A$36,'Données projet'!$B$36,N28+M29-V28)))</f>
        <v>207.18181818181819</v>
      </c>
      <c r="O29" s="13">
        <f>N29*VLOOKUP('Données projet'!$B$9,Paramètres!$A$1:$I$89,3,0)*VLOOKUP('Données projet'!$B$9,Paramètres!$A$1:$I$89,5,0)</f>
        <v>123.89472727272728</v>
      </c>
      <c r="P29" s="13">
        <f t="shared" si="33"/>
        <v>32.581684967306394</v>
      </c>
      <c r="Q29" s="20">
        <f t="shared" si="2"/>
        <v>272.52975131805863</v>
      </c>
      <c r="R29" s="59">
        <f t="shared" si="0"/>
        <v>565.863084651392</v>
      </c>
      <c r="S29" s="59">
        <f ca="1">AVERAGE(OFFSET($R$3,0,0,'Données projet'!$E$9+1,1))-AVERAGE(OFFSET($H$3,0,0,'Données projet'!$E$9+1,1))</f>
        <v>153.00981126776304</v>
      </c>
      <c r="T29" s="59">
        <f t="shared" si="34"/>
        <v>309.90400623462932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13.542019775396417</v>
      </c>
      <c r="AA29" s="21">
        <f>EXP(-LN(2)/25)*AA28+(1-EXP(-LN(2)/25))/(LN(2)/25)*Calculateur!V29*Calculateur!X29*VLOOKUP('Données projet'!$B$9,Paramètres!$A$1:$I$89,3,0)*0.475*44/12</f>
        <v>9.099591106483091</v>
      </c>
      <c r="AB29" s="21">
        <f>EXP(-LN(2)/2)*AB28+(1-EXP(-LN(2)/2))/(LN(2)/2)*V29*Y29*VLOOKUP('Données projet'!$B$9,Paramètres!$A$1:$I$89,3,0)*0.475*44/12</f>
        <v>3.1222053538895946</v>
      </c>
      <c r="AC29" s="22">
        <f t="shared" si="3"/>
        <v>25.763816235769102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16.625</v>
      </c>
      <c r="AI29" s="13">
        <f>IF('Données projet'!$A$62&gt;35,AI28+AH29-AQ28,IF(A29&lt;'Données projet'!$A$62,$AF$205^A29,IF(A29='Données projet'!$A$62,'Données projet'!$B$62,AI28+AH29-AQ28)))</f>
        <v>242.50000000000009</v>
      </c>
      <c r="AJ29" s="13">
        <f>AI29*VLOOKUP('Données projet'!$B$10,Paramètres!$A$1:$I$89,3,0)*VLOOKUP('Données projet'!$B$10,Paramètres!$A$1:$I$89,5,0)</f>
        <v>145.01500000000004</v>
      </c>
      <c r="AK29" s="13">
        <f t="shared" si="35"/>
        <v>37.443507744276459</v>
      </c>
      <c r="AL29" s="20">
        <f t="shared" si="4"/>
        <v>317.78190098794829</v>
      </c>
      <c r="AM29" s="59">
        <f t="shared" si="5"/>
        <v>611.1152343212816</v>
      </c>
      <c r="AN29" s="59">
        <f ca="1">AVERAGE(OFFSET($AM$3,0,0,'Données projet'!$E$10+1,1))-AVERAGE(OFFSET($H$3,0,0,'Données projet'!$E$10+1,1))</f>
        <v>149.5086927376081</v>
      </c>
      <c r="AO29" s="59">
        <f t="shared" si="36"/>
        <v>364.59164590134498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14.291991656571197</v>
      </c>
      <c r="AV29" s="21">
        <f>EXP(-LN(2)/25)*AV28+(1-EXP(-LN(2)/25))/(LN(2)/25)*Calculateur!AQ29*Calculateur!AS29*VLOOKUP('Données projet'!$B$10,Paramètres!$A$1:$I$89,3,0)*0.475*44/12</f>
        <v>9.5209344161561233</v>
      </c>
      <c r="AW29" s="21">
        <f>EXP(-LN(2)/2)*AW28+(1-EXP(-LN(2)/2))/(LN(2)/2)*AQ29*AT29*VLOOKUP('Données projet'!$B$10,Paramètres!$A$1:$I$89,3,0)*0.475*44/12</f>
        <v>2.3973275221948276</v>
      </c>
      <c r="AX29" s="21">
        <f t="shared" si="6"/>
        <v>26.21025359492215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16.625</v>
      </c>
      <c r="BD29" s="12">
        <f>IF('Données projet'!$A$88&gt;35,BD28+BC29-BL28,IF(A29&lt;'Données projet'!$A$88,$BA$205^A29,IF(A29='Données projet'!$A$88,'Données projet'!$B$88,BD28+BC29-BL28)))</f>
        <v>242.50000000000009</v>
      </c>
      <c r="BE29" s="13">
        <f>BD29*VLOOKUP('Données projet'!$B$11,Paramètres!$A$1:$I$89,3,0)*VLOOKUP('Données projet'!$B$11,Paramètres!$A$1:$I$89,5,0)</f>
        <v>145.01500000000004</v>
      </c>
      <c r="BF29" s="13">
        <f t="shared" si="37"/>
        <v>37.443507744276459</v>
      </c>
      <c r="BG29" s="20">
        <f t="shared" si="7"/>
        <v>317.78190098794829</v>
      </c>
      <c r="BH29" s="59">
        <f t="shared" si="8"/>
        <v>611.1152343212816</v>
      </c>
      <c r="BI29" s="59">
        <f ca="1">AVERAGE(OFFSET($BH$3,0,0,'Données projet'!$E$11+1,1))-AVERAGE(OFFSET($H$3,0,0,'Données projet'!$E$11+1,1))</f>
        <v>149.5086927376081</v>
      </c>
      <c r="BJ29" s="59">
        <f t="shared" si="38"/>
        <v>364.59164590134498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14.291991656571197</v>
      </c>
      <c r="BQ29" s="21">
        <f>EXP(-LN(2)/25)*BQ28+(1-EXP(-LN(2)/25))/(LN(2)/25)*Calculateur!BL29*Calculateur!BN29*VLOOKUP('Données projet'!$B$11,Paramètres!$A$1:$I$89,3,0)*0.475*44/12</f>
        <v>9.5209344161561233</v>
      </c>
      <c r="BR29" s="21">
        <f>EXP(-LN(2)/2)*BR28+(1-EXP(-LN(2)/2))/(LN(2)/2)*BL29*BO29*VLOOKUP('Données projet'!$B$11,Paramètres!$A$1:$I$89,3,0)*0.475*44/12</f>
        <v>2.3973275221948276</v>
      </c>
      <c r="BS29" s="22">
        <f t="shared" si="9"/>
        <v>26.21025359492215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327.65972904304982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14.727272727272727</v>
      </c>
      <c r="N30" s="13">
        <f>IF('Données projet'!$A$36&gt;35,N29+M30-V29,IF(A30&lt;'Données projet'!$A$36,$K$205^A30,IF(A30='Données projet'!$A$36,'Données projet'!$B$36,N29+M30-V29)))</f>
        <v>221.90909090909091</v>
      </c>
      <c r="O30" s="13">
        <f>N30*VLOOKUP('Données projet'!$B$9,Paramètres!$A$1:$I$89,3,0)*VLOOKUP('Données projet'!$B$9,Paramètres!$A$1:$I$89,5,0)</f>
        <v>132.70163636363637</v>
      </c>
      <c r="P30" s="13">
        <f t="shared" si="33"/>
        <v>34.619878895597843</v>
      </c>
      <c r="Q30" s="20">
        <f t="shared" si="2"/>
        <v>291.41830574316629</v>
      </c>
      <c r="R30" s="59">
        <f t="shared" si="0"/>
        <v>584.7516390764996</v>
      </c>
      <c r="S30" s="59">
        <f ca="1">AVERAGE(OFFSET($R$3,0,0,'Données projet'!$E$9+1,1))-AVERAGE(OFFSET($H$3,0,0,'Données projet'!$E$9+1,1))</f>
        <v>153.00981126776304</v>
      </c>
      <c r="T30" s="59">
        <f t="shared" si="34"/>
        <v>309.90400623462932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13.276469027417367</v>
      </c>
      <c r="AA30" s="21">
        <f>EXP(-LN(2)/25)*AA29+(1-EXP(-LN(2)/25))/(LN(2)/25)*Calculateur!V30*Calculateur!X30*VLOOKUP('Données projet'!$B$9,Paramètres!$A$1:$I$89,3,0)*0.475*44/12</f>
        <v>8.8507623091496122</v>
      </c>
      <c r="AB30" s="21">
        <f>EXP(-LN(2)/2)*AB29+(1-EXP(-LN(2)/2))/(LN(2)/2)*V30*Y30*VLOOKUP('Données projet'!$B$9,Paramètres!$A$1:$I$89,3,0)*0.475*44/12</f>
        <v>2.2077325779922767</v>
      </c>
      <c r="AC30" s="22">
        <f t="shared" si="3"/>
        <v>24.334963914559257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16.625</v>
      </c>
      <c r="AI30" s="13">
        <f>IF('Données projet'!$A$62&gt;35,AI29+AH30-AQ29,IF(A30&lt;'Données projet'!$A$62,$AF$205^A30,IF(A30='Données projet'!$A$62,'Données projet'!$B$62,AI29+AH30-AQ29)))</f>
        <v>259.12500000000011</v>
      </c>
      <c r="AJ30" s="13">
        <f>AI30*VLOOKUP('Données projet'!$B$10,Paramètres!$A$1:$I$89,3,0)*VLOOKUP('Données projet'!$B$10,Paramètres!$A$1:$I$89,5,0)</f>
        <v>154.95675000000008</v>
      </c>
      <c r="AK30" s="13">
        <f t="shared" si="35"/>
        <v>39.702884639661342</v>
      </c>
      <c r="AL30" s="20">
        <f t="shared" si="4"/>
        <v>339.03219699741027</v>
      </c>
      <c r="AM30" s="59">
        <f t="shared" si="5"/>
        <v>632.36553033074358</v>
      </c>
      <c r="AN30" s="59">
        <f ca="1">AVERAGE(OFFSET($AM$3,0,0,'Données projet'!$E$10+1,1))-AVERAGE(OFFSET($H$3,0,0,'Données projet'!$E$10+1,1))</f>
        <v>149.5086927376081</v>
      </c>
      <c r="AO30" s="59">
        <f t="shared" si="36"/>
        <v>364.59164590134498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14.011734417439989</v>
      </c>
      <c r="AV30" s="21">
        <f>EXP(-LN(2)/25)*AV29+(1-EXP(-LN(2)/25))/(LN(2)/25)*Calculateur!AQ30*Calculateur!AS30*VLOOKUP('Données projet'!$B$10,Paramètres!$A$1:$I$89,3,0)*0.475*44/12</f>
        <v>9.2605839638621532</v>
      </c>
      <c r="AW30" s="21">
        <f>EXP(-LN(2)/2)*AW29+(1-EXP(-LN(2)/2))/(LN(2)/2)*AQ30*AT30*VLOOKUP('Données projet'!$B$10,Paramètres!$A$1:$I$89,3,0)*0.475*44/12</f>
        <v>1.6951665476691062</v>
      </c>
      <c r="AX30" s="21">
        <f t="shared" si="6"/>
        <v>24.967484928971249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16.625</v>
      </c>
      <c r="BD30" s="12">
        <f>IF('Données projet'!$A$88&gt;35,BD29+BC30-BL29,IF(A30&lt;'Données projet'!$A$88,$BA$205^A30,IF(A30='Données projet'!$A$88,'Données projet'!$B$88,BD29+BC30-BL29)))</f>
        <v>259.12500000000011</v>
      </c>
      <c r="BE30" s="13">
        <f>BD30*VLOOKUP('Données projet'!$B$11,Paramètres!$A$1:$I$89,3,0)*VLOOKUP('Données projet'!$B$11,Paramètres!$A$1:$I$89,5,0)</f>
        <v>154.95675000000008</v>
      </c>
      <c r="BF30" s="13">
        <f t="shared" si="37"/>
        <v>39.702884639661342</v>
      </c>
      <c r="BG30" s="20">
        <f t="shared" si="7"/>
        <v>339.03219699741027</v>
      </c>
      <c r="BH30" s="59">
        <f t="shared" si="8"/>
        <v>632.36553033074358</v>
      </c>
      <c r="BI30" s="59">
        <f ca="1">AVERAGE(OFFSET($BH$3,0,0,'Données projet'!$E$11+1,1))-AVERAGE(OFFSET($H$3,0,0,'Données projet'!$E$11+1,1))</f>
        <v>149.5086927376081</v>
      </c>
      <c r="BJ30" s="59">
        <f t="shared" si="38"/>
        <v>364.59164590134498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14.011734417439989</v>
      </c>
      <c r="BQ30" s="21">
        <f>EXP(-LN(2)/25)*BQ29+(1-EXP(-LN(2)/25))/(LN(2)/25)*Calculateur!BL30*Calculateur!BN30*VLOOKUP('Données projet'!$B$11,Paramètres!$A$1:$I$89,3,0)*0.475*44/12</f>
        <v>9.2605839638621532</v>
      </c>
      <c r="BR30" s="21">
        <f>EXP(-LN(2)/2)*BR29+(1-EXP(-LN(2)/2))/(LN(2)/2)*BL30*BO30*VLOOKUP('Données projet'!$B$11,Paramètres!$A$1:$I$89,3,0)*0.475*44/12</f>
        <v>1.6951665476691062</v>
      </c>
      <c r="BS30" s="22">
        <f t="shared" si="9"/>
        <v>24.967484928971249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328.89318071040799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14.727272727272727</v>
      </c>
      <c r="N31" s="13">
        <f>IF('Données projet'!$A$36&gt;35,N30+M31-V30,IF(A31&lt;'Données projet'!$A$36,$K$205^A31,IF(A31='Données projet'!$A$36,'Données projet'!$B$36,N30+M31-V30)))</f>
        <v>236.63636363636363</v>
      </c>
      <c r="O31" s="13">
        <f>N31*VLOOKUP('Données projet'!$B$9,Paramètres!$A$1:$I$89,3,0)*VLOOKUP('Données projet'!$B$9,Paramètres!$A$1:$I$89,5,0)</f>
        <v>141.50854545454547</v>
      </c>
      <c r="P31" s="13">
        <f t="shared" si="33"/>
        <v>36.642376213467628</v>
      </c>
      <c r="Q31" s="20">
        <f t="shared" si="2"/>
        <v>310.27952190512281</v>
      </c>
      <c r="R31" s="59">
        <f t="shared" si="0"/>
        <v>603.61285523845618</v>
      </c>
      <c r="S31" s="59">
        <f ca="1">AVERAGE(OFFSET($R$3,0,0,'Données projet'!$E$9+1,1))-AVERAGE(OFFSET($H$3,0,0,'Données projet'!$E$9+1,1))</f>
        <v>153.00981126776304</v>
      </c>
      <c r="T31" s="59">
        <f t="shared" si="34"/>
        <v>309.90400623462932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13.016125567636223</v>
      </c>
      <c r="AA31" s="21">
        <f>EXP(-LN(2)/25)*AA30+(1-EXP(-LN(2)/25))/(LN(2)/25)*Calculateur!V31*Calculateur!X31*VLOOKUP('Données projet'!$B$9,Paramètres!$A$1:$I$89,3,0)*0.475*44/12</f>
        <v>8.6087377483645557</v>
      </c>
      <c r="AB31" s="21">
        <f>EXP(-LN(2)/2)*AB30+(1-EXP(-LN(2)/2))/(LN(2)/2)*V31*Y31*VLOOKUP('Données projet'!$B$9,Paramètres!$A$1:$I$89,3,0)*0.475*44/12</f>
        <v>1.5611026769447973</v>
      </c>
      <c r="AC31" s="22">
        <f t="shared" si="3"/>
        <v>23.185965992945576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16.625</v>
      </c>
      <c r="AI31" s="13">
        <f>IF('Données projet'!$A$62&gt;35,AI30+AH31-AQ30,IF(A31&lt;'Données projet'!$A$62,$AF$205^A31,IF(A31='Données projet'!$A$62,'Données projet'!$B$62,AI30+AH31-AQ30)))</f>
        <v>275.75000000000011</v>
      </c>
      <c r="AJ31" s="13">
        <f>AI31*VLOOKUP('Données projet'!$B$10,Paramètres!$A$1:$I$89,3,0)*VLOOKUP('Données projet'!$B$10,Paramètres!$A$1:$I$89,5,0)</f>
        <v>164.89850000000007</v>
      </c>
      <c r="AK31" s="13">
        <f t="shared" si="35"/>
        <v>41.94543913753872</v>
      </c>
      <c r="AL31" s="20">
        <f t="shared" si="4"/>
        <v>360.25319399788003</v>
      </c>
      <c r="AM31" s="59">
        <f t="shared" si="5"/>
        <v>653.58652733121335</v>
      </c>
      <c r="AN31" s="59">
        <f ca="1">AVERAGE(OFFSET($AM$3,0,0,'Données projet'!$E$10+1,1))-AVERAGE(OFFSET($H$3,0,0,'Données projet'!$E$10+1,1))</f>
        <v>149.5086927376081</v>
      </c>
      <c r="AO31" s="59">
        <f t="shared" si="36"/>
        <v>364.59164590134498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13.736972851828106</v>
      </c>
      <c r="AV31" s="21">
        <f>EXP(-LN(2)/25)*AV30+(1-EXP(-LN(2)/25))/(LN(2)/25)*Calculateur!AQ31*Calculateur!AS31*VLOOKUP('Données projet'!$B$10,Paramètres!$A$1:$I$89,3,0)*0.475*44/12</f>
        <v>9.0073528083773979</v>
      </c>
      <c r="AW31" s="21">
        <f>EXP(-LN(2)/2)*AW30+(1-EXP(-LN(2)/2))/(LN(2)/2)*AQ31*AT31*VLOOKUP('Données projet'!$B$10,Paramètres!$A$1:$I$89,3,0)*0.475*44/12</f>
        <v>1.198663761097414</v>
      </c>
      <c r="AX31" s="21">
        <f t="shared" si="6"/>
        <v>23.942989421302919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16.625</v>
      </c>
      <c r="BD31" s="12">
        <f>IF('Données projet'!$A$88&gt;35,BD30+BC31-BL30,IF(A31&lt;'Données projet'!$A$88,$BA$205^A31,IF(A31='Données projet'!$A$88,'Données projet'!$B$88,BD30+BC31-BL30)))</f>
        <v>275.75000000000011</v>
      </c>
      <c r="BE31" s="13">
        <f>BD31*VLOOKUP('Données projet'!$B$11,Paramètres!$A$1:$I$89,3,0)*VLOOKUP('Données projet'!$B$11,Paramètres!$A$1:$I$89,5,0)</f>
        <v>164.89850000000007</v>
      </c>
      <c r="BF31" s="13">
        <f t="shared" si="37"/>
        <v>41.94543913753872</v>
      </c>
      <c r="BG31" s="20">
        <f t="shared" si="7"/>
        <v>360.25319399788003</v>
      </c>
      <c r="BH31" s="59">
        <f t="shared" si="8"/>
        <v>653.58652733121335</v>
      </c>
      <c r="BI31" s="59">
        <f ca="1">AVERAGE(OFFSET($BH$3,0,0,'Données projet'!$E$11+1,1))-AVERAGE(OFFSET($H$3,0,0,'Données projet'!$E$11+1,1))</f>
        <v>149.5086927376081</v>
      </c>
      <c r="BJ31" s="59">
        <f t="shared" si="38"/>
        <v>364.59164590134498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13.736972851828106</v>
      </c>
      <c r="BQ31" s="21">
        <f>EXP(-LN(2)/25)*BQ30+(1-EXP(-LN(2)/25))/(LN(2)/25)*Calculateur!BL31*Calculateur!BN31*VLOOKUP('Données projet'!$B$11,Paramètres!$A$1:$I$89,3,0)*0.475*44/12</f>
        <v>9.0073528083773979</v>
      </c>
      <c r="BR31" s="21">
        <f>EXP(-LN(2)/2)*BR30+(1-EXP(-LN(2)/2))/(LN(2)/2)*BL31*BO31*VLOOKUP('Données projet'!$B$11,Paramètres!$A$1:$I$89,3,0)*0.475*44/12</f>
        <v>1.198663761097414</v>
      </c>
      <c r="BS31" s="22">
        <f t="shared" si="9"/>
        <v>23.942989421302919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330.12546015243771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14.727272727272727</v>
      </c>
      <c r="N32" s="13">
        <f>IF('Données projet'!$A$36&gt;35,N31+M32-V31,IF(A32&lt;'Données projet'!$A$36,$K$205^A32,IF(A32='Données projet'!$A$36,'Données projet'!$B$36,N31+M32-V31)))</f>
        <v>251.36363636363635</v>
      </c>
      <c r="O32" s="13">
        <f>N32*VLOOKUP('Données projet'!$B$9,Paramètres!$A$1:$I$89,3,0)*VLOOKUP('Données projet'!$B$9,Paramètres!$A$1:$I$89,5,0)</f>
        <v>150.31545454545454</v>
      </c>
      <c r="P32" s="13">
        <f t="shared" si="33"/>
        <v>38.650265030760963</v>
      </c>
      <c r="Q32" s="20">
        <f t="shared" si="2"/>
        <v>329.11529492857534</v>
      </c>
      <c r="R32" s="59">
        <f t="shared" si="0"/>
        <v>622.44862826190865</v>
      </c>
      <c r="S32" s="59">
        <f ca="1">AVERAGE(OFFSET($R$3,0,0,'Données projet'!$E$9+1,1))-AVERAGE(OFFSET($H$3,0,0,'Données projet'!$E$9+1,1))</f>
        <v>153.00981126776304</v>
      </c>
      <c r="T32" s="59">
        <f t="shared" si="34"/>
        <v>309.90400623462932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12.760887284307557</v>
      </c>
      <c r="AA32" s="21">
        <f>EXP(-LN(2)/25)*AA31+(1-EXP(-LN(2)/25))/(LN(2)/25)*Calculateur!V32*Calculateur!X32*VLOOKUP('Données projet'!$B$9,Paramètres!$A$1:$I$89,3,0)*0.475*44/12</f>
        <v>8.373331361921684</v>
      </c>
      <c r="AB32" s="21">
        <f>EXP(-LN(2)/2)*AB31+(1-EXP(-LN(2)/2))/(LN(2)/2)*V32*Y32*VLOOKUP('Données projet'!$B$9,Paramètres!$A$1:$I$89,3,0)*0.475*44/12</f>
        <v>1.1038662889961384</v>
      </c>
      <c r="AC32" s="22">
        <f t="shared" si="3"/>
        <v>22.23808493522538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16.625</v>
      </c>
      <c r="AI32" s="13">
        <f>IF('Données projet'!$A$62&gt;35,AI31+AH32-AQ31,IF(A32&lt;'Données projet'!$A$62,$AF$205^A32,IF(A32='Données projet'!$A$62,'Données projet'!$B$62,AI31+AH32-AQ31)))</f>
        <v>292.37500000000011</v>
      </c>
      <c r="AJ32" s="13">
        <f>AI32*VLOOKUP('Données projet'!$B$10,Paramètres!$A$1:$I$89,3,0)*VLOOKUP('Données projet'!$B$10,Paramètres!$A$1:$I$89,5,0)</f>
        <v>174.84025000000008</v>
      </c>
      <c r="AK32" s="13">
        <f t="shared" si="35"/>
        <v>44.172300963535264</v>
      </c>
      <c r="AL32" s="20">
        <f t="shared" si="4"/>
        <v>381.44685959482405</v>
      </c>
      <c r="AM32" s="59">
        <f t="shared" si="5"/>
        <v>674.78019292815736</v>
      </c>
      <c r="AN32" s="59">
        <f ca="1">AVERAGE(OFFSET($AM$3,0,0,'Données projet'!$E$10+1,1))-AVERAGE(OFFSET($H$3,0,0,'Données projet'!$E$10+1,1))</f>
        <v>149.5086927376081</v>
      </c>
      <c r="AO32" s="59">
        <f t="shared" si="36"/>
        <v>364.59164590134498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13.467599192929866</v>
      </c>
      <c r="AV32" s="21">
        <f>EXP(-LN(2)/25)*AV31+(1-EXP(-LN(2)/25))/(LN(2)/25)*Calculateur!AQ32*Calculateur!AS32*VLOOKUP('Données projet'!$B$10,Paramètres!$A$1:$I$89,3,0)*0.475*44/12</f>
        <v>8.7610462721562197</v>
      </c>
      <c r="AW32" s="21">
        <f>EXP(-LN(2)/2)*AW31+(1-EXP(-LN(2)/2))/(LN(2)/2)*AQ32*AT32*VLOOKUP('Données projet'!$B$10,Paramètres!$A$1:$I$89,3,0)*0.475*44/12</f>
        <v>0.84758327383455323</v>
      </c>
      <c r="AX32" s="21">
        <f t="shared" si="6"/>
        <v>23.076228738920637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16.625</v>
      </c>
      <c r="BD32" s="12">
        <f>IF('Données projet'!$A$88&gt;35,BD31+BC32-BL31,IF(A32&lt;'Données projet'!$A$88,$BA$205^A32,IF(A32='Données projet'!$A$88,'Données projet'!$B$88,BD31+BC32-BL31)))</f>
        <v>292.37500000000011</v>
      </c>
      <c r="BE32" s="13">
        <f>BD32*VLOOKUP('Données projet'!$B$11,Paramètres!$A$1:$I$89,3,0)*VLOOKUP('Données projet'!$B$11,Paramètres!$A$1:$I$89,5,0)</f>
        <v>174.84025000000008</v>
      </c>
      <c r="BF32" s="13">
        <f t="shared" si="37"/>
        <v>44.172300963535264</v>
      </c>
      <c r="BG32" s="20">
        <f t="shared" si="7"/>
        <v>381.44685959482405</v>
      </c>
      <c r="BH32" s="59">
        <f t="shared" si="8"/>
        <v>674.78019292815736</v>
      </c>
      <c r="BI32" s="59">
        <f ca="1">AVERAGE(OFFSET($BH$3,0,0,'Données projet'!$E$11+1,1))-AVERAGE(OFFSET($H$3,0,0,'Données projet'!$E$11+1,1))</f>
        <v>149.5086927376081</v>
      </c>
      <c r="BJ32" s="59">
        <f t="shared" si="38"/>
        <v>364.59164590134498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13.467599192929866</v>
      </c>
      <c r="BQ32" s="21">
        <f>EXP(-LN(2)/25)*BQ31+(1-EXP(-LN(2)/25))/(LN(2)/25)*Calculateur!BL32*Calculateur!BN32*VLOOKUP('Données projet'!$B$11,Paramètres!$A$1:$I$89,3,0)*0.475*44/12</f>
        <v>8.7610462721562197</v>
      </c>
      <c r="BR32" s="21">
        <f>EXP(-LN(2)/2)*BR31+(1-EXP(-LN(2)/2))/(LN(2)/2)*BL32*BO32*VLOOKUP('Données projet'!$B$11,Paramètres!$A$1:$I$89,3,0)*0.475*44/12</f>
        <v>0.84758327383455323</v>
      </c>
      <c r="BS32" s="22">
        <f t="shared" si="9"/>
        <v>23.076228738920637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331.35661242347447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14.727272727272727</v>
      </c>
      <c r="N33" s="13">
        <f>IF('Données projet'!$A$36&gt;35,N32+M33-V32,IF(A33&lt;'Données projet'!$A$36,$K$205^A33,IF(A33='Données projet'!$A$36,'Données projet'!$B$36,N32+M33-V32)))</f>
        <v>266.09090909090907</v>
      </c>
      <c r="O33" s="13">
        <f>N33*VLOOKUP('Données projet'!$B$9,Paramètres!$A$1:$I$89,3,0)*VLOOKUP('Données projet'!$B$9,Paramètres!$A$1:$I$89,5,0)</f>
        <v>159.12236363636362</v>
      </c>
      <c r="P33" s="13">
        <f t="shared" si="33"/>
        <v>40.644498751064432</v>
      </c>
      <c r="Q33" s="20">
        <f t="shared" si="2"/>
        <v>347.92728532477048</v>
      </c>
      <c r="R33" s="59">
        <f t="shared" si="0"/>
        <v>641.26061865810379</v>
      </c>
      <c r="S33" s="59">
        <f ca="1">AVERAGE(OFFSET($R$3,0,0,'Données projet'!$E$9+1,1))-AVERAGE(OFFSET($H$3,0,0,'Données projet'!$E$9+1,1))</f>
        <v>153.00981126776304</v>
      </c>
      <c r="T33" s="59">
        <f t="shared" si="34"/>
        <v>309.90400623462932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12.510654068034986</v>
      </c>
      <c r="AA33" s="21">
        <f>EXP(-LN(2)/25)*AA32+(1-EXP(-LN(2)/25))/(LN(2)/25)*Calculateur!V33*Calculateur!X33*VLOOKUP('Données projet'!$B$9,Paramètres!$A$1:$I$89,3,0)*0.475*44/12</f>
        <v>8.1443621754955764</v>
      </c>
      <c r="AB33" s="21">
        <f>EXP(-LN(2)/2)*AB32+(1-EXP(-LN(2)/2))/(LN(2)/2)*V33*Y33*VLOOKUP('Données projet'!$B$9,Paramètres!$A$1:$I$89,3,0)*0.475*44/12</f>
        <v>0.78055133847239866</v>
      </c>
      <c r="AC33" s="22">
        <f t="shared" si="3"/>
        <v>21.43556758200296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309</v>
      </c>
      <c r="AG33" s="12">
        <f>VLOOKUP(A33,'Données projet'!$A$61:$I$81,9,0)</f>
        <v>16.625</v>
      </c>
      <c r="AH33" s="12">
        <f t="array" ref="AH33">INDEX(AG:AG,MIN(IF(ISNUMBER(AG33:AG229),ROW(AG33:AG229),"")))</f>
        <v>16.625</v>
      </c>
      <c r="AI33" s="13">
        <f>IF('Données projet'!$A$62&gt;35,AI32+AH33-AQ32,IF(A33&lt;'Données projet'!$A$62,$AF$205^A33,IF(A33='Données projet'!$A$62,'Données projet'!$B$62,AI32+AH33-AQ32)))</f>
        <v>309.00000000000011</v>
      </c>
      <c r="AJ33" s="13">
        <f>AI33*VLOOKUP('Données projet'!$B$10,Paramètres!$A$1:$I$89,3,0)*VLOOKUP('Données projet'!$B$10,Paramètres!$A$1:$I$89,5,0)</f>
        <v>184.7820000000001</v>
      </c>
      <c r="AK33" s="13">
        <f t="shared" si="35"/>
        <v>46.384464109944147</v>
      </c>
      <c r="AL33" s="20">
        <f t="shared" si="4"/>
        <v>402.61492499148613</v>
      </c>
      <c r="AM33" s="59">
        <f t="shared" si="5"/>
        <v>695.94825832481945</v>
      </c>
      <c r="AN33" s="59">
        <f ca="1">AVERAGE(OFFSET($AM$3,0,0,'Données projet'!$E$10+1,1))-AVERAGE(OFFSET($H$3,0,0,'Données projet'!$E$10+1,1))</f>
        <v>149.5086927376081</v>
      </c>
      <c r="AO33" s="59">
        <f t="shared" si="36"/>
        <v>364.59164590134498</v>
      </c>
      <c r="AP33" s="15">
        <f>IF(ISNA(VLOOKUP(A33,'Données projet'!$A$61:$I$81,3,0)),0,VLOOKUP(A33,'Données projet'!$A$61:$I$81,3,0))</f>
        <v>4</v>
      </c>
      <c r="AQ33" s="15">
        <f>IF(ISNA(VLOOKUP(A33,'Données projet'!$A$61:$I$81,4,0)),0,VLOOKUP(A33,'Données projet'!$A$61:$I$81,4,0))</f>
        <v>309</v>
      </c>
      <c r="AR33" s="16">
        <f>IF(ISNA(VLOOKUP(A33,'Données projet'!$A$61:$I$81,5,0)),0%,VLOOKUP(A33,'Données projet'!$A$61:$I$81,5,0)*VLOOKUP('Données projet'!$B$10,Paramètres!$A$1:$I$89,7,0))</f>
        <v>0.36000000000000004</v>
      </c>
      <c r="AS33" s="16">
        <f>IF(ISNA(VLOOKUP(A33,'Données projet'!$A$61:$I$81,6,0)),0%,VLOOKUP(A33,'Données projet'!$A$61:$I$81,6,0)*VLOOKUP('Données projet'!$B$10,Paramètres!$A$1:$I$89,7,0))</f>
        <v>4.5000000000000005E-2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101.4485917409914</v>
      </c>
      <c r="AV33" s="21">
        <f>EXP(-LN(2)/25)*AV32+(1-EXP(-LN(2)/25))/(LN(2)/25)*Calculateur!AQ33*Calculateur!AS33*VLOOKUP('Données projet'!$B$10,Paramètres!$A$1:$I$89,3,0)*0.475*44/12</f>
        <v>19.508678680404614</v>
      </c>
      <c r="AW33" s="21">
        <f>EXP(-LN(2)/2)*AW32+(1-EXP(-LN(2)/2))/(LN(2)/2)*AQ33*AT33*VLOOKUP('Données projet'!$B$10,Paramètres!$A$1:$I$89,3,0)*0.475*44/12</f>
        <v>0.59933188054870712</v>
      </c>
      <c r="AX33" s="21">
        <f t="shared" si="6"/>
        <v>121.55660230194472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309</v>
      </c>
      <c r="BB33" s="12">
        <f>VLOOKUP(A33,'Données projet'!$A$87:$I$107,9,0)</f>
        <v>16.625</v>
      </c>
      <c r="BC33" s="12">
        <f t="array" ref="BC33">INDEX(BB:BB,MIN(IF(ISNUMBER(BB33:BB229),ROW(BB33:BB229),"")))</f>
        <v>16.625</v>
      </c>
      <c r="BD33" s="12">
        <f>IF('Données projet'!$A$88&gt;35,BD32+BC33-BL32,IF(A33&lt;'Données projet'!$A$88,$BA$205^A33,IF(A33='Données projet'!$A$88,'Données projet'!$B$88,BD32+BC33-BL32)))</f>
        <v>309.00000000000011</v>
      </c>
      <c r="BE33" s="13">
        <f>BD33*VLOOKUP('Données projet'!$B$11,Paramètres!$A$1:$I$89,3,0)*VLOOKUP('Données projet'!$B$11,Paramètres!$A$1:$I$89,5,0)</f>
        <v>184.7820000000001</v>
      </c>
      <c r="BF33" s="13">
        <f t="shared" si="37"/>
        <v>46.384464109944147</v>
      </c>
      <c r="BG33" s="20">
        <f t="shared" si="7"/>
        <v>402.61492499148613</v>
      </c>
      <c r="BH33" s="59">
        <f t="shared" si="8"/>
        <v>695.94825832481945</v>
      </c>
      <c r="BI33" s="59">
        <f ca="1">AVERAGE(OFFSET($BH$3,0,0,'Données projet'!$E$11+1,1))-AVERAGE(OFFSET($H$3,0,0,'Données projet'!$E$11+1,1))</f>
        <v>149.5086927376081</v>
      </c>
      <c r="BJ33" s="59">
        <f t="shared" si="38"/>
        <v>364.59164590134498</v>
      </c>
      <c r="BK33" s="15">
        <f>IF(ISNA(VLOOKUP(A33,'Données projet'!$A$87:$I$107,3,0)),0,VLOOKUP(A33,'Données projet'!$A$87:$I$107,3,0))</f>
        <v>4</v>
      </c>
      <c r="BL33" s="15">
        <f>IF(ISNA(VLOOKUP(A33,'Données projet'!$A$87:$I$107,4,0)),0,VLOOKUP(A33,'Données projet'!$A$87:$I$107,4,0))</f>
        <v>309</v>
      </c>
      <c r="BM33" s="16">
        <f>IF(ISNA(VLOOKUP(A33,'Données projet'!$A$87:$I$107,5,0)),0%,VLOOKUP(A33,'Données projet'!$A$87:$I$107,5,0)*VLOOKUP('Données projet'!$B$11,Paramètres!$A$1:$I$89,7,0))</f>
        <v>0.36000000000000004</v>
      </c>
      <c r="BN33" s="16">
        <f>IF(ISNA(VLOOKUP(A33,'Données projet'!$A$87:$I$107,6,0)),0%,VLOOKUP(A33,'Données projet'!$A$87:$I$107,6,0)*VLOOKUP('Données projet'!$B$11,Paramètres!$A$1:$I$89,7,0))</f>
        <v>4.5000000000000005E-2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101.4485917409914</v>
      </c>
      <c r="BQ33" s="21">
        <f>EXP(-LN(2)/25)*BQ32+(1-EXP(-LN(2)/25))/(LN(2)/25)*Calculateur!BL33*Calculateur!BN33*VLOOKUP('Données projet'!$B$11,Paramètres!$A$1:$I$89,3,0)*0.475*44/12</f>
        <v>19.508678680404614</v>
      </c>
      <c r="BR33" s="21">
        <f>EXP(-LN(2)/2)*BR32+(1-EXP(-LN(2)/2))/(LN(2)/2)*BL33*BO33*VLOOKUP('Données projet'!$B$11,Paramètres!$A$1:$I$89,3,0)*0.475*44/12</f>
        <v>0.59933188054870712</v>
      </c>
      <c r="BS33" s="22">
        <f t="shared" si="9"/>
        <v>121.55660230194472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332.58667940379132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14.727272727272727</v>
      </c>
      <c r="N34" s="13">
        <f>IF('Données projet'!$A$36&gt;35,N33+M34-V33,IF(A34&lt;'Données projet'!$A$36,$K$205^A34,IF(A34='Données projet'!$A$36,'Données projet'!$B$36,N33+M34-V33)))</f>
        <v>280.81818181818181</v>
      </c>
      <c r="O34" s="13">
        <f>N34*VLOOKUP('Données projet'!$B$9,Paramètres!$A$1:$I$89,3,0)*VLOOKUP('Données projet'!$B$9,Paramètres!$A$1:$I$89,5,0)</f>
        <v>167.92927272727275</v>
      </c>
      <c r="P34" s="13">
        <f t="shared" si="33"/>
        <v>42.625919281834626</v>
      </c>
      <c r="Q34" s="20">
        <f t="shared" si="2"/>
        <v>366.71695941586199</v>
      </c>
      <c r="R34" s="59">
        <f t="shared" si="0"/>
        <v>660.05029274919525</v>
      </c>
      <c r="S34" s="59">
        <f ca="1">AVERAGE(OFFSET($R$3,0,0,'Données projet'!$E$9+1,1))-AVERAGE(OFFSET($H$3,0,0,'Données projet'!$E$9+1,1))</f>
        <v>153.00981126776304</v>
      </c>
      <c r="T34" s="59">
        <f t="shared" si="34"/>
        <v>309.90400623462932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12.265327772506328</v>
      </c>
      <c r="AA34" s="21">
        <f>EXP(-LN(2)/25)*AA33+(1-EXP(-LN(2)/25))/(LN(2)/25)*Calculateur!V34*Calculateur!X34*VLOOKUP('Données projet'!$B$9,Paramètres!$A$1:$I$89,3,0)*0.475*44/12</f>
        <v>7.9216541635132574</v>
      </c>
      <c r="AB34" s="21">
        <f>EXP(-LN(2)/2)*AB33+(1-EXP(-LN(2)/2))/(LN(2)/2)*V34*Y34*VLOOKUP('Données projet'!$B$9,Paramètres!$A$1:$I$89,3,0)*0.475*44/12</f>
        <v>0.55193314449806918</v>
      </c>
      <c r="AC34" s="22">
        <f t="shared" si="3"/>
        <v>20.738915080517653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0</v>
      </c>
      <c r="AI34" s="13">
        <f>IF('Données projet'!$A$62&gt;35,AI33+AH34-AQ33,IF(A34&lt;'Données projet'!$A$62,$AF$205^A34,IF(A34='Données projet'!$A$62,'Données projet'!$B$62,AI33+AH34-AQ33)))</f>
        <v>1.1368683772161603E-13</v>
      </c>
      <c r="AJ34" s="13">
        <f>AI34*VLOOKUP('Données projet'!$B$10,Paramètres!$A$1:$I$89,3,0)*VLOOKUP('Données projet'!$B$10,Paramètres!$A$1:$I$89,5,0)</f>
        <v>6.7984728957526396E-14</v>
      </c>
      <c r="AK34" s="13">
        <f t="shared" si="35"/>
        <v>1.0682447123141398E-12</v>
      </c>
      <c r="AL34" s="20">
        <f t="shared" si="4"/>
        <v>1.978932943548152E-12</v>
      </c>
      <c r="AM34" s="59">
        <f t="shared" si="5"/>
        <v>293.3333333333353</v>
      </c>
      <c r="AN34" s="59">
        <f ca="1">AVERAGE(OFFSET($AM$3,0,0,'Données projet'!$E$10+1,1))-AVERAGE(OFFSET($H$3,0,0,'Données projet'!$E$10+1,1))</f>
        <v>149.5086927376081</v>
      </c>
      <c r="AO34" s="59">
        <f t="shared" si="36"/>
        <v>364.59164590134498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99.459246734481624</v>
      </c>
      <c r="AV34" s="21">
        <f>EXP(-LN(2)/25)*AV33+(1-EXP(-LN(2)/25))/(LN(2)/25)*Calculateur!AQ34*Calculateur!AS34*VLOOKUP('Données projet'!$B$10,Paramètres!$A$1:$I$89,3,0)*0.475*44/12</f>
        <v>18.975212835972126</v>
      </c>
      <c r="AW34" s="21">
        <f>EXP(-LN(2)/2)*AW33+(1-EXP(-LN(2)/2))/(LN(2)/2)*AQ34*AT34*VLOOKUP('Données projet'!$B$10,Paramètres!$A$1:$I$89,3,0)*0.475*44/12</f>
        <v>0.42379163691727673</v>
      </c>
      <c r="AX34" s="21">
        <f t="shared" si="6"/>
        <v>118.85825120737103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1.1368683772161603E-13</v>
      </c>
      <c r="BE34" s="13">
        <f>BD34*VLOOKUP('Données projet'!$B$11,Paramètres!$A$1:$I$89,3,0)*VLOOKUP('Données projet'!$B$11,Paramètres!$A$1:$I$89,5,0)</f>
        <v>6.7984728957526396E-14</v>
      </c>
      <c r="BF34" s="13">
        <f t="shared" si="37"/>
        <v>1.0682447123141398E-12</v>
      </c>
      <c r="BG34" s="20">
        <f t="shared" si="7"/>
        <v>1.978932943548152E-12</v>
      </c>
      <c r="BH34" s="59">
        <f t="shared" si="8"/>
        <v>293.3333333333353</v>
      </c>
      <c r="BI34" s="59">
        <f ca="1">AVERAGE(OFFSET($BH$3,0,0,'Données projet'!$E$11+1,1))-AVERAGE(OFFSET($H$3,0,0,'Données projet'!$E$11+1,1))</f>
        <v>149.5086927376081</v>
      </c>
      <c r="BJ34" s="59">
        <f t="shared" si="38"/>
        <v>364.59164590134498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99.459246734481624</v>
      </c>
      <c r="BQ34" s="21">
        <f>EXP(-LN(2)/25)*BQ33+(1-EXP(-LN(2)/25))/(LN(2)/25)*Calculateur!BL34*Calculateur!BN34*VLOOKUP('Données projet'!$B$11,Paramètres!$A$1:$I$89,3,0)*0.475*44/12</f>
        <v>18.975212835972126</v>
      </c>
      <c r="BR34" s="21">
        <f>EXP(-LN(2)/2)*BR33+(1-EXP(-LN(2)/2))/(LN(2)/2)*BL34*BO34*VLOOKUP('Données projet'!$B$11,Paramètres!$A$1:$I$89,3,0)*0.475*44/12</f>
        <v>0.42379163691727673</v>
      </c>
      <c r="BS34" s="22">
        <f t="shared" si="9"/>
        <v>118.85825120737103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333.81570011831167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14.727272727272727</v>
      </c>
      <c r="N35" s="13">
        <f>IF('Données projet'!$A$36&gt;35,N34+M35-V34,IF(A35&lt;'Données projet'!$A$36,$K$205^A35,IF(A35='Données projet'!$A$36,'Données projet'!$B$36,N34+M35-V34)))</f>
        <v>295.54545454545456</v>
      </c>
      <c r="O35" s="13">
        <f>N35*VLOOKUP('Données projet'!$B$9,Paramètres!$A$1:$I$89,3,0)*VLOOKUP('Données projet'!$B$9,Paramètres!$A$1:$I$89,5,0)</f>
        <v>176.73618181818185</v>
      </c>
      <c r="P35" s="13">
        <f t="shared" si="33"/>
        <v>44.595275236724611</v>
      </c>
      <c r="Q35" s="20">
        <f t="shared" ref="Q35:Q66" si="53">(O35+P35)*0.475*44/12</f>
        <v>385.4856210372954</v>
      </c>
      <c r="R35" s="59">
        <f t="shared" si="0"/>
        <v>678.81895437062872</v>
      </c>
      <c r="S35" s="59">
        <f ca="1">AVERAGE(OFFSET($R$3,0,0,'Données projet'!$E$9+1,1))-AVERAGE(OFFSET($H$3,0,0,'Données projet'!$E$9+1,1))</f>
        <v>153.00981126776304</v>
      </c>
      <c r="T35" s="59">
        <f t="shared" si="34"/>
        <v>309.90400623462932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12.024812175998722</v>
      </c>
      <c r="AA35" s="21">
        <f>EXP(-LN(2)/25)*AA34+(1-EXP(-LN(2)/25))/(LN(2)/25)*Calculateur!V35*Calculateur!X35*VLOOKUP('Données projet'!$B$9,Paramètres!$A$1:$I$89,3,0)*0.475*44/12</f>
        <v>7.7050361138302996</v>
      </c>
      <c r="AB35" s="21">
        <f>EXP(-LN(2)/2)*AB34+(1-EXP(-LN(2)/2))/(LN(2)/2)*V35*Y35*VLOOKUP('Données projet'!$B$9,Paramètres!$A$1:$I$89,3,0)*0.475*44/12</f>
        <v>0.39027566923619933</v>
      </c>
      <c r="AC35" s="22">
        <f t="shared" si="3"/>
        <v>20.120123959065221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0</v>
      </c>
      <c r="AI35" s="13">
        <f>IF('Données projet'!$A$62&gt;35,AI34+AH35-AQ34,IF(A35&lt;'Données projet'!$A$62,$AF$205^A35,IF(A35='Données projet'!$A$62,'Données projet'!$B$62,AI34+AH35-AQ34)))</f>
        <v>1.1368683772161603E-13</v>
      </c>
      <c r="AJ35" s="13">
        <f>AI35*VLOOKUP('Données projet'!$B$10,Paramètres!$A$1:$I$89,3,0)*VLOOKUP('Données projet'!$B$10,Paramètres!$A$1:$I$89,5,0)</f>
        <v>6.7984728957526396E-14</v>
      </c>
      <c r="AK35" s="13">
        <f t="shared" si="35"/>
        <v>1.0682447123141398E-12</v>
      </c>
      <c r="AL35" s="20">
        <f t="shared" si="4"/>
        <v>1.978932943548152E-12</v>
      </c>
      <c r="AM35" s="59">
        <f t="shared" si="5"/>
        <v>293.3333333333353</v>
      </c>
      <c r="AN35" s="59">
        <f ca="1">AVERAGE(OFFSET($AM$3,0,0,'Données projet'!$E$10+1,1))-AVERAGE(OFFSET($H$3,0,0,'Données projet'!$E$10+1,1))</f>
        <v>149.5086927376081</v>
      </c>
      <c r="AO35" s="59">
        <f t="shared" si="36"/>
        <v>364.59164590134498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97.508911570168863</v>
      </c>
      <c r="AV35" s="21">
        <f>EXP(-LN(2)/25)*AV34+(1-EXP(-LN(2)/25))/(LN(2)/25)*Calculateur!AQ35*Calculateur!AS35*VLOOKUP('Données projet'!$B$10,Paramètres!$A$1:$I$89,3,0)*0.475*44/12</f>
        <v>18.456334643109393</v>
      </c>
      <c r="AW35" s="21">
        <f>EXP(-LN(2)/2)*AW34+(1-EXP(-LN(2)/2))/(LN(2)/2)*AQ35*AT35*VLOOKUP('Données projet'!$B$10,Paramètres!$A$1:$I$89,3,0)*0.475*44/12</f>
        <v>0.29966594027435361</v>
      </c>
      <c r="AX35" s="21">
        <f t="shared" si="6"/>
        <v>116.2649121535526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1.1368683772161603E-13</v>
      </c>
      <c r="BE35" s="13">
        <f>BD35*VLOOKUP('Données projet'!$B$11,Paramètres!$A$1:$I$89,3,0)*VLOOKUP('Données projet'!$B$11,Paramètres!$A$1:$I$89,5,0)</f>
        <v>6.7984728957526396E-14</v>
      </c>
      <c r="BF35" s="13">
        <f t="shared" si="37"/>
        <v>1.0682447123141398E-12</v>
      </c>
      <c r="BG35" s="20">
        <f t="shared" si="7"/>
        <v>1.978932943548152E-12</v>
      </c>
      <c r="BH35" s="59">
        <f t="shared" si="8"/>
        <v>293.3333333333353</v>
      </c>
      <c r="BI35" s="59">
        <f ca="1">AVERAGE(OFFSET($BH$3,0,0,'Données projet'!$E$11+1,1))-AVERAGE(OFFSET($H$3,0,0,'Données projet'!$E$11+1,1))</f>
        <v>149.5086927376081</v>
      </c>
      <c r="BJ35" s="59">
        <f t="shared" si="38"/>
        <v>364.59164590134498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97.508911570168863</v>
      </c>
      <c r="BQ35" s="21">
        <f>EXP(-LN(2)/25)*BQ34+(1-EXP(-LN(2)/25))/(LN(2)/25)*Calculateur!BL35*Calculateur!BN35*VLOOKUP('Données projet'!$B$11,Paramètres!$A$1:$I$89,3,0)*0.475*44/12</f>
        <v>18.456334643109393</v>
      </c>
      <c r="BR35" s="21">
        <f>EXP(-LN(2)/2)*BR34+(1-EXP(-LN(2)/2))/(LN(2)/2)*BL35*BO35*VLOOKUP('Données projet'!$B$11,Paramètres!$A$1:$I$89,3,0)*0.475*44/12</f>
        <v>0.29966594027435361</v>
      </c>
      <c r="BS35" s="22">
        <f t="shared" si="9"/>
        <v>116.2649121535526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335.04371101436357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14.727272727272727</v>
      </c>
      <c r="N36" s="13">
        <f>IF('Données projet'!$A$36&gt;35,N35+M36-V35,IF(A36&lt;'Données projet'!$A$36,$K$205^A36,IF(A36='Données projet'!$A$36,'Données projet'!$B$36,N35+M36-V35)))</f>
        <v>310.27272727272731</v>
      </c>
      <c r="O36" s="13">
        <f>N36*VLOOKUP('Données projet'!$B$9,Paramètres!$A$1:$I$89,3,0)*VLOOKUP('Données projet'!$B$9,Paramètres!$A$1:$I$89,5,0)</f>
        <v>185.54309090909095</v>
      </c>
      <c r="P36" s="13">
        <f t="shared" si="33"/>
        <v>46.553236406680583</v>
      </c>
      <c r="Q36" s="20">
        <f t="shared" si="53"/>
        <v>404.23443674163536</v>
      </c>
      <c r="R36" s="59">
        <f t="shared" si="0"/>
        <v>697.56777007496862</v>
      </c>
      <c r="S36" s="59">
        <f ca="1">AVERAGE(OFFSET($R$3,0,0,'Données projet'!$E$9+1,1))-AVERAGE(OFFSET($H$3,0,0,'Données projet'!$E$9+1,1))</f>
        <v>153.00981126776304</v>
      </c>
      <c r="T36" s="59">
        <f t="shared" si="34"/>
        <v>309.90400623462932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11.789012943638602</v>
      </c>
      <c r="AA36" s="21">
        <f>EXP(-LN(2)/25)*AA35+(1-EXP(-LN(2)/25))/(LN(2)/25)*Calculateur!V36*Calculateur!X36*VLOOKUP('Données projet'!$B$9,Paramètres!$A$1:$I$89,3,0)*0.475*44/12</f>
        <v>7.4943414961073707</v>
      </c>
      <c r="AB36" s="21">
        <f>EXP(-LN(2)/2)*AB35+(1-EXP(-LN(2)/2))/(LN(2)/2)*V36*Y36*VLOOKUP('Données projet'!$B$9,Paramètres!$A$1:$I$89,3,0)*0.475*44/12</f>
        <v>0.27596657224903459</v>
      </c>
      <c r="AC36" s="22">
        <f t="shared" si="3"/>
        <v>19.559321011995007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0</v>
      </c>
      <c r="AI36" s="13">
        <f>IF('Données projet'!$A$62&gt;35,AI35+AH36-AQ35,IF(A36&lt;'Données projet'!$A$62,$AF$205^A36,IF(A36='Données projet'!$A$62,'Données projet'!$B$62,AI35+AH36-AQ35)))</f>
        <v>1.1368683772161603E-13</v>
      </c>
      <c r="AJ36" s="13">
        <f>AI36*VLOOKUP('Données projet'!$B$10,Paramètres!$A$1:$I$89,3,0)*VLOOKUP('Données projet'!$B$10,Paramètres!$A$1:$I$89,5,0)</f>
        <v>6.7984728957526396E-14</v>
      </c>
      <c r="AK36" s="13">
        <f t="shared" si="35"/>
        <v>1.0682447123141398E-12</v>
      </c>
      <c r="AL36" s="20">
        <f t="shared" si="4"/>
        <v>1.978932943548152E-12</v>
      </c>
      <c r="AM36" s="59">
        <f t="shared" si="5"/>
        <v>293.3333333333353</v>
      </c>
      <c r="AN36" s="59">
        <f ca="1">AVERAGE(OFFSET($AM$3,0,0,'Données projet'!$E$10+1,1))-AVERAGE(OFFSET($H$3,0,0,'Données projet'!$E$10+1,1))</f>
        <v>149.5086927376081</v>
      </c>
      <c r="AO36" s="59">
        <f t="shared" si="36"/>
        <v>364.59164590134498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95.596821288841284</v>
      </c>
      <c r="AV36" s="21">
        <f>EXP(-LN(2)/25)*AV35+(1-EXP(-LN(2)/25))/(LN(2)/25)*Calculateur!AQ36*Calculateur!AS36*VLOOKUP('Données projet'!$B$10,Paramètres!$A$1:$I$89,3,0)*0.475*44/12</f>
        <v>17.95164520171711</v>
      </c>
      <c r="AW36" s="21">
        <f>EXP(-LN(2)/2)*AW35+(1-EXP(-LN(2)/2))/(LN(2)/2)*AQ36*AT36*VLOOKUP('Données projet'!$B$10,Paramètres!$A$1:$I$89,3,0)*0.475*44/12</f>
        <v>0.21189581845863839</v>
      </c>
      <c r="AX36" s="21">
        <f t="shared" si="6"/>
        <v>113.76036230901704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1.1368683772161603E-13</v>
      </c>
      <c r="BE36" s="13">
        <f>BD36*VLOOKUP('Données projet'!$B$11,Paramètres!$A$1:$I$89,3,0)*VLOOKUP('Données projet'!$B$11,Paramètres!$A$1:$I$89,5,0)</f>
        <v>6.7984728957526396E-14</v>
      </c>
      <c r="BF36" s="13">
        <f t="shared" si="37"/>
        <v>1.0682447123141398E-12</v>
      </c>
      <c r="BG36" s="20">
        <f t="shared" si="7"/>
        <v>1.978932943548152E-12</v>
      </c>
      <c r="BH36" s="59">
        <f t="shared" si="8"/>
        <v>293.3333333333353</v>
      </c>
      <c r="BI36" s="59">
        <f ca="1">AVERAGE(OFFSET($BH$3,0,0,'Données projet'!$E$11+1,1))-AVERAGE(OFFSET($H$3,0,0,'Données projet'!$E$11+1,1))</f>
        <v>149.5086927376081</v>
      </c>
      <c r="BJ36" s="59">
        <f t="shared" si="38"/>
        <v>364.59164590134498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95.596821288841284</v>
      </c>
      <c r="BQ36" s="21">
        <f>EXP(-LN(2)/25)*BQ35+(1-EXP(-LN(2)/25))/(LN(2)/25)*Calculateur!BL36*Calculateur!BN36*VLOOKUP('Données projet'!$B$11,Paramètres!$A$1:$I$89,3,0)*0.475*44/12</f>
        <v>17.95164520171711</v>
      </c>
      <c r="BR36" s="21">
        <f>EXP(-LN(2)/2)*BR35+(1-EXP(-LN(2)/2))/(LN(2)/2)*BL36*BO36*VLOOKUP('Données projet'!$B$11,Paramètres!$A$1:$I$89,3,0)*0.475*44/12</f>
        <v>0.21189581845863839</v>
      </c>
      <c r="BS36" s="22">
        <f t="shared" si="9"/>
        <v>113.76036230901704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336.27074620482119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>
        <f>VLOOKUP(A37,'Données projet'!$A$35:$I$55,2,0)</f>
        <v>325</v>
      </c>
      <c r="L37" s="12">
        <f>VLOOKUP(A37,'Données projet'!$A$35:$I$55,9,0)</f>
        <v>14.727272727272727</v>
      </c>
      <c r="M37" s="12">
        <f t="array" ref="M37">INDEX(L:L,MIN(IF(ISNUMBER(L37:L233),ROW(L37:L233),"")))</f>
        <v>14.727272727272727</v>
      </c>
      <c r="N37" s="13">
        <f>IF('Données projet'!$A$36&gt;35,N36+M37-V36,IF(A37&lt;'Données projet'!$A$36,$K$205^A37,IF(A37='Données projet'!$A$36,'Données projet'!$B$36,N36+M37-V36)))</f>
        <v>325.00000000000006</v>
      </c>
      <c r="O37" s="13">
        <f>N37*VLOOKUP('Données projet'!$B$9,Paramètres!$A$1:$I$89,3,0)*VLOOKUP('Données projet'!$B$9,Paramètres!$A$1:$I$89,5,0)</f>
        <v>194.35000000000005</v>
      </c>
      <c r="P37" s="13">
        <f t="shared" si="33"/>
        <v>48.500405405690472</v>
      </c>
      <c r="Q37" s="20">
        <f t="shared" si="53"/>
        <v>422.96445608157768</v>
      </c>
      <c r="R37" s="59">
        <f t="shared" si="0"/>
        <v>716.29778941491099</v>
      </c>
      <c r="S37" s="59">
        <f ca="1">AVERAGE(OFFSET($R$3,0,0,'Données projet'!$E$9+1,1))-AVERAGE(OFFSET($H$3,0,0,'Données projet'!$E$9+1,1))</f>
        <v>153.00981126776304</v>
      </c>
      <c r="T37" s="59">
        <f t="shared" si="34"/>
        <v>309.90400623462932</v>
      </c>
      <c r="U37" s="15">
        <f>IF(ISNA(VLOOKUP(A37,'Données projet'!$A$35:$I$55,3,0)),0,VLOOKUP(A37,'Données projet'!$A$35:$I$55,3,0))</f>
        <v>4</v>
      </c>
      <c r="V37" s="15">
        <f>IF(ISNA(VLOOKUP(A37,'Données projet'!$A$35:$I$55,4,0)),0,VLOOKUP(A37,'Données projet'!$A$35:$I$55,4,0))</f>
        <v>325</v>
      </c>
      <c r="W37" s="16">
        <f>IF(ISNA(VLOOKUP(A37,'Données projet'!$A$35:$I$55,5,0)),0%,VLOOKUP(A37,'Données projet'!$A$35:$I$55,5,0)*VLOOKUP('Données projet'!$B$9,Paramètres!$A$1:$I$89,7,0))</f>
        <v>0.36000000000000004</v>
      </c>
      <c r="X37" s="16">
        <f>IF(ISNA(VLOOKUP(A37,'Données projet'!$A$35:$I$55,6,0)),0%,VLOOKUP(A37,'Données projet'!$A$35:$I$55,6,0)*VLOOKUP('Données projet'!$B$9,Paramètres!$A$1:$I$89,7,0))</f>
        <v>4.5000000000000005E-2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104.37224627968463</v>
      </c>
      <c r="AA37" s="21">
        <f>EXP(-LN(2)/25)*AA36+(1-EXP(-LN(2)/25))/(LN(2)/25)*Calculateur!V37*Calculateur!X37*VLOOKUP('Données projet'!$B$9,Paramètres!$A$1:$I$89,3,0)*0.475*44/12</f>
        <v>18.845528708437385</v>
      </c>
      <c r="AB37" s="21">
        <f>EXP(-LN(2)/2)*AB36+(1-EXP(-LN(2)/2))/(LN(2)/2)*V37*Y37*VLOOKUP('Données projet'!$B$9,Paramètres!$A$1:$I$89,3,0)*0.475*44/12</f>
        <v>0.19513783461809966</v>
      </c>
      <c r="AC37" s="22">
        <f t="shared" si="3"/>
        <v>123.41291282274011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0</v>
      </c>
      <c r="AI37" s="13">
        <f>IF('Données projet'!$A$62&gt;35,AI36+AH37-AQ36,IF(A37&lt;'Données projet'!$A$62,$AF$205^A37,IF(A37='Données projet'!$A$62,'Données projet'!$B$62,AI36+AH37-AQ36)))</f>
        <v>1.1368683772161603E-13</v>
      </c>
      <c r="AJ37" s="13">
        <f>AI37*VLOOKUP('Données projet'!$B$10,Paramètres!$A$1:$I$89,3,0)*VLOOKUP('Données projet'!$B$10,Paramètres!$A$1:$I$89,5,0)</f>
        <v>6.7984728957526396E-14</v>
      </c>
      <c r="AK37" s="13">
        <f t="shared" si="35"/>
        <v>1.0682447123141398E-12</v>
      </c>
      <c r="AL37" s="20">
        <f t="shared" si="4"/>
        <v>1.978932943548152E-12</v>
      </c>
      <c r="AM37" s="59">
        <f t="shared" si="5"/>
        <v>293.3333333333353</v>
      </c>
      <c r="AN37" s="59">
        <f ca="1">AVERAGE(OFFSET($AM$3,0,0,'Données projet'!$E$10+1,1))-AVERAGE(OFFSET($H$3,0,0,'Données projet'!$E$10+1,1))</f>
        <v>149.5086927376081</v>
      </c>
      <c r="AO37" s="59">
        <f t="shared" si="36"/>
        <v>364.59164590134498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93.722225931670621</v>
      </c>
      <c r="AV37" s="21">
        <f>EXP(-LN(2)/25)*AV36+(1-EXP(-LN(2)/25))/(LN(2)/25)*Calculateur!AQ37*Calculateur!AS37*VLOOKUP('Données projet'!$B$10,Paramètres!$A$1:$I$89,3,0)*0.475*44/12</f>
        <v>17.460756519640164</v>
      </c>
      <c r="AW37" s="21">
        <f>EXP(-LN(2)/2)*AW36+(1-EXP(-LN(2)/2))/(LN(2)/2)*AQ37*AT37*VLOOKUP('Données projet'!$B$10,Paramètres!$A$1:$I$89,3,0)*0.475*44/12</f>
        <v>0.14983297013717684</v>
      </c>
      <c r="AX37" s="21">
        <f t="shared" si="6"/>
        <v>111.33281542144796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1.1368683772161603E-13</v>
      </c>
      <c r="BE37" s="13">
        <f>BD37*VLOOKUP('Données projet'!$B$11,Paramètres!$A$1:$I$89,3,0)*VLOOKUP('Données projet'!$B$11,Paramètres!$A$1:$I$89,5,0)</f>
        <v>6.7984728957526396E-14</v>
      </c>
      <c r="BF37" s="13">
        <f t="shared" si="37"/>
        <v>1.0682447123141398E-12</v>
      </c>
      <c r="BG37" s="20">
        <f t="shared" si="7"/>
        <v>1.978932943548152E-12</v>
      </c>
      <c r="BH37" s="59">
        <f t="shared" si="8"/>
        <v>293.3333333333353</v>
      </c>
      <c r="BI37" s="59">
        <f ca="1">AVERAGE(OFFSET($BH$3,0,0,'Données projet'!$E$11+1,1))-AVERAGE(OFFSET($H$3,0,0,'Données projet'!$E$11+1,1))</f>
        <v>149.5086927376081</v>
      </c>
      <c r="BJ37" s="59">
        <f t="shared" si="38"/>
        <v>364.59164590134498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93.722225931670621</v>
      </c>
      <c r="BQ37" s="21">
        <f>EXP(-LN(2)/25)*BQ36+(1-EXP(-LN(2)/25))/(LN(2)/25)*Calculateur!BL37*Calculateur!BN37*VLOOKUP('Données projet'!$B$11,Paramètres!$A$1:$I$89,3,0)*0.475*44/12</f>
        <v>17.460756519640164</v>
      </c>
      <c r="BR37" s="21">
        <f>EXP(-LN(2)/2)*BR36+(1-EXP(-LN(2)/2))/(LN(2)/2)*BL37*BO37*VLOOKUP('Données projet'!$B$11,Paramètres!$A$1:$I$89,3,0)*0.475*44/12</f>
        <v>0.14983297013717684</v>
      </c>
      <c r="BS37" s="22">
        <f t="shared" si="9"/>
        <v>111.33281542144796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337.49683768183723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5.6843418860808015E-14</v>
      </c>
      <c r="O38" s="13">
        <f>N38*VLOOKUP('Données projet'!$B$9,Paramètres!$A$1:$I$89,3,0)*VLOOKUP('Données projet'!$B$9,Paramètres!$A$1:$I$89,5,0)</f>
        <v>3.3992364478763198E-14</v>
      </c>
      <c r="P38" s="13">
        <f t="shared" si="33"/>
        <v>5.790027782444094E-13</v>
      </c>
      <c r="Q38" s="20">
        <f t="shared" si="53"/>
        <v>1.0676332069095257E-12</v>
      </c>
      <c r="R38" s="59">
        <f t="shared" si="0"/>
        <v>293.33333333333439</v>
      </c>
      <c r="S38" s="59">
        <f ca="1">AVERAGE(OFFSET($R$3,0,0,'Données projet'!$E$9+1,1))-AVERAGE(OFFSET($H$3,0,0,'Données projet'!$E$9+1,1))</f>
        <v>153.00981126776304</v>
      </c>
      <c r="T38" s="59">
        <f t="shared" si="34"/>
        <v>309.90400623462932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102.32557019092427</v>
      </c>
      <c r="AA38" s="21">
        <f>EXP(-LN(2)/25)*AA37+(1-EXP(-LN(2)/25))/(LN(2)/25)*Calculateur!V38*Calculateur!X38*VLOOKUP('Données projet'!$B$9,Paramètres!$A$1:$I$89,3,0)*0.475*44/12</f>
        <v>18.330196734861882</v>
      </c>
      <c r="AB38" s="21">
        <f>EXP(-LN(2)/2)*AB37+(1-EXP(-LN(2)/2))/(LN(2)/2)*V38*Y38*VLOOKUP('Données projet'!$B$9,Paramètres!$A$1:$I$89,3,0)*0.475*44/12</f>
        <v>0.1379832861245173</v>
      </c>
      <c r="AC38" s="22">
        <f t="shared" si="3"/>
        <v>120.79375021191068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0</v>
      </c>
      <c r="AI38" s="13">
        <f>IF('Données projet'!$A$62&gt;35,AI37+AH38-AQ37,IF(A38&lt;'Données projet'!$A$62,$AF$205^A38,IF(A38='Données projet'!$A$62,'Données projet'!$B$62,AI37+AH38-AQ37)))</f>
        <v>1.1368683772161603E-13</v>
      </c>
      <c r="AJ38" s="13">
        <f>AI38*VLOOKUP('Données projet'!$B$10,Paramètres!$A$1:$I$89,3,0)*VLOOKUP('Données projet'!$B$10,Paramètres!$A$1:$I$89,5,0)</f>
        <v>6.7984728957526396E-14</v>
      </c>
      <c r="AK38" s="13">
        <f t="shared" si="35"/>
        <v>1.0682447123141398E-12</v>
      </c>
      <c r="AL38" s="20">
        <f t="shared" si="4"/>
        <v>1.978932943548152E-12</v>
      </c>
      <c r="AM38" s="59">
        <f t="shared" si="5"/>
        <v>293.3333333333353</v>
      </c>
      <c r="AN38" s="59">
        <f ca="1">AVERAGE(OFFSET($AM$3,0,0,'Données projet'!$E$10+1,1))-AVERAGE(OFFSET($H$3,0,0,'Données projet'!$E$10+1,1))</f>
        <v>149.5086927376081</v>
      </c>
      <c r="AO38" s="59">
        <f t="shared" si="36"/>
        <v>364.59164590134498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91.884390246063816</v>
      </c>
      <c r="AV38" s="21">
        <f>EXP(-LN(2)/25)*AV37+(1-EXP(-LN(2)/25))/(LN(2)/25)*Calculateur!AQ38*Calculateur!AS38*VLOOKUP('Données projet'!$B$10,Paramètres!$A$1:$I$89,3,0)*0.475*44/12</f>
        <v>16.983291214389325</v>
      </c>
      <c r="AW38" s="21">
        <f>EXP(-LN(2)/2)*AW37+(1-EXP(-LN(2)/2))/(LN(2)/2)*AQ38*AT38*VLOOKUP('Données projet'!$B$10,Paramètres!$A$1:$I$89,3,0)*0.475*44/12</f>
        <v>0.10594790922931922</v>
      </c>
      <c r="AX38" s="21">
        <f t="shared" si="6"/>
        <v>108.97362936968246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1.1368683772161603E-13</v>
      </c>
      <c r="BE38" s="13">
        <f>BD38*VLOOKUP('Données projet'!$B$11,Paramètres!$A$1:$I$89,3,0)*VLOOKUP('Données projet'!$B$11,Paramètres!$A$1:$I$89,5,0)</f>
        <v>6.7984728957526396E-14</v>
      </c>
      <c r="BF38" s="13">
        <f t="shared" si="37"/>
        <v>1.0682447123141398E-12</v>
      </c>
      <c r="BG38" s="20">
        <f t="shared" si="7"/>
        <v>1.978932943548152E-12</v>
      </c>
      <c r="BH38" s="59">
        <f t="shared" si="8"/>
        <v>293.3333333333353</v>
      </c>
      <c r="BI38" s="59">
        <f ca="1">AVERAGE(OFFSET($BH$3,0,0,'Données projet'!$E$11+1,1))-AVERAGE(OFFSET($H$3,0,0,'Données projet'!$E$11+1,1))</f>
        <v>149.5086927376081</v>
      </c>
      <c r="BJ38" s="59">
        <f t="shared" si="38"/>
        <v>364.59164590134498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91.884390246063816</v>
      </c>
      <c r="BQ38" s="21">
        <f>EXP(-LN(2)/25)*BQ37+(1-EXP(-LN(2)/25))/(LN(2)/25)*Calculateur!BL38*Calculateur!BN38*VLOOKUP('Données projet'!$B$11,Paramètres!$A$1:$I$89,3,0)*0.475*44/12</f>
        <v>16.983291214389325</v>
      </c>
      <c r="BR38" s="21">
        <f>EXP(-LN(2)/2)*BR37+(1-EXP(-LN(2)/2))/(LN(2)/2)*BL38*BO38*VLOOKUP('Données projet'!$B$11,Paramètres!$A$1:$I$89,3,0)*0.475*44/12</f>
        <v>0.10594790922931922</v>
      </c>
      <c r="BS38" s="22">
        <f t="shared" si="9"/>
        <v>108.97362936968246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338.72201550546265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5.6843418860808015E-14</v>
      </c>
      <c r="O39" s="13">
        <f>N39*VLOOKUP('Données projet'!$B$9,Paramètres!$A$1:$I$89,3,0)*VLOOKUP('Données projet'!$B$9,Paramètres!$A$1:$I$89,5,0)</f>
        <v>3.3992364478763198E-14</v>
      </c>
      <c r="P39" s="13">
        <f t="shared" si="33"/>
        <v>5.790027782444094E-13</v>
      </c>
      <c r="Q39" s="20">
        <f t="shared" si="53"/>
        <v>1.0676332069095257E-12</v>
      </c>
      <c r="R39" s="59">
        <f t="shared" si="0"/>
        <v>293.33333333333439</v>
      </c>
      <c r="S39" s="59">
        <f ca="1">AVERAGE(OFFSET($R$3,0,0,'Données projet'!$E$9+1,1))-AVERAGE(OFFSET($H$3,0,0,'Données projet'!$E$9+1,1))</f>
        <v>153.00981126776304</v>
      </c>
      <c r="T39" s="59">
        <f t="shared" si="34"/>
        <v>309.90400623462932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100.31902817191535</v>
      </c>
      <c r="AA39" s="21">
        <f>EXP(-LN(2)/25)*AA38+(1-EXP(-LN(2)/25))/(LN(2)/25)*Calculateur!V39*Calculateur!X39*VLOOKUP('Données projet'!$B$9,Paramètres!$A$1:$I$89,3,0)*0.475*44/12</f>
        <v>17.828956541203933</v>
      </c>
      <c r="AB39" s="21">
        <f>EXP(-LN(2)/2)*AB38+(1-EXP(-LN(2)/2))/(LN(2)/2)*V39*Y39*VLOOKUP('Données projet'!$B$9,Paramètres!$A$1:$I$89,3,0)*0.475*44/12</f>
        <v>9.7568917309049832E-2</v>
      </c>
      <c r="AC39" s="22">
        <f t="shared" si="3"/>
        <v>118.24555363042833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0</v>
      </c>
      <c r="AI39" s="13">
        <f>IF('Données projet'!$A$62&gt;35,AI38+AH39-AQ38,IF(A39&lt;'Données projet'!$A$62,$AF$205^A39,IF(A39='Données projet'!$A$62,'Données projet'!$B$62,AI38+AH39-AQ38)))</f>
        <v>1.1368683772161603E-13</v>
      </c>
      <c r="AJ39" s="13">
        <f>AI39*VLOOKUP('Données projet'!$B$10,Paramètres!$A$1:$I$89,3,0)*VLOOKUP('Données projet'!$B$10,Paramètres!$A$1:$I$89,5,0)</f>
        <v>6.7984728957526396E-14</v>
      </c>
      <c r="AK39" s="13">
        <f t="shared" si="35"/>
        <v>1.0682447123141398E-12</v>
      </c>
      <c r="AL39" s="20">
        <f t="shared" si="4"/>
        <v>1.978932943548152E-12</v>
      </c>
      <c r="AM39" s="59">
        <f t="shared" si="5"/>
        <v>293.3333333333353</v>
      </c>
      <c r="AN39" s="59">
        <f ca="1">AVERAGE(OFFSET($AM$3,0,0,'Données projet'!$E$10+1,1))-AVERAGE(OFFSET($H$3,0,0,'Données projet'!$E$10+1,1))</f>
        <v>149.5086927376081</v>
      </c>
      <c r="AO39" s="59">
        <f t="shared" si="36"/>
        <v>364.59164590134498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90.082593397282679</v>
      </c>
      <c r="AV39" s="21">
        <f>EXP(-LN(2)/25)*AV38+(1-EXP(-LN(2)/25))/(LN(2)/25)*Calculateur!AQ39*Calculateur!AS39*VLOOKUP('Données projet'!$B$10,Paramètres!$A$1:$I$89,3,0)*0.475*44/12</f>
        <v>16.518882223019379</v>
      </c>
      <c r="AW39" s="21">
        <f>EXP(-LN(2)/2)*AW38+(1-EXP(-LN(2)/2))/(LN(2)/2)*AQ39*AT39*VLOOKUP('Données projet'!$B$10,Paramètres!$A$1:$I$89,3,0)*0.475*44/12</f>
        <v>7.4916485068588431E-2</v>
      </c>
      <c r="AX39" s="21">
        <f t="shared" si="6"/>
        <v>106.67639210537064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1.1368683772161603E-13</v>
      </c>
      <c r="BE39" s="13">
        <f>BD39*VLOOKUP('Données projet'!$B$11,Paramètres!$A$1:$I$89,3,0)*VLOOKUP('Données projet'!$B$11,Paramètres!$A$1:$I$89,5,0)</f>
        <v>6.7984728957526396E-14</v>
      </c>
      <c r="BF39" s="13">
        <f t="shared" si="37"/>
        <v>1.0682447123141398E-12</v>
      </c>
      <c r="BG39" s="20">
        <f t="shared" si="7"/>
        <v>1.978932943548152E-12</v>
      </c>
      <c r="BH39" s="59">
        <f t="shared" si="8"/>
        <v>293.3333333333353</v>
      </c>
      <c r="BI39" s="59">
        <f ca="1">AVERAGE(OFFSET($BH$3,0,0,'Données projet'!$E$11+1,1))-AVERAGE(OFFSET($H$3,0,0,'Données projet'!$E$11+1,1))</f>
        <v>149.5086927376081</v>
      </c>
      <c r="BJ39" s="59">
        <f t="shared" si="38"/>
        <v>364.59164590134498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90.082593397282679</v>
      </c>
      <c r="BQ39" s="21">
        <f>EXP(-LN(2)/25)*BQ38+(1-EXP(-LN(2)/25))/(LN(2)/25)*Calculateur!BL39*Calculateur!BN39*VLOOKUP('Données projet'!$B$11,Paramètres!$A$1:$I$89,3,0)*0.475*44/12</f>
        <v>16.518882223019379</v>
      </c>
      <c r="BR39" s="21">
        <f>EXP(-LN(2)/2)*BR38+(1-EXP(-LN(2)/2))/(LN(2)/2)*BL39*BO39*VLOOKUP('Données projet'!$B$11,Paramètres!$A$1:$I$89,3,0)*0.475*44/12</f>
        <v>7.4916485068588431E-2</v>
      </c>
      <c r="BS39" s="22">
        <f t="shared" si="9"/>
        <v>106.67639210537064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339.94630797071892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5.6843418860808015E-14</v>
      </c>
      <c r="O40" s="13">
        <f>N40*VLOOKUP('Données projet'!$B$9,Paramètres!$A$1:$I$89,3,0)*VLOOKUP('Données projet'!$B$9,Paramètres!$A$1:$I$89,5,0)</f>
        <v>3.3992364478763198E-14</v>
      </c>
      <c r="P40" s="13">
        <f t="shared" si="33"/>
        <v>5.790027782444094E-13</v>
      </c>
      <c r="Q40" s="20">
        <f t="shared" si="53"/>
        <v>1.0676332069095257E-12</v>
      </c>
      <c r="R40" s="59">
        <f t="shared" si="0"/>
        <v>293.33333333333439</v>
      </c>
      <c r="S40" s="59">
        <f ca="1">AVERAGE(OFFSET($R$3,0,0,'Données projet'!$E$9+1,1))-AVERAGE(OFFSET($H$3,0,0,'Données projet'!$E$9+1,1))</f>
        <v>153.00981126776304</v>
      </c>
      <c r="T40" s="59">
        <f t="shared" si="34"/>
        <v>309.90400623462932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98.351833218029398</v>
      </c>
      <c r="AA40" s="21">
        <f>EXP(-LN(2)/25)*AA39+(1-EXP(-LN(2)/25))/(LN(2)/25)*Calculateur!V40*Calculateur!X40*VLOOKUP('Données projet'!$B$9,Paramètres!$A$1:$I$89,3,0)*0.475*44/12</f>
        <v>17.341422787000635</v>
      </c>
      <c r="AB40" s="21">
        <f>EXP(-LN(2)/2)*AB39+(1-EXP(-LN(2)/2))/(LN(2)/2)*V40*Y40*VLOOKUP('Données projet'!$B$9,Paramètres!$A$1:$I$89,3,0)*0.475*44/12</f>
        <v>6.8991643062258648E-2</v>
      </c>
      <c r="AC40" s="22">
        <f t="shared" si="3"/>
        <v>115.7622476480923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0</v>
      </c>
      <c r="AI40" s="13">
        <f>IF('Données projet'!$A$62&gt;35,AI39+AH40-AQ39,IF(A40&lt;'Données projet'!$A$62,$AF$205^A40,IF(A40='Données projet'!$A$62,'Données projet'!$B$62,AI39+AH40-AQ39)))</f>
        <v>1.1368683772161603E-13</v>
      </c>
      <c r="AJ40" s="13">
        <f>AI40*VLOOKUP('Données projet'!$B$10,Paramètres!$A$1:$I$89,3,0)*VLOOKUP('Données projet'!$B$10,Paramètres!$A$1:$I$89,5,0)</f>
        <v>6.7984728957526396E-14</v>
      </c>
      <c r="AK40" s="13">
        <f t="shared" si="35"/>
        <v>1.0682447123141398E-12</v>
      </c>
      <c r="AL40" s="20">
        <f t="shared" si="4"/>
        <v>1.978932943548152E-12</v>
      </c>
      <c r="AM40" s="59">
        <f t="shared" si="5"/>
        <v>293.3333333333353</v>
      </c>
      <c r="AN40" s="59">
        <f ca="1">AVERAGE(OFFSET($AM$3,0,0,'Données projet'!$E$10+1,1))-AVERAGE(OFFSET($H$3,0,0,'Données projet'!$E$10+1,1))</f>
        <v>149.5086927376081</v>
      </c>
      <c r="AO40" s="59">
        <f t="shared" si="36"/>
        <v>364.59164590134498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88.316128685718567</v>
      </c>
      <c r="AV40" s="21">
        <f>EXP(-LN(2)/25)*AV39+(1-EXP(-LN(2)/25))/(LN(2)/25)*Calculateur!AQ40*Calculateur!AS40*VLOOKUP('Données projet'!$B$10,Paramètres!$A$1:$I$89,3,0)*0.475*44/12</f>
        <v>16.067172519940652</v>
      </c>
      <c r="AW40" s="21">
        <f>EXP(-LN(2)/2)*AW39+(1-EXP(-LN(2)/2))/(LN(2)/2)*AQ40*AT40*VLOOKUP('Données projet'!$B$10,Paramètres!$A$1:$I$89,3,0)*0.475*44/12</f>
        <v>5.2973954614659619E-2</v>
      </c>
      <c r="AX40" s="21">
        <f t="shared" si="6"/>
        <v>104.43627516027388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1.1368683772161603E-13</v>
      </c>
      <c r="BE40" s="13">
        <f>BD40*VLOOKUP('Données projet'!$B$11,Paramètres!$A$1:$I$89,3,0)*VLOOKUP('Données projet'!$B$11,Paramètres!$A$1:$I$89,5,0)</f>
        <v>6.7984728957526396E-14</v>
      </c>
      <c r="BF40" s="13">
        <f t="shared" si="37"/>
        <v>1.0682447123141398E-12</v>
      </c>
      <c r="BG40" s="20">
        <f t="shared" si="7"/>
        <v>1.978932943548152E-12</v>
      </c>
      <c r="BH40" s="59">
        <f t="shared" si="8"/>
        <v>293.3333333333353</v>
      </c>
      <c r="BI40" s="59">
        <f ca="1">AVERAGE(OFFSET($BH$3,0,0,'Données projet'!$E$11+1,1))-AVERAGE(OFFSET($H$3,0,0,'Données projet'!$E$11+1,1))</f>
        <v>149.5086927376081</v>
      </c>
      <c r="BJ40" s="59">
        <f t="shared" si="38"/>
        <v>364.59164590134498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88.316128685718567</v>
      </c>
      <c r="BQ40" s="21">
        <f>EXP(-LN(2)/25)*BQ39+(1-EXP(-LN(2)/25))/(LN(2)/25)*Calculateur!BL40*Calculateur!BN40*VLOOKUP('Données projet'!$B$11,Paramètres!$A$1:$I$89,3,0)*0.475*44/12</f>
        <v>16.067172519940652</v>
      </c>
      <c r="BR40" s="21">
        <f>EXP(-LN(2)/2)*BR39+(1-EXP(-LN(2)/2))/(LN(2)/2)*BL40*BO40*VLOOKUP('Données projet'!$B$11,Paramètres!$A$1:$I$89,3,0)*0.475*44/12</f>
        <v>5.2973954614659619E-2</v>
      </c>
      <c r="BS40" s="22">
        <f t="shared" si="9"/>
        <v>104.43627516027388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341.16974175610096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5.6843418860808015E-14</v>
      </c>
      <c r="O41" s="13">
        <f>N41*VLOOKUP('Données projet'!$B$9,Paramètres!$A$1:$I$89,3,0)*VLOOKUP('Données projet'!$B$9,Paramètres!$A$1:$I$89,5,0)</f>
        <v>3.3992364478763198E-14</v>
      </c>
      <c r="P41" s="13">
        <f t="shared" si="33"/>
        <v>5.790027782444094E-13</v>
      </c>
      <c r="Q41" s="20">
        <f t="shared" si="53"/>
        <v>1.0676332069095257E-12</v>
      </c>
      <c r="R41" s="59">
        <f t="shared" si="0"/>
        <v>293.33333333333439</v>
      </c>
      <c r="S41" s="59">
        <f ca="1">AVERAGE(OFFSET($R$3,0,0,'Données projet'!$E$9+1,1))-AVERAGE(OFFSET($H$3,0,0,'Données projet'!$E$9+1,1))</f>
        <v>153.00981126776304</v>
      </c>
      <c r="T41" s="59">
        <f t="shared" si="34"/>
        <v>309.90400623462932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96.423213757318706</v>
      </c>
      <c r="AA41" s="21">
        <f>EXP(-LN(2)/25)*AA40+(1-EXP(-LN(2)/25))/(LN(2)/25)*Calculateur!V41*Calculateur!X41*VLOOKUP('Données projet'!$B$9,Paramètres!$A$1:$I$89,3,0)*0.475*44/12</f>
        <v>16.867220668944313</v>
      </c>
      <c r="AB41" s="21">
        <f>EXP(-LN(2)/2)*AB40+(1-EXP(-LN(2)/2))/(LN(2)/2)*V41*Y41*VLOOKUP('Données projet'!$B$9,Paramètres!$A$1:$I$89,3,0)*0.475*44/12</f>
        <v>4.8784458654524916E-2</v>
      </c>
      <c r="AC41" s="22">
        <f t="shared" si="3"/>
        <v>113.33921888491754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0</v>
      </c>
      <c r="AI41" s="13">
        <f>IF('Données projet'!$A$62&gt;35,AI40+AH41-AQ40,IF(A41&lt;'Données projet'!$A$62,$AF$205^A41,IF(A41='Données projet'!$A$62,'Données projet'!$B$62,AI40+AH41-AQ40)))</f>
        <v>1.1368683772161603E-13</v>
      </c>
      <c r="AJ41" s="13">
        <f>AI41*VLOOKUP('Données projet'!$B$10,Paramètres!$A$1:$I$89,3,0)*VLOOKUP('Données projet'!$B$10,Paramètres!$A$1:$I$89,5,0)</f>
        <v>6.7984728957526396E-14</v>
      </c>
      <c r="AK41" s="13">
        <f t="shared" si="35"/>
        <v>1.0682447123141398E-12</v>
      </c>
      <c r="AL41" s="20">
        <f t="shared" si="4"/>
        <v>1.978932943548152E-12</v>
      </c>
      <c r="AM41" s="59">
        <f t="shared" si="5"/>
        <v>293.3333333333353</v>
      </c>
      <c r="AN41" s="59">
        <f ca="1">AVERAGE(OFFSET($AM$3,0,0,'Données projet'!$E$10+1,1))-AVERAGE(OFFSET($H$3,0,0,'Données projet'!$E$10+1,1))</f>
        <v>149.5086927376081</v>
      </c>
      <c r="AO41" s="59">
        <f t="shared" si="36"/>
        <v>364.59164590134498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86.584303269711143</v>
      </c>
      <c r="AV41" s="21">
        <f>EXP(-LN(2)/25)*AV40+(1-EXP(-LN(2)/25))/(LN(2)/25)*Calculateur!AQ41*Calculateur!AS41*VLOOKUP('Données projet'!$B$10,Paramètres!$A$1:$I$89,3,0)*0.475*44/12</f>
        <v>15.627814842446993</v>
      </c>
      <c r="AW41" s="21">
        <f>EXP(-LN(2)/2)*AW40+(1-EXP(-LN(2)/2))/(LN(2)/2)*AQ41*AT41*VLOOKUP('Données projet'!$B$10,Paramètres!$A$1:$I$89,3,0)*0.475*44/12</f>
        <v>3.7458242534294223E-2</v>
      </c>
      <c r="AX41" s="21">
        <f t="shared" si="6"/>
        <v>102.24957635469244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1.1368683772161603E-13</v>
      </c>
      <c r="BE41" s="13">
        <f>BD41*VLOOKUP('Données projet'!$B$11,Paramètres!$A$1:$I$89,3,0)*VLOOKUP('Données projet'!$B$11,Paramètres!$A$1:$I$89,5,0)</f>
        <v>6.7984728957526396E-14</v>
      </c>
      <c r="BF41" s="13">
        <f t="shared" si="37"/>
        <v>1.0682447123141398E-12</v>
      </c>
      <c r="BG41" s="20">
        <f t="shared" si="7"/>
        <v>1.978932943548152E-12</v>
      </c>
      <c r="BH41" s="59">
        <f t="shared" si="8"/>
        <v>293.3333333333353</v>
      </c>
      <c r="BI41" s="59">
        <f ca="1">AVERAGE(OFFSET($BH$3,0,0,'Données projet'!$E$11+1,1))-AVERAGE(OFFSET($H$3,0,0,'Données projet'!$E$11+1,1))</f>
        <v>149.5086927376081</v>
      </c>
      <c r="BJ41" s="59">
        <f t="shared" si="38"/>
        <v>364.59164590134498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86.584303269711143</v>
      </c>
      <c r="BQ41" s="21">
        <f>EXP(-LN(2)/25)*BQ40+(1-EXP(-LN(2)/25))/(LN(2)/25)*Calculateur!BL41*Calculateur!BN41*VLOOKUP('Données projet'!$B$11,Paramètres!$A$1:$I$89,3,0)*0.475*44/12</f>
        <v>15.627814842446993</v>
      </c>
      <c r="BR41" s="21">
        <f>EXP(-LN(2)/2)*BR40+(1-EXP(-LN(2)/2))/(LN(2)/2)*BL41*BO41*VLOOKUP('Données projet'!$B$11,Paramètres!$A$1:$I$89,3,0)*0.475*44/12</f>
        <v>3.7458242534294223E-2</v>
      </c>
      <c r="BS41" s="22">
        <f t="shared" si="9"/>
        <v>102.24957635469244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342.3923420560082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5.6843418860808015E-14</v>
      </c>
      <c r="O42" s="13">
        <f>N42*VLOOKUP('Données projet'!$B$9,Paramètres!$A$1:$I$89,3,0)*VLOOKUP('Données projet'!$B$9,Paramètres!$A$1:$I$89,5,0)</f>
        <v>3.3992364478763198E-14</v>
      </c>
      <c r="P42" s="13">
        <f t="shared" si="33"/>
        <v>5.790027782444094E-13</v>
      </c>
      <c r="Q42" s="20">
        <f t="shared" si="53"/>
        <v>1.0676332069095257E-12</v>
      </c>
      <c r="R42" s="59">
        <f t="shared" si="0"/>
        <v>293.33333333333439</v>
      </c>
      <c r="S42" s="59">
        <f ca="1">AVERAGE(OFFSET($R$3,0,0,'Données projet'!$E$9+1,1))-AVERAGE(OFFSET($H$3,0,0,'Données projet'!$E$9+1,1))</f>
        <v>153.00981126776304</v>
      </c>
      <c r="T42" s="59">
        <f t="shared" si="34"/>
        <v>309.90400623462932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94.532413347890838</v>
      </c>
      <c r="AA42" s="21">
        <f>EXP(-LN(2)/25)*AA41+(1-EXP(-LN(2)/25))/(LN(2)/25)*Calculateur!V42*Calculateur!X42*VLOOKUP('Données projet'!$B$9,Paramètres!$A$1:$I$89,3,0)*0.475*44/12</f>
        <v>16.405985632743445</v>
      </c>
      <c r="AB42" s="21">
        <f>EXP(-LN(2)/2)*AB41+(1-EXP(-LN(2)/2))/(LN(2)/2)*V42*Y42*VLOOKUP('Données projet'!$B$9,Paramètres!$A$1:$I$89,3,0)*0.475*44/12</f>
        <v>3.4495821531129324E-2</v>
      </c>
      <c r="AC42" s="22">
        <f t="shared" si="3"/>
        <v>110.9728948021654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0</v>
      </c>
      <c r="AI42" s="13">
        <f>IF('Données projet'!$A$62&gt;35,AI41+AH42-AQ41,IF(A42&lt;'Données projet'!$A$62,$AF$205^A42,IF(A42='Données projet'!$A$62,'Données projet'!$B$62,AI41+AH42-AQ41)))</f>
        <v>1.1368683772161603E-13</v>
      </c>
      <c r="AJ42" s="13">
        <f>AI42*VLOOKUP('Données projet'!$B$10,Paramètres!$A$1:$I$89,3,0)*VLOOKUP('Données projet'!$B$10,Paramètres!$A$1:$I$89,5,0)</f>
        <v>6.7984728957526396E-14</v>
      </c>
      <c r="AK42" s="13">
        <f t="shared" si="35"/>
        <v>1.0682447123141398E-12</v>
      </c>
      <c r="AL42" s="20">
        <f t="shared" si="4"/>
        <v>1.978932943548152E-12</v>
      </c>
      <c r="AM42" s="59">
        <f t="shared" si="5"/>
        <v>293.3333333333353</v>
      </c>
      <c r="AN42" s="59">
        <f ca="1">AVERAGE(OFFSET($AM$3,0,0,'Données projet'!$E$10+1,1))-AVERAGE(OFFSET($H$3,0,0,'Données projet'!$E$10+1,1))</f>
        <v>149.5086927376081</v>
      </c>
      <c r="AO42" s="59">
        <f t="shared" si="36"/>
        <v>364.59164590134498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84.886437893802423</v>
      </c>
      <c r="AV42" s="21">
        <f>EXP(-LN(2)/25)*AV41+(1-EXP(-LN(2)/25))/(LN(2)/25)*Calculateur!AQ42*Calculateur!AS42*VLOOKUP('Données projet'!$B$10,Paramètres!$A$1:$I$89,3,0)*0.475*44/12</f>
        <v>15.200471423749216</v>
      </c>
      <c r="AW42" s="21">
        <f>EXP(-LN(2)/2)*AW41+(1-EXP(-LN(2)/2))/(LN(2)/2)*AQ42*AT42*VLOOKUP('Données projet'!$B$10,Paramètres!$A$1:$I$89,3,0)*0.475*44/12</f>
        <v>2.6486977307329813E-2</v>
      </c>
      <c r="AX42" s="21">
        <f t="shared" si="6"/>
        <v>100.11339629485897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1.1368683772161603E-13</v>
      </c>
      <c r="BE42" s="13">
        <f>BD42*VLOOKUP('Données projet'!$B$11,Paramètres!$A$1:$I$89,3,0)*VLOOKUP('Données projet'!$B$11,Paramètres!$A$1:$I$89,5,0)</f>
        <v>6.7984728957526396E-14</v>
      </c>
      <c r="BF42" s="13">
        <f t="shared" si="37"/>
        <v>1.0682447123141398E-12</v>
      </c>
      <c r="BG42" s="20">
        <f t="shared" si="7"/>
        <v>1.978932943548152E-12</v>
      </c>
      <c r="BH42" s="59">
        <f t="shared" si="8"/>
        <v>293.3333333333353</v>
      </c>
      <c r="BI42" s="59">
        <f ca="1">AVERAGE(OFFSET($BH$3,0,0,'Données projet'!$E$11+1,1))-AVERAGE(OFFSET($H$3,0,0,'Données projet'!$E$11+1,1))</f>
        <v>149.5086927376081</v>
      </c>
      <c r="BJ42" s="59">
        <f t="shared" si="38"/>
        <v>364.59164590134498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84.886437893802423</v>
      </c>
      <c r="BQ42" s="21">
        <f>EXP(-LN(2)/25)*BQ41+(1-EXP(-LN(2)/25))/(LN(2)/25)*Calculateur!BL42*Calculateur!BN42*VLOOKUP('Données projet'!$B$11,Paramètres!$A$1:$I$89,3,0)*0.475*44/12</f>
        <v>15.200471423749216</v>
      </c>
      <c r="BR42" s="21">
        <f>EXP(-LN(2)/2)*BR41+(1-EXP(-LN(2)/2))/(LN(2)/2)*BL42*BO42*VLOOKUP('Données projet'!$B$11,Paramètres!$A$1:$I$89,3,0)*0.475*44/12</f>
        <v>2.6486977307329813E-2</v>
      </c>
      <c r="BS42" s="22">
        <f t="shared" si="9"/>
        <v>100.11339629485897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343.61413269921093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5.6843418860808015E-14</v>
      </c>
      <c r="O43" s="13">
        <f>N43*VLOOKUP('Données projet'!$B$9,Paramètres!$A$1:$I$89,3,0)*VLOOKUP('Données projet'!$B$9,Paramètres!$A$1:$I$89,5,0)</f>
        <v>3.3992364478763198E-14</v>
      </c>
      <c r="P43" s="13">
        <f t="shared" si="33"/>
        <v>5.790027782444094E-13</v>
      </c>
      <c r="Q43" s="20">
        <f t="shared" si="53"/>
        <v>1.0676332069095257E-12</v>
      </c>
      <c r="R43" s="59">
        <f t="shared" si="0"/>
        <v>293.33333333333439</v>
      </c>
      <c r="S43" s="59">
        <f ca="1">AVERAGE(OFFSET($R$3,0,0,'Données projet'!$E$9+1,1))-AVERAGE(OFFSET($H$3,0,0,'Données projet'!$E$9+1,1))</f>
        <v>153.00981126776304</v>
      </c>
      <c r="T43" s="59">
        <f t="shared" si="34"/>
        <v>309.90400623462932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92.678690381217478</v>
      </c>
      <c r="AA43" s="21">
        <f>EXP(-LN(2)/25)*AA42+(1-EXP(-LN(2)/25))/(LN(2)/25)*Calculateur!V43*Calculateur!X43*VLOOKUP('Données projet'!$B$9,Paramètres!$A$1:$I$89,3,0)*0.475*44/12</f>
        <v>15.957363092862787</v>
      </c>
      <c r="AB43" s="21">
        <f>EXP(-LN(2)/2)*AB42+(1-EXP(-LN(2)/2))/(LN(2)/2)*V43*Y43*VLOOKUP('Données projet'!$B$9,Paramètres!$A$1:$I$89,3,0)*0.475*44/12</f>
        <v>2.4392229327262458E-2</v>
      </c>
      <c r="AC43" s="22">
        <f t="shared" si="3"/>
        <v>108.66044570340753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0</v>
      </c>
      <c r="AI43" s="13">
        <f>IF('Données projet'!$A$62&gt;35,AI42+AH43-AQ42,IF(A43&lt;'Données projet'!$A$62,$AF$205^A43,IF(A43='Données projet'!$A$62,'Données projet'!$B$62,AI42+AH43-AQ42)))</f>
        <v>1.1368683772161603E-13</v>
      </c>
      <c r="AJ43" s="13">
        <f>AI43*VLOOKUP('Données projet'!$B$10,Paramètres!$A$1:$I$89,3,0)*VLOOKUP('Données projet'!$B$10,Paramètres!$A$1:$I$89,5,0)</f>
        <v>6.7984728957526396E-14</v>
      </c>
      <c r="AK43" s="13">
        <f t="shared" si="35"/>
        <v>1.0682447123141398E-12</v>
      </c>
      <c r="AL43" s="20">
        <f t="shared" si="4"/>
        <v>1.978932943548152E-12</v>
      </c>
      <c r="AM43" s="59">
        <f t="shared" si="5"/>
        <v>293.3333333333353</v>
      </c>
      <c r="AN43" s="59">
        <f ca="1">AVERAGE(OFFSET($AM$3,0,0,'Données projet'!$E$10+1,1))-AVERAGE(OFFSET($H$3,0,0,'Données projet'!$E$10+1,1))</f>
        <v>149.5086927376081</v>
      </c>
      <c r="AO43" s="59">
        <f t="shared" si="36"/>
        <v>364.59164590134498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83.221866622319652</v>
      </c>
      <c r="AV43" s="21">
        <f>EXP(-LN(2)/25)*AV42+(1-EXP(-LN(2)/25))/(LN(2)/25)*Calculateur!AQ43*Calculateur!AS43*VLOOKUP('Données projet'!$B$10,Paramètres!$A$1:$I$89,3,0)*0.475*44/12</f>
        <v>14.784813733308741</v>
      </c>
      <c r="AW43" s="21">
        <f>EXP(-LN(2)/2)*AW42+(1-EXP(-LN(2)/2))/(LN(2)/2)*AQ43*AT43*VLOOKUP('Données projet'!$B$10,Paramètres!$A$1:$I$89,3,0)*0.475*44/12</f>
        <v>1.8729121267147111E-2</v>
      </c>
      <c r="AX43" s="21">
        <f t="shared" si="6"/>
        <v>98.025409476895533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1.1368683772161603E-13</v>
      </c>
      <c r="BE43" s="13">
        <f>BD43*VLOOKUP('Données projet'!$B$11,Paramètres!$A$1:$I$89,3,0)*VLOOKUP('Données projet'!$B$11,Paramètres!$A$1:$I$89,5,0)</f>
        <v>6.7984728957526396E-14</v>
      </c>
      <c r="BF43" s="13">
        <f t="shared" si="37"/>
        <v>1.0682447123141398E-12</v>
      </c>
      <c r="BG43" s="20">
        <f t="shared" si="7"/>
        <v>1.978932943548152E-12</v>
      </c>
      <c r="BH43" s="59">
        <f t="shared" si="8"/>
        <v>293.3333333333353</v>
      </c>
      <c r="BI43" s="59">
        <f ca="1">AVERAGE(OFFSET($BH$3,0,0,'Données projet'!$E$11+1,1))-AVERAGE(OFFSET($H$3,0,0,'Données projet'!$E$11+1,1))</f>
        <v>149.5086927376081</v>
      </c>
      <c r="BJ43" s="59">
        <f t="shared" si="38"/>
        <v>364.59164590134498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83.221866622319652</v>
      </c>
      <c r="BQ43" s="21">
        <f>EXP(-LN(2)/25)*BQ42+(1-EXP(-LN(2)/25))/(LN(2)/25)*Calculateur!BL43*Calculateur!BN43*VLOOKUP('Données projet'!$B$11,Paramètres!$A$1:$I$89,3,0)*0.475*44/12</f>
        <v>14.784813733308741</v>
      </c>
      <c r="BR43" s="21">
        <f>EXP(-LN(2)/2)*BR42+(1-EXP(-LN(2)/2))/(LN(2)/2)*BL43*BO43*VLOOKUP('Données projet'!$B$11,Paramètres!$A$1:$I$89,3,0)*0.475*44/12</f>
        <v>1.8729121267147111E-2</v>
      </c>
      <c r="BS43" s="22">
        <f t="shared" si="9"/>
        <v>98.025409476895533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344.83513625513632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5.6843418860808015E-14</v>
      </c>
      <c r="O44" s="13">
        <f>N44*VLOOKUP('Données projet'!$B$9,Paramètres!$A$1:$I$89,3,0)*VLOOKUP('Données projet'!$B$9,Paramètres!$A$1:$I$89,5,0)</f>
        <v>3.3992364478763198E-14</v>
      </c>
      <c r="P44" s="13">
        <f t="shared" si="33"/>
        <v>5.790027782444094E-13</v>
      </c>
      <c r="Q44" s="20">
        <f t="shared" si="53"/>
        <v>1.0676332069095257E-12</v>
      </c>
      <c r="R44" s="59">
        <f t="shared" si="0"/>
        <v>293.33333333333439</v>
      </c>
      <c r="S44" s="59">
        <f ca="1">AVERAGE(OFFSET($R$3,0,0,'Données projet'!$E$9+1,1))-AVERAGE(OFFSET($H$3,0,0,'Données projet'!$E$9+1,1))</f>
        <v>153.00981126776304</v>
      </c>
      <c r="T44" s="59">
        <f t="shared" si="34"/>
        <v>309.90400623462932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90.861317791261214</v>
      </c>
      <c r="AA44" s="21">
        <f>EXP(-LN(2)/25)*AA43+(1-EXP(-LN(2)/25))/(LN(2)/25)*Calculateur!V44*Calculateur!X44*VLOOKUP('Données projet'!$B$9,Paramètres!$A$1:$I$89,3,0)*0.475*44/12</f>
        <v>15.521008159927201</v>
      </c>
      <c r="AB44" s="21">
        <f>EXP(-LN(2)/2)*AB43+(1-EXP(-LN(2)/2))/(LN(2)/2)*V44*Y44*VLOOKUP('Données projet'!$B$9,Paramètres!$A$1:$I$89,3,0)*0.475*44/12</f>
        <v>1.7247910765564662E-2</v>
      </c>
      <c r="AC44" s="22">
        <f t="shared" si="3"/>
        <v>106.39957386195398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0</v>
      </c>
      <c r="AI44" s="13">
        <f>IF('Données projet'!$A$62&gt;35,AI43+AH44-AQ43,IF(A44&lt;'Données projet'!$A$62,$AF$205^A44,IF(A44='Données projet'!$A$62,'Données projet'!$B$62,AI43+AH44-AQ43)))</f>
        <v>1.1368683772161603E-13</v>
      </c>
      <c r="AJ44" s="13">
        <f>AI44*VLOOKUP('Données projet'!$B$10,Paramètres!$A$1:$I$89,3,0)*VLOOKUP('Données projet'!$B$10,Paramètres!$A$1:$I$89,5,0)</f>
        <v>6.7984728957526396E-14</v>
      </c>
      <c r="AK44" s="13">
        <f t="shared" si="35"/>
        <v>1.0682447123141398E-12</v>
      </c>
      <c r="AL44" s="20">
        <f t="shared" si="4"/>
        <v>1.978932943548152E-12</v>
      </c>
      <c r="AM44" s="59">
        <f t="shared" si="5"/>
        <v>293.3333333333353</v>
      </c>
      <c r="AN44" s="59">
        <f ca="1">AVERAGE(OFFSET($AM$3,0,0,'Données projet'!$E$10+1,1))-AVERAGE(OFFSET($H$3,0,0,'Données projet'!$E$10+1,1))</f>
        <v>149.5086927376081</v>
      </c>
      <c r="AO44" s="59">
        <f t="shared" si="36"/>
        <v>364.59164590134498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81.589936578182432</v>
      </c>
      <c r="AV44" s="21">
        <f>EXP(-LN(2)/25)*AV43+(1-EXP(-LN(2)/25))/(LN(2)/25)*Calculateur!AQ44*Calculateur!AS44*VLOOKUP('Données projet'!$B$10,Paramètres!$A$1:$I$89,3,0)*0.475*44/12</f>
        <v>14.38052222427185</v>
      </c>
      <c r="AW44" s="21">
        <f>EXP(-LN(2)/2)*AW43+(1-EXP(-LN(2)/2))/(LN(2)/2)*AQ44*AT44*VLOOKUP('Données projet'!$B$10,Paramètres!$A$1:$I$89,3,0)*0.475*44/12</f>
        <v>1.3243488653664906E-2</v>
      </c>
      <c r="AX44" s="21">
        <f t="shared" si="6"/>
        <v>95.98370229110796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1.1368683772161603E-13</v>
      </c>
      <c r="BE44" s="13">
        <f>BD44*VLOOKUP('Données projet'!$B$11,Paramètres!$A$1:$I$89,3,0)*VLOOKUP('Données projet'!$B$11,Paramètres!$A$1:$I$89,5,0)</f>
        <v>6.7984728957526396E-14</v>
      </c>
      <c r="BF44" s="13">
        <f t="shared" si="37"/>
        <v>1.0682447123141398E-12</v>
      </c>
      <c r="BG44" s="20">
        <f t="shared" si="7"/>
        <v>1.978932943548152E-12</v>
      </c>
      <c r="BH44" s="59">
        <f t="shared" si="8"/>
        <v>293.3333333333353</v>
      </c>
      <c r="BI44" s="59">
        <f ca="1">AVERAGE(OFFSET($BH$3,0,0,'Données projet'!$E$11+1,1))-AVERAGE(OFFSET($H$3,0,0,'Données projet'!$E$11+1,1))</f>
        <v>149.5086927376081</v>
      </c>
      <c r="BJ44" s="59">
        <f t="shared" si="38"/>
        <v>364.59164590134498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81.589936578182432</v>
      </c>
      <c r="BQ44" s="21">
        <f>EXP(-LN(2)/25)*BQ43+(1-EXP(-LN(2)/25))/(LN(2)/25)*Calculateur!BL44*Calculateur!BN44*VLOOKUP('Données projet'!$B$11,Paramètres!$A$1:$I$89,3,0)*0.475*44/12</f>
        <v>14.38052222427185</v>
      </c>
      <c r="BR44" s="21">
        <f>EXP(-LN(2)/2)*BR43+(1-EXP(-LN(2)/2))/(LN(2)/2)*BL44*BO44*VLOOKUP('Données projet'!$B$11,Paramètres!$A$1:$I$89,3,0)*0.475*44/12</f>
        <v>1.3243488653664906E-2</v>
      </c>
      <c r="BS44" s="22">
        <f t="shared" si="9"/>
        <v>95.98370229110796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346.05537412949326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5.6843418860808015E-14</v>
      </c>
      <c r="O45" s="13">
        <f>N45*VLOOKUP('Données projet'!$B$9,Paramètres!$A$1:$I$89,3,0)*VLOOKUP('Données projet'!$B$9,Paramètres!$A$1:$I$89,5,0)</f>
        <v>3.3992364478763198E-14</v>
      </c>
      <c r="P45" s="13">
        <f t="shared" si="33"/>
        <v>5.790027782444094E-13</v>
      </c>
      <c r="Q45" s="20">
        <f t="shared" si="53"/>
        <v>1.0676332069095257E-12</v>
      </c>
      <c r="R45" s="59">
        <f t="shared" si="0"/>
        <v>293.33333333333439</v>
      </c>
      <c r="S45" s="59">
        <f ca="1">AVERAGE(OFFSET($R$3,0,0,'Données projet'!$E$9+1,1))-AVERAGE(OFFSET($H$3,0,0,'Données projet'!$E$9+1,1))</f>
        <v>153.00981126776304</v>
      </c>
      <c r="T45" s="59">
        <f t="shared" si="34"/>
        <v>309.90400623462932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89.079582769306171</v>
      </c>
      <c r="AA45" s="21">
        <f>EXP(-LN(2)/25)*AA44+(1-EXP(-LN(2)/25))/(LN(2)/25)*Calculateur!V45*Calculateur!X45*VLOOKUP('Données projet'!$B$9,Paramètres!$A$1:$I$89,3,0)*0.475*44/12</f>
        <v>15.096585375579647</v>
      </c>
      <c r="AB45" s="21">
        <f>EXP(-LN(2)/2)*AB44+(1-EXP(-LN(2)/2))/(LN(2)/2)*V45*Y45*VLOOKUP('Données projet'!$B$9,Paramètres!$A$1:$I$89,3,0)*0.475*44/12</f>
        <v>1.2196114663631229E-2</v>
      </c>
      <c r="AC45" s="22">
        <f t="shared" si="3"/>
        <v>104.18836425954946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0</v>
      </c>
      <c r="AI45" s="13">
        <f>IF('Données projet'!$A$62&gt;35,AI44+AH45-AQ44,IF(A45&lt;'Données projet'!$A$62,$AF$205^A45,IF(A45='Données projet'!$A$62,'Données projet'!$B$62,AI44+AH45-AQ44)))</f>
        <v>1.1368683772161603E-13</v>
      </c>
      <c r="AJ45" s="13">
        <f>AI45*VLOOKUP('Données projet'!$B$10,Paramètres!$A$1:$I$89,3,0)*VLOOKUP('Données projet'!$B$10,Paramètres!$A$1:$I$89,5,0)</f>
        <v>6.7984728957526396E-14</v>
      </c>
      <c r="AK45" s="13">
        <f t="shared" si="35"/>
        <v>1.0682447123141398E-12</v>
      </c>
      <c r="AL45" s="20">
        <f t="shared" si="4"/>
        <v>1.978932943548152E-12</v>
      </c>
      <c r="AM45" s="59">
        <f t="shared" si="5"/>
        <v>293.3333333333353</v>
      </c>
      <c r="AN45" s="59">
        <f ca="1">AVERAGE(OFFSET($AM$3,0,0,'Données projet'!$E$10+1,1))-AVERAGE(OFFSET($H$3,0,0,'Données projet'!$E$10+1,1))</f>
        <v>149.5086927376081</v>
      </c>
      <c r="AO45" s="59">
        <f t="shared" si="36"/>
        <v>364.59164590134498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79.990007686831703</v>
      </c>
      <c r="AV45" s="21">
        <f>EXP(-LN(2)/25)*AV44+(1-EXP(-LN(2)/25))/(LN(2)/25)*Calculateur!AQ45*Calculateur!AS45*VLOOKUP('Données projet'!$B$10,Paramètres!$A$1:$I$89,3,0)*0.475*44/12</f>
        <v>13.98728608781034</v>
      </c>
      <c r="AW45" s="21">
        <f>EXP(-LN(2)/2)*AW44+(1-EXP(-LN(2)/2))/(LN(2)/2)*AQ45*AT45*VLOOKUP('Données projet'!$B$10,Paramètres!$A$1:$I$89,3,0)*0.475*44/12</f>
        <v>9.3645606335735557E-3</v>
      </c>
      <c r="AX45" s="21">
        <f t="shared" si="6"/>
        <v>93.986658335275621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1.1368683772161603E-13</v>
      </c>
      <c r="BE45" s="13">
        <f>BD45*VLOOKUP('Données projet'!$B$11,Paramètres!$A$1:$I$89,3,0)*VLOOKUP('Données projet'!$B$11,Paramètres!$A$1:$I$89,5,0)</f>
        <v>6.7984728957526396E-14</v>
      </c>
      <c r="BF45" s="13">
        <f t="shared" si="37"/>
        <v>1.0682447123141398E-12</v>
      </c>
      <c r="BG45" s="20">
        <f t="shared" si="7"/>
        <v>1.978932943548152E-12</v>
      </c>
      <c r="BH45" s="59">
        <f t="shared" si="8"/>
        <v>293.3333333333353</v>
      </c>
      <c r="BI45" s="59">
        <f ca="1">AVERAGE(OFFSET($BH$3,0,0,'Données projet'!$E$11+1,1))-AVERAGE(OFFSET($H$3,0,0,'Données projet'!$E$11+1,1))</f>
        <v>149.5086927376081</v>
      </c>
      <c r="BJ45" s="59">
        <f t="shared" si="38"/>
        <v>364.59164590134498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79.990007686831703</v>
      </c>
      <c r="BQ45" s="21">
        <f>EXP(-LN(2)/25)*BQ44+(1-EXP(-LN(2)/25))/(LN(2)/25)*Calculateur!BL45*Calculateur!BN45*VLOOKUP('Données projet'!$B$11,Paramètres!$A$1:$I$89,3,0)*0.475*44/12</f>
        <v>13.98728608781034</v>
      </c>
      <c r="BR45" s="21">
        <f>EXP(-LN(2)/2)*BR44+(1-EXP(-LN(2)/2))/(LN(2)/2)*BL45*BO45*VLOOKUP('Données projet'!$B$11,Paramètres!$A$1:$I$89,3,0)*0.475*44/12</f>
        <v>9.3645606335735557E-3</v>
      </c>
      <c r="BS45" s="22">
        <f t="shared" si="9"/>
        <v>93.986658335275621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347.27486665053362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5.6843418860808015E-14</v>
      </c>
      <c r="O46" s="13">
        <f>N46*VLOOKUP('Données projet'!$B$9,Paramètres!$A$1:$I$89,3,0)*VLOOKUP('Données projet'!$B$9,Paramètres!$A$1:$I$89,5,0)</f>
        <v>3.3992364478763198E-14</v>
      </c>
      <c r="P46" s="13">
        <f t="shared" si="33"/>
        <v>5.790027782444094E-13</v>
      </c>
      <c r="Q46" s="20">
        <f t="shared" si="53"/>
        <v>1.0676332069095257E-12</v>
      </c>
      <c r="R46" s="59">
        <f t="shared" si="0"/>
        <v>293.33333333333439</v>
      </c>
      <c r="S46" s="59">
        <f ca="1">AVERAGE(OFFSET($R$3,0,0,'Données projet'!$E$9+1,1))-AVERAGE(OFFSET($H$3,0,0,'Données projet'!$E$9+1,1))</f>
        <v>153.00981126776304</v>
      </c>
      <c r="T46" s="59">
        <f t="shared" si="34"/>
        <v>309.90400623462932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87.332786484380605</v>
      </c>
      <c r="AA46" s="21">
        <f>EXP(-LN(2)/25)*AA45+(1-EXP(-LN(2)/25))/(LN(2)/25)*Calculateur!V46*Calculateur!X46*VLOOKUP('Données projet'!$B$9,Paramètres!$A$1:$I$89,3,0)*0.475*44/12</f>
        <v>14.683768454589501</v>
      </c>
      <c r="AB46" s="21">
        <f>EXP(-LN(2)/2)*AB45+(1-EXP(-LN(2)/2))/(LN(2)/2)*V46*Y46*VLOOKUP('Données projet'!$B$9,Paramètres!$A$1:$I$89,3,0)*0.475*44/12</f>
        <v>8.623955382782331E-3</v>
      </c>
      <c r="AC46" s="22">
        <f t="shared" si="3"/>
        <v>102.02517889435289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0</v>
      </c>
      <c r="AI46" s="13">
        <f>IF('Données projet'!$A$62&gt;35,AI45+AH46-AQ45,IF(A46&lt;'Données projet'!$A$62,$AF$205^A46,IF(A46='Données projet'!$A$62,'Données projet'!$B$62,AI45+AH46-AQ45)))</f>
        <v>1.1368683772161603E-13</v>
      </c>
      <c r="AJ46" s="13">
        <f>AI46*VLOOKUP('Données projet'!$B$10,Paramètres!$A$1:$I$89,3,0)*VLOOKUP('Données projet'!$B$10,Paramètres!$A$1:$I$89,5,0)</f>
        <v>6.7984728957526396E-14</v>
      </c>
      <c r="AK46" s="13">
        <f t="shared" si="35"/>
        <v>1.0682447123141398E-12</v>
      </c>
      <c r="AL46" s="20">
        <f t="shared" si="4"/>
        <v>1.978932943548152E-12</v>
      </c>
      <c r="AM46" s="59">
        <f t="shared" si="5"/>
        <v>293.3333333333353</v>
      </c>
      <c r="AN46" s="59">
        <f ca="1">AVERAGE(OFFSET($AM$3,0,0,'Données projet'!$E$10+1,1))-AVERAGE(OFFSET($H$3,0,0,'Données projet'!$E$10+1,1))</f>
        <v>149.5086927376081</v>
      </c>
      <c r="AO46" s="59">
        <f t="shared" si="36"/>
        <v>364.59164590134498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78.421452425180107</v>
      </c>
      <c r="AV46" s="21">
        <f>EXP(-LN(2)/25)*AV45+(1-EXP(-LN(2)/25))/(LN(2)/25)*Calculateur!AQ46*Calculateur!AS46*VLOOKUP('Données projet'!$B$10,Paramètres!$A$1:$I$89,3,0)*0.475*44/12</f>
        <v>13.604803014179758</v>
      </c>
      <c r="AW46" s="21">
        <f>EXP(-LN(2)/2)*AW45+(1-EXP(-LN(2)/2))/(LN(2)/2)*AQ46*AT46*VLOOKUP('Données projet'!$B$10,Paramètres!$A$1:$I$89,3,0)*0.475*44/12</f>
        <v>6.6217443268324532E-3</v>
      </c>
      <c r="AX46" s="21">
        <f t="shared" si="6"/>
        <v>92.032877183686693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1.1368683772161603E-13</v>
      </c>
      <c r="BE46" s="13">
        <f>BD46*VLOOKUP('Données projet'!$B$11,Paramètres!$A$1:$I$89,3,0)*VLOOKUP('Données projet'!$B$11,Paramètres!$A$1:$I$89,5,0)</f>
        <v>6.7984728957526396E-14</v>
      </c>
      <c r="BF46" s="13">
        <f t="shared" si="37"/>
        <v>1.0682447123141398E-12</v>
      </c>
      <c r="BG46" s="20">
        <f t="shared" si="7"/>
        <v>1.978932943548152E-12</v>
      </c>
      <c r="BH46" s="59">
        <f t="shared" si="8"/>
        <v>293.3333333333353</v>
      </c>
      <c r="BI46" s="59">
        <f ca="1">AVERAGE(OFFSET($BH$3,0,0,'Données projet'!$E$11+1,1))-AVERAGE(OFFSET($H$3,0,0,'Données projet'!$E$11+1,1))</f>
        <v>149.5086927376081</v>
      </c>
      <c r="BJ46" s="59">
        <f t="shared" si="38"/>
        <v>364.59164590134498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78.421452425180107</v>
      </c>
      <c r="BQ46" s="21">
        <f>EXP(-LN(2)/25)*BQ45+(1-EXP(-LN(2)/25))/(LN(2)/25)*Calculateur!BL46*Calculateur!BN46*VLOOKUP('Données projet'!$B$11,Paramètres!$A$1:$I$89,3,0)*0.475*44/12</f>
        <v>13.604803014179758</v>
      </c>
      <c r="BR46" s="21">
        <f>EXP(-LN(2)/2)*BR45+(1-EXP(-LN(2)/2))/(LN(2)/2)*BL46*BO46*VLOOKUP('Données projet'!$B$11,Paramètres!$A$1:$I$89,3,0)*0.475*44/12</f>
        <v>6.6217443268324532E-3</v>
      </c>
      <c r="BS46" s="22">
        <f t="shared" si="9"/>
        <v>92.032877183686693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348.49363314706295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5.6843418860808015E-14</v>
      </c>
      <c r="O47" s="13">
        <f>N47*VLOOKUP('Données projet'!$B$9,Paramètres!$A$1:$I$89,3,0)*VLOOKUP('Données projet'!$B$9,Paramètres!$A$1:$I$89,5,0)</f>
        <v>3.3992364478763198E-14</v>
      </c>
      <c r="P47" s="13">
        <f t="shared" si="33"/>
        <v>5.790027782444094E-13</v>
      </c>
      <c r="Q47" s="20">
        <f t="shared" si="53"/>
        <v>1.0676332069095257E-12</v>
      </c>
      <c r="R47" s="59">
        <f t="shared" si="0"/>
        <v>293.33333333333439</v>
      </c>
      <c r="S47" s="59">
        <f ca="1">AVERAGE(OFFSET($R$3,0,0,'Données projet'!$E$9+1,1))-AVERAGE(OFFSET($H$3,0,0,'Données projet'!$E$9+1,1))</f>
        <v>153.00981126776304</v>
      </c>
      <c r="T47" s="59">
        <f t="shared" si="34"/>
        <v>309.90400623462932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85.620243809161906</v>
      </c>
      <c r="AA47" s="21">
        <f>EXP(-LN(2)/25)*AA46+(1-EXP(-LN(2)/25))/(LN(2)/25)*Calculateur!V47*Calculateur!X47*VLOOKUP('Données projet'!$B$9,Paramètres!$A$1:$I$89,3,0)*0.475*44/12</f>
        <v>14.282240034012927</v>
      </c>
      <c r="AB47" s="21">
        <f>EXP(-LN(2)/2)*AB46+(1-EXP(-LN(2)/2))/(LN(2)/2)*V47*Y47*VLOOKUP('Données projet'!$B$9,Paramètres!$A$1:$I$89,3,0)*0.475*44/12</f>
        <v>6.0980573318156145E-3</v>
      </c>
      <c r="AC47" s="22">
        <f t="shared" si="3"/>
        <v>99.908581900506647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0</v>
      </c>
      <c r="AI47" s="13">
        <f>IF('Données projet'!$A$62&gt;35,AI46+AH47-AQ46,IF(A47&lt;'Données projet'!$A$62,$AF$205^A47,IF(A47='Données projet'!$A$62,'Données projet'!$B$62,AI46+AH47-AQ46)))</f>
        <v>1.1368683772161603E-13</v>
      </c>
      <c r="AJ47" s="13">
        <f>AI47*VLOOKUP('Données projet'!$B$10,Paramètres!$A$1:$I$89,3,0)*VLOOKUP('Données projet'!$B$10,Paramètres!$A$1:$I$89,5,0)</f>
        <v>6.7984728957526396E-14</v>
      </c>
      <c r="AK47" s="13">
        <f t="shared" si="35"/>
        <v>1.0682447123141398E-12</v>
      </c>
      <c r="AL47" s="20">
        <f t="shared" si="4"/>
        <v>1.978932943548152E-12</v>
      </c>
      <c r="AM47" s="59">
        <f t="shared" si="5"/>
        <v>293.3333333333353</v>
      </c>
      <c r="AN47" s="59">
        <f ca="1">AVERAGE(OFFSET($AM$3,0,0,'Données projet'!$E$10+1,1))-AVERAGE(OFFSET($H$3,0,0,'Données projet'!$E$10+1,1))</f>
        <v>149.5086927376081</v>
      </c>
      <c r="AO47" s="59">
        <f t="shared" si="36"/>
        <v>364.59164590134498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76.88365557548525</v>
      </c>
      <c r="AV47" s="21">
        <f>EXP(-LN(2)/25)*AV46+(1-EXP(-LN(2)/25))/(LN(2)/25)*Calculateur!AQ47*Calculateur!AS47*VLOOKUP('Données projet'!$B$10,Paramètres!$A$1:$I$89,3,0)*0.475*44/12</f>
        <v>13.232778960311517</v>
      </c>
      <c r="AW47" s="21">
        <f>EXP(-LN(2)/2)*AW46+(1-EXP(-LN(2)/2))/(LN(2)/2)*AQ47*AT47*VLOOKUP('Données projet'!$B$10,Paramètres!$A$1:$I$89,3,0)*0.475*44/12</f>
        <v>4.6822803167867778E-3</v>
      </c>
      <c r="AX47" s="21">
        <f t="shared" si="6"/>
        <v>90.121116816113556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1.1368683772161603E-13</v>
      </c>
      <c r="BE47" s="13">
        <f>BD47*VLOOKUP('Données projet'!$B$11,Paramètres!$A$1:$I$89,3,0)*VLOOKUP('Données projet'!$B$11,Paramètres!$A$1:$I$89,5,0)</f>
        <v>6.7984728957526396E-14</v>
      </c>
      <c r="BF47" s="13">
        <f t="shared" si="37"/>
        <v>1.0682447123141398E-12</v>
      </c>
      <c r="BG47" s="20">
        <f t="shared" si="7"/>
        <v>1.978932943548152E-12</v>
      </c>
      <c r="BH47" s="59">
        <f t="shared" si="8"/>
        <v>293.3333333333353</v>
      </c>
      <c r="BI47" s="59">
        <f ca="1">AVERAGE(OFFSET($BH$3,0,0,'Données projet'!$E$11+1,1))-AVERAGE(OFFSET($H$3,0,0,'Données projet'!$E$11+1,1))</f>
        <v>149.5086927376081</v>
      </c>
      <c r="BJ47" s="59">
        <f t="shared" si="38"/>
        <v>364.59164590134498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76.88365557548525</v>
      </c>
      <c r="BQ47" s="21">
        <f>EXP(-LN(2)/25)*BQ46+(1-EXP(-LN(2)/25))/(LN(2)/25)*Calculateur!BL47*Calculateur!BN47*VLOOKUP('Données projet'!$B$11,Paramètres!$A$1:$I$89,3,0)*0.475*44/12</f>
        <v>13.232778960311517</v>
      </c>
      <c r="BR47" s="21">
        <f>EXP(-LN(2)/2)*BR46+(1-EXP(-LN(2)/2))/(LN(2)/2)*BL47*BO47*VLOOKUP('Données projet'!$B$11,Paramètres!$A$1:$I$89,3,0)*0.475*44/12</f>
        <v>4.6822803167867778E-3</v>
      </c>
      <c r="BS47" s="22">
        <f t="shared" si="9"/>
        <v>90.121116816113556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349.7116920191595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5.6843418860808015E-14</v>
      </c>
      <c r="O48" s="13">
        <f>N48*VLOOKUP('Données projet'!$B$9,Paramètres!$A$1:$I$89,3,0)*VLOOKUP('Données projet'!$B$9,Paramètres!$A$1:$I$89,5,0)</f>
        <v>3.3992364478763198E-14</v>
      </c>
      <c r="P48" s="13">
        <f t="shared" si="33"/>
        <v>5.790027782444094E-13</v>
      </c>
      <c r="Q48" s="20">
        <f t="shared" si="53"/>
        <v>1.0676332069095257E-12</v>
      </c>
      <c r="R48" s="59">
        <f t="shared" si="0"/>
        <v>293.33333333333439</v>
      </c>
      <c r="S48" s="59">
        <f ca="1">AVERAGE(OFFSET($R$3,0,0,'Données projet'!$E$9+1,1))-AVERAGE(OFFSET($H$3,0,0,'Données projet'!$E$9+1,1))</f>
        <v>153.00981126776304</v>
      </c>
      <c r="T48" s="59">
        <f t="shared" si="34"/>
        <v>309.90400623462932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83.941283051256349</v>
      </c>
      <c r="AA48" s="21">
        <f>EXP(-LN(2)/25)*AA47+(1-EXP(-LN(2)/25))/(LN(2)/25)*Calculateur!V48*Calculateur!X48*VLOOKUP('Données projet'!$B$9,Paramètres!$A$1:$I$89,3,0)*0.475*44/12</f>
        <v>13.891691429212482</v>
      </c>
      <c r="AB48" s="21">
        <f>EXP(-LN(2)/2)*AB47+(1-EXP(-LN(2)/2))/(LN(2)/2)*V48*Y48*VLOOKUP('Données projet'!$B$9,Paramètres!$A$1:$I$89,3,0)*0.475*44/12</f>
        <v>4.3119776913911655E-3</v>
      </c>
      <c r="AC48" s="22">
        <f t="shared" si="3"/>
        <v>97.837286458160222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0</v>
      </c>
      <c r="AI48" s="13">
        <f>IF('Données projet'!$A$62&gt;35,AI47+AH48-AQ47,IF(A48&lt;'Données projet'!$A$62,$AF$205^A48,IF(A48='Données projet'!$A$62,'Données projet'!$B$62,AI47+AH48-AQ47)))</f>
        <v>1.1368683772161603E-13</v>
      </c>
      <c r="AJ48" s="13">
        <f>AI48*VLOOKUP('Données projet'!$B$10,Paramètres!$A$1:$I$89,3,0)*VLOOKUP('Données projet'!$B$10,Paramètres!$A$1:$I$89,5,0)</f>
        <v>6.7984728957526396E-14</v>
      </c>
      <c r="AK48" s="13">
        <f t="shared" si="35"/>
        <v>1.0682447123141398E-12</v>
      </c>
      <c r="AL48" s="20">
        <f t="shared" si="4"/>
        <v>1.978932943548152E-12</v>
      </c>
      <c r="AM48" s="59">
        <f t="shared" si="5"/>
        <v>293.3333333333353</v>
      </c>
      <c r="AN48" s="59">
        <f ca="1">AVERAGE(OFFSET($AM$3,0,0,'Données projet'!$E$10+1,1))-AVERAGE(OFFSET($H$3,0,0,'Données projet'!$E$10+1,1))</f>
        <v>149.5086927376081</v>
      </c>
      <c r="AO48" s="59">
        <f t="shared" si="36"/>
        <v>364.59164590134498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75.37601398404945</v>
      </c>
      <c r="AV48" s="21">
        <f>EXP(-LN(2)/25)*AV47+(1-EXP(-LN(2)/25))/(LN(2)/25)*Calculateur!AQ48*Calculateur!AS48*VLOOKUP('Données projet'!$B$10,Paramètres!$A$1:$I$89,3,0)*0.475*44/12</f>
        <v>12.870927923760197</v>
      </c>
      <c r="AW48" s="21">
        <f>EXP(-LN(2)/2)*AW47+(1-EXP(-LN(2)/2))/(LN(2)/2)*AQ48*AT48*VLOOKUP('Données projet'!$B$10,Paramètres!$A$1:$I$89,3,0)*0.475*44/12</f>
        <v>3.3108721634162266E-3</v>
      </c>
      <c r="AX48" s="21">
        <f t="shared" si="6"/>
        <v>88.250252779973053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1.1368683772161603E-13</v>
      </c>
      <c r="BE48" s="13">
        <f>BD48*VLOOKUP('Données projet'!$B$11,Paramètres!$A$1:$I$89,3,0)*VLOOKUP('Données projet'!$B$11,Paramètres!$A$1:$I$89,5,0)</f>
        <v>6.7984728957526396E-14</v>
      </c>
      <c r="BF48" s="13">
        <f t="shared" si="37"/>
        <v>1.0682447123141398E-12</v>
      </c>
      <c r="BG48" s="20">
        <f t="shared" si="7"/>
        <v>1.978932943548152E-12</v>
      </c>
      <c r="BH48" s="59">
        <f t="shared" si="8"/>
        <v>293.3333333333353</v>
      </c>
      <c r="BI48" s="59">
        <f ca="1">AVERAGE(OFFSET($BH$3,0,0,'Données projet'!$E$11+1,1))-AVERAGE(OFFSET($H$3,0,0,'Données projet'!$E$11+1,1))</f>
        <v>149.5086927376081</v>
      </c>
      <c r="BJ48" s="59">
        <f t="shared" si="38"/>
        <v>364.59164590134498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75.37601398404945</v>
      </c>
      <c r="BQ48" s="21">
        <f>EXP(-LN(2)/25)*BQ47+(1-EXP(-LN(2)/25))/(LN(2)/25)*Calculateur!BL48*Calculateur!BN48*VLOOKUP('Données projet'!$B$11,Paramètres!$A$1:$I$89,3,0)*0.475*44/12</f>
        <v>12.870927923760197</v>
      </c>
      <c r="BR48" s="21">
        <f>EXP(-LN(2)/2)*BR47+(1-EXP(-LN(2)/2))/(LN(2)/2)*BL48*BO48*VLOOKUP('Données projet'!$B$11,Paramètres!$A$1:$I$89,3,0)*0.475*44/12</f>
        <v>3.3108721634162266E-3</v>
      </c>
      <c r="BS48" s="22">
        <f t="shared" si="9"/>
        <v>88.250252779973053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350.92906080242972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5.6843418860808015E-14</v>
      </c>
      <c r="O49" s="13">
        <f>N49*VLOOKUP('Données projet'!$B$9,Paramètres!$A$1:$I$89,3,0)*VLOOKUP('Données projet'!$B$9,Paramètres!$A$1:$I$89,5,0)</f>
        <v>3.3992364478763198E-14</v>
      </c>
      <c r="P49" s="13">
        <f t="shared" si="33"/>
        <v>5.790027782444094E-13</v>
      </c>
      <c r="Q49" s="20">
        <f t="shared" si="53"/>
        <v>1.0676332069095257E-12</v>
      </c>
      <c r="R49" s="59">
        <f t="shared" si="0"/>
        <v>293.33333333333439</v>
      </c>
      <c r="S49" s="59">
        <f ca="1">AVERAGE(OFFSET($R$3,0,0,'Données projet'!$E$9+1,1))-AVERAGE(OFFSET($H$3,0,0,'Données projet'!$E$9+1,1))</f>
        <v>153.00981126776304</v>
      </c>
      <c r="T49" s="59">
        <f t="shared" si="34"/>
        <v>309.90400623462932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82.295245689748384</v>
      </c>
      <c r="AA49" s="21">
        <f>EXP(-LN(2)/25)*AA48+(1-EXP(-LN(2)/25))/(LN(2)/25)*Calculateur!V49*Calculateur!X49*VLOOKUP('Données projet'!$B$9,Paramètres!$A$1:$I$89,3,0)*0.475*44/12</f>
        <v>13.511822396548364</v>
      </c>
      <c r="AB49" s="21">
        <f>EXP(-LN(2)/2)*AB48+(1-EXP(-LN(2)/2))/(LN(2)/2)*V49*Y49*VLOOKUP('Données projet'!$B$9,Paramètres!$A$1:$I$89,3,0)*0.475*44/12</f>
        <v>3.0490286659078073E-3</v>
      </c>
      <c r="AC49" s="22">
        <f t="shared" si="3"/>
        <v>95.810117114962665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1.1368683772161603E-13</v>
      </c>
      <c r="AJ49" s="13">
        <f>AI49*VLOOKUP('Données projet'!$B$10,Paramètres!$A$1:$I$89,3,0)*VLOOKUP('Données projet'!$B$10,Paramètres!$A$1:$I$89,5,0)</f>
        <v>6.7984728957526396E-14</v>
      </c>
      <c r="AK49" s="13">
        <f t="shared" si="35"/>
        <v>1.0682447123141398E-12</v>
      </c>
      <c r="AL49" s="20">
        <f t="shared" si="4"/>
        <v>1.978932943548152E-12</v>
      </c>
      <c r="AM49" s="59">
        <f t="shared" si="5"/>
        <v>293.3333333333353</v>
      </c>
      <c r="AN49" s="59">
        <f ca="1">AVERAGE(OFFSET($AM$3,0,0,'Données projet'!$E$10+1,1))-AVERAGE(OFFSET($H$3,0,0,'Données projet'!$E$10+1,1))</f>
        <v>149.5086927376081</v>
      </c>
      <c r="AO49" s="59">
        <f t="shared" si="36"/>
        <v>364.59164590134498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73.897936324651127</v>
      </c>
      <c r="AV49" s="21">
        <f>EXP(-LN(2)/25)*AV48+(1-EXP(-LN(2)/25))/(LN(2)/25)*Calculateur!AQ49*Calculateur!AS49*VLOOKUP('Données projet'!$B$10,Paramètres!$A$1:$I$89,3,0)*0.475*44/12</f>
        <v>12.518971722832292</v>
      </c>
      <c r="AW49" s="21">
        <f>EXP(-LN(2)/2)*AW48+(1-EXP(-LN(2)/2))/(LN(2)/2)*AQ49*AT49*VLOOKUP('Données projet'!$B$10,Paramètres!$A$1:$I$89,3,0)*0.475*44/12</f>
        <v>2.3411401583933889E-3</v>
      </c>
      <c r="AX49" s="21">
        <f t="shared" si="6"/>
        <v>86.41924918764181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1.1368683772161603E-13</v>
      </c>
      <c r="BE49" s="13">
        <f>BD49*VLOOKUP('Données projet'!$B$11,Paramètres!$A$1:$I$89,3,0)*VLOOKUP('Données projet'!$B$11,Paramètres!$A$1:$I$89,5,0)</f>
        <v>6.7984728957526396E-14</v>
      </c>
      <c r="BF49" s="13">
        <f t="shared" si="37"/>
        <v>1.0682447123141398E-12</v>
      </c>
      <c r="BG49" s="20">
        <f t="shared" si="7"/>
        <v>1.978932943548152E-12</v>
      </c>
      <c r="BH49" s="59">
        <f t="shared" si="8"/>
        <v>293.3333333333353</v>
      </c>
      <c r="BI49" s="59">
        <f ca="1">AVERAGE(OFFSET($BH$3,0,0,'Données projet'!$E$11+1,1))-AVERAGE(OFFSET($H$3,0,0,'Données projet'!$E$11+1,1))</f>
        <v>149.5086927376081</v>
      </c>
      <c r="BJ49" s="59">
        <f t="shared" si="38"/>
        <v>364.59164590134498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73.897936324651127</v>
      </c>
      <c r="BQ49" s="21">
        <f>EXP(-LN(2)/25)*BQ48+(1-EXP(-LN(2)/25))/(LN(2)/25)*Calculateur!BL49*Calculateur!BN49*VLOOKUP('Données projet'!$B$11,Paramètres!$A$1:$I$89,3,0)*0.475*44/12</f>
        <v>12.518971722832292</v>
      </c>
      <c r="BR49" s="21">
        <f>EXP(-LN(2)/2)*BR48+(1-EXP(-LN(2)/2))/(LN(2)/2)*BL49*BO49*VLOOKUP('Données projet'!$B$11,Paramètres!$A$1:$I$89,3,0)*0.475*44/12</f>
        <v>2.3411401583933889E-3</v>
      </c>
      <c r="BS49" s="22">
        <f t="shared" si="9"/>
        <v>86.41924918764181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352.14575622651876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5.6843418860808015E-14</v>
      </c>
      <c r="O50" s="13">
        <f>N50*VLOOKUP('Données projet'!$B$9,Paramètres!$A$1:$I$89,3,0)*VLOOKUP('Données projet'!$B$9,Paramètres!$A$1:$I$89,5,0)</f>
        <v>3.3992364478763198E-14</v>
      </c>
      <c r="P50" s="13">
        <f t="shared" si="33"/>
        <v>5.790027782444094E-13</v>
      </c>
      <c r="Q50" s="20">
        <f t="shared" si="53"/>
        <v>1.0676332069095257E-12</v>
      </c>
      <c r="R50" s="59">
        <f t="shared" si="0"/>
        <v>293.33333333333439</v>
      </c>
      <c r="S50" s="59">
        <f ca="1">AVERAGE(OFFSET($R$3,0,0,'Données projet'!$E$9+1,1))-AVERAGE(OFFSET($H$3,0,0,'Données projet'!$E$9+1,1))</f>
        <v>153.00981126776304</v>
      </c>
      <c r="T50" s="59">
        <f t="shared" si="34"/>
        <v>309.90400623462932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80.681486116915934</v>
      </c>
      <c r="AA50" s="21">
        <f>EXP(-LN(2)/25)*AA49+(1-EXP(-LN(2)/25))/(LN(2)/25)*Calculateur!V50*Calculateur!X50*VLOOKUP('Données projet'!$B$9,Paramètres!$A$1:$I$89,3,0)*0.475*44/12</f>
        <v>13.142340902558891</v>
      </c>
      <c r="AB50" s="21">
        <f>EXP(-LN(2)/2)*AB49+(1-EXP(-LN(2)/2))/(LN(2)/2)*V50*Y50*VLOOKUP('Données projet'!$B$9,Paramètres!$A$1:$I$89,3,0)*0.475*44/12</f>
        <v>2.1559888456955827E-3</v>
      </c>
      <c r="AC50" s="22">
        <f t="shared" si="3"/>
        <v>93.82598300832052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1.1368683772161603E-13</v>
      </c>
      <c r="AJ50" s="13">
        <f>AI50*VLOOKUP('Données projet'!$B$10,Paramètres!$A$1:$I$89,3,0)*VLOOKUP('Données projet'!$B$10,Paramètres!$A$1:$I$89,5,0)</f>
        <v>6.7984728957526396E-14</v>
      </c>
      <c r="AK50" s="13">
        <f t="shared" si="35"/>
        <v>1.0682447123141398E-12</v>
      </c>
      <c r="AL50" s="20">
        <f t="shared" si="4"/>
        <v>1.978932943548152E-12</v>
      </c>
      <c r="AM50" s="59">
        <f t="shared" si="5"/>
        <v>293.3333333333353</v>
      </c>
      <c r="AN50" s="59">
        <f ca="1">AVERAGE(OFFSET($AM$3,0,0,'Données projet'!$E$10+1,1))-AVERAGE(OFFSET($H$3,0,0,'Données projet'!$E$10+1,1))</f>
        <v>149.5086927376081</v>
      </c>
      <c r="AO50" s="59">
        <f t="shared" si="36"/>
        <v>364.59164590134498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72.448842866615252</v>
      </c>
      <c r="AV50" s="21">
        <f>EXP(-LN(2)/25)*AV49+(1-EXP(-LN(2)/25))/(LN(2)/25)*Calculateur!AQ50*Calculateur!AS50*VLOOKUP('Données projet'!$B$10,Paramètres!$A$1:$I$89,3,0)*0.475*44/12</f>
        <v>12.176639782727333</v>
      </c>
      <c r="AW50" s="21">
        <f>EXP(-LN(2)/2)*AW49+(1-EXP(-LN(2)/2))/(LN(2)/2)*AQ50*AT50*VLOOKUP('Données projet'!$B$10,Paramètres!$A$1:$I$89,3,0)*0.475*44/12</f>
        <v>1.6554360817081133E-3</v>
      </c>
      <c r="AX50" s="21">
        <f t="shared" si="6"/>
        <v>84.627138085424292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1.1368683772161603E-13</v>
      </c>
      <c r="BE50" s="13">
        <f>BD50*VLOOKUP('Données projet'!$B$11,Paramètres!$A$1:$I$89,3,0)*VLOOKUP('Données projet'!$B$11,Paramètres!$A$1:$I$89,5,0)</f>
        <v>6.7984728957526396E-14</v>
      </c>
      <c r="BF50" s="13">
        <f t="shared" si="37"/>
        <v>1.0682447123141398E-12</v>
      </c>
      <c r="BG50" s="20">
        <f t="shared" si="7"/>
        <v>1.978932943548152E-12</v>
      </c>
      <c r="BH50" s="59">
        <f t="shared" si="8"/>
        <v>293.3333333333353</v>
      </c>
      <c r="BI50" s="59">
        <f ca="1">AVERAGE(OFFSET($BH$3,0,0,'Données projet'!$E$11+1,1))-AVERAGE(OFFSET($H$3,0,0,'Données projet'!$E$11+1,1))</f>
        <v>149.5086927376081</v>
      </c>
      <c r="BJ50" s="59">
        <f t="shared" si="38"/>
        <v>364.59164590134498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72.448842866615252</v>
      </c>
      <c r="BQ50" s="21">
        <f>EXP(-LN(2)/25)*BQ49+(1-EXP(-LN(2)/25))/(LN(2)/25)*Calculateur!BL50*Calculateur!BN50*VLOOKUP('Données projet'!$B$11,Paramètres!$A$1:$I$89,3,0)*0.475*44/12</f>
        <v>12.176639782727333</v>
      </c>
      <c r="BR50" s="21">
        <f>EXP(-LN(2)/2)*BR49+(1-EXP(-LN(2)/2))/(LN(2)/2)*BL50*BO50*VLOOKUP('Données projet'!$B$11,Paramètres!$A$1:$I$89,3,0)*0.475*44/12</f>
        <v>1.6554360817081133E-3</v>
      </c>
      <c r="BS50" s="22">
        <f t="shared" si="9"/>
        <v>84.627138085424292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353.361794268501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5.6843418860808015E-14</v>
      </c>
      <c r="O51" s="13">
        <f>N51*VLOOKUP('Données projet'!$B$9,Paramètres!$A$1:$I$89,3,0)*VLOOKUP('Données projet'!$B$9,Paramètres!$A$1:$I$89,5,0)</f>
        <v>3.3992364478763198E-14</v>
      </c>
      <c r="P51" s="13">
        <f t="shared" si="33"/>
        <v>5.790027782444094E-13</v>
      </c>
      <c r="Q51" s="20">
        <f t="shared" si="53"/>
        <v>1.0676332069095257E-12</v>
      </c>
      <c r="R51" s="59">
        <f t="shared" si="0"/>
        <v>293.33333333333439</v>
      </c>
      <c r="S51" s="59">
        <f ca="1">AVERAGE(OFFSET($R$3,0,0,'Données projet'!$E$9+1,1))-AVERAGE(OFFSET($H$3,0,0,'Données projet'!$E$9+1,1))</f>
        <v>153.00981126776304</v>
      </c>
      <c r="T51" s="59">
        <f t="shared" si="34"/>
        <v>309.90400623462932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79.099371385010571</v>
      </c>
      <c r="AA51" s="21">
        <f>EXP(-LN(2)/25)*AA50+(1-EXP(-LN(2)/25))/(LN(2)/25)*Calculateur!V51*Calculateur!X51*VLOOKUP('Données projet'!$B$9,Paramètres!$A$1:$I$89,3,0)*0.475*44/12</f>
        <v>12.782962899452746</v>
      </c>
      <c r="AB51" s="21">
        <f>EXP(-LN(2)/2)*AB50+(1-EXP(-LN(2)/2))/(LN(2)/2)*V51*Y51*VLOOKUP('Données projet'!$B$9,Paramètres!$A$1:$I$89,3,0)*0.475*44/12</f>
        <v>1.5245143329539036E-3</v>
      </c>
      <c r="AC51" s="22">
        <f t="shared" si="3"/>
        <v>91.883858798796268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1.1368683772161603E-13</v>
      </c>
      <c r="AJ51" s="13">
        <f>AI51*VLOOKUP('Données projet'!$B$10,Paramètres!$A$1:$I$89,3,0)*VLOOKUP('Données projet'!$B$10,Paramètres!$A$1:$I$89,5,0)</f>
        <v>6.7984728957526396E-14</v>
      </c>
      <c r="AK51" s="13">
        <f t="shared" si="35"/>
        <v>1.0682447123141398E-12</v>
      </c>
      <c r="AL51" s="20">
        <f t="shared" si="4"/>
        <v>1.978932943548152E-12</v>
      </c>
      <c r="AM51" s="59">
        <f t="shared" si="5"/>
        <v>293.3333333333353</v>
      </c>
      <c r="AN51" s="59">
        <f ca="1">AVERAGE(OFFSET($AM$3,0,0,'Données projet'!$E$10+1,1))-AVERAGE(OFFSET($H$3,0,0,'Données projet'!$E$10+1,1))</f>
        <v>149.5086927376081</v>
      </c>
      <c r="AO51" s="59">
        <f t="shared" si="36"/>
        <v>364.59164590134498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71.02816524743173</v>
      </c>
      <c r="AV51" s="21">
        <f>EXP(-LN(2)/25)*AV50+(1-EXP(-LN(2)/25))/(LN(2)/25)*Calculateur!AQ51*Calculateur!AS51*VLOOKUP('Données projet'!$B$10,Paramètres!$A$1:$I$89,3,0)*0.475*44/12</f>
        <v>11.843668927526998</v>
      </c>
      <c r="AW51" s="21">
        <f>EXP(-LN(2)/2)*AW50+(1-EXP(-LN(2)/2))/(LN(2)/2)*AQ51*AT51*VLOOKUP('Données projet'!$B$10,Paramètres!$A$1:$I$89,3,0)*0.475*44/12</f>
        <v>1.1705700791966945E-3</v>
      </c>
      <c r="AX51" s="21">
        <f t="shared" si="6"/>
        <v>82.873004745037932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1.1368683772161603E-13</v>
      </c>
      <c r="BE51" s="13">
        <f>BD51*VLOOKUP('Données projet'!$B$11,Paramètres!$A$1:$I$89,3,0)*VLOOKUP('Données projet'!$B$11,Paramètres!$A$1:$I$89,5,0)</f>
        <v>6.7984728957526396E-14</v>
      </c>
      <c r="BF51" s="13">
        <f t="shared" si="37"/>
        <v>1.0682447123141398E-12</v>
      </c>
      <c r="BG51" s="20">
        <f t="shared" si="7"/>
        <v>1.978932943548152E-12</v>
      </c>
      <c r="BH51" s="59">
        <f t="shared" si="8"/>
        <v>293.3333333333353</v>
      </c>
      <c r="BI51" s="59">
        <f ca="1">AVERAGE(OFFSET($BH$3,0,0,'Données projet'!$E$11+1,1))-AVERAGE(OFFSET($H$3,0,0,'Données projet'!$E$11+1,1))</f>
        <v>149.5086927376081</v>
      </c>
      <c r="BJ51" s="59">
        <f t="shared" si="38"/>
        <v>364.59164590134498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71.02816524743173</v>
      </c>
      <c r="BQ51" s="21">
        <f>EXP(-LN(2)/25)*BQ50+(1-EXP(-LN(2)/25))/(LN(2)/25)*Calculateur!BL51*Calculateur!BN51*VLOOKUP('Données projet'!$B$11,Paramètres!$A$1:$I$89,3,0)*0.475*44/12</f>
        <v>11.843668927526998</v>
      </c>
      <c r="BR51" s="21">
        <f>EXP(-LN(2)/2)*BR50+(1-EXP(-LN(2)/2))/(LN(2)/2)*BL51*BO51*VLOOKUP('Données projet'!$B$11,Paramètres!$A$1:$I$89,3,0)*0.475*44/12</f>
        <v>1.1705700791966945E-3</v>
      </c>
      <c r="BS51" s="22">
        <f t="shared" si="9"/>
        <v>82.873004745037932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354.57719020169571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5.6843418860808015E-14</v>
      </c>
      <c r="O52" s="13">
        <f>N52*VLOOKUP('Données projet'!$B$9,Paramètres!$A$1:$I$89,3,0)*VLOOKUP('Données projet'!$B$9,Paramètres!$A$1:$I$89,5,0)</f>
        <v>3.3992364478763198E-14</v>
      </c>
      <c r="P52" s="13">
        <f t="shared" si="33"/>
        <v>5.790027782444094E-13</v>
      </c>
      <c r="Q52" s="20">
        <f t="shared" si="53"/>
        <v>1.0676332069095257E-12</v>
      </c>
      <c r="R52" s="59">
        <f t="shared" si="0"/>
        <v>293.33333333333439</v>
      </c>
      <c r="S52" s="59">
        <f ca="1">AVERAGE(OFFSET($R$3,0,0,'Données projet'!$E$9+1,1))-AVERAGE(OFFSET($H$3,0,0,'Données projet'!$E$9+1,1))</f>
        <v>153.00981126776304</v>
      </c>
      <c r="T52" s="59">
        <f t="shared" si="34"/>
        <v>309.90400623462932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77.548280958003176</v>
      </c>
      <c r="AA52" s="21">
        <f>EXP(-LN(2)/25)*AA51+(1-EXP(-LN(2)/25))/(LN(2)/25)*Calculateur!V52*Calculateur!X52*VLOOKUP('Données projet'!$B$9,Paramètres!$A$1:$I$89,3,0)*0.475*44/12</f>
        <v>12.433412106740407</v>
      </c>
      <c r="AB52" s="21">
        <f>EXP(-LN(2)/2)*AB51+(1-EXP(-LN(2)/2))/(LN(2)/2)*V52*Y52*VLOOKUP('Données projet'!$B$9,Paramètres!$A$1:$I$89,3,0)*0.475*44/12</f>
        <v>1.0779944228477914E-3</v>
      </c>
      <c r="AC52" s="22">
        <f t="shared" si="3"/>
        <v>89.982771059166424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1.1368683772161603E-13</v>
      </c>
      <c r="AJ52" s="13">
        <f>AI52*VLOOKUP('Données projet'!$B$10,Paramètres!$A$1:$I$89,3,0)*VLOOKUP('Données projet'!$B$10,Paramètres!$A$1:$I$89,5,0)</f>
        <v>6.7984728957526396E-14</v>
      </c>
      <c r="AK52" s="13">
        <f t="shared" si="35"/>
        <v>1.0682447123141398E-12</v>
      </c>
      <c r="AL52" s="20">
        <f t="shared" si="4"/>
        <v>1.978932943548152E-12</v>
      </c>
      <c r="AM52" s="59">
        <f t="shared" si="5"/>
        <v>293.3333333333353</v>
      </c>
      <c r="AN52" s="59">
        <f ca="1">AVERAGE(OFFSET($AM$3,0,0,'Données projet'!$E$10+1,1))-AVERAGE(OFFSET($H$3,0,0,'Données projet'!$E$10+1,1))</f>
        <v>149.5086927376081</v>
      </c>
      <c r="AO52" s="59">
        <f t="shared" si="36"/>
        <v>364.59164590134498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69.635346249832608</v>
      </c>
      <c r="AV52" s="21">
        <f>EXP(-LN(2)/25)*AV51+(1-EXP(-LN(2)/25))/(LN(2)/25)*Calculateur!AQ52*Calculateur!AS52*VLOOKUP('Données projet'!$B$10,Paramètres!$A$1:$I$89,3,0)*0.475*44/12</f>
        <v>11.519803177872292</v>
      </c>
      <c r="AW52" s="21">
        <f>EXP(-LN(2)/2)*AW51+(1-EXP(-LN(2)/2))/(LN(2)/2)*AQ52*AT52*VLOOKUP('Données projet'!$B$10,Paramètres!$A$1:$I$89,3,0)*0.475*44/12</f>
        <v>8.2771804085405665E-4</v>
      </c>
      <c r="AX52" s="21">
        <f t="shared" si="6"/>
        <v>81.155977145745751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1.1368683772161603E-13</v>
      </c>
      <c r="BE52" s="13">
        <f>BD52*VLOOKUP('Données projet'!$B$11,Paramètres!$A$1:$I$89,3,0)*VLOOKUP('Données projet'!$B$11,Paramètres!$A$1:$I$89,5,0)</f>
        <v>6.7984728957526396E-14</v>
      </c>
      <c r="BF52" s="13">
        <f t="shared" si="37"/>
        <v>1.0682447123141398E-12</v>
      </c>
      <c r="BG52" s="20">
        <f t="shared" si="7"/>
        <v>1.978932943548152E-12</v>
      </c>
      <c r="BH52" s="59">
        <f t="shared" si="8"/>
        <v>293.3333333333353</v>
      </c>
      <c r="BI52" s="59">
        <f ca="1">AVERAGE(OFFSET($BH$3,0,0,'Données projet'!$E$11+1,1))-AVERAGE(OFFSET($H$3,0,0,'Données projet'!$E$11+1,1))</f>
        <v>149.5086927376081</v>
      </c>
      <c r="BJ52" s="59">
        <f t="shared" si="38"/>
        <v>364.59164590134498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69.635346249832608</v>
      </c>
      <c r="BQ52" s="21">
        <f>EXP(-LN(2)/25)*BQ51+(1-EXP(-LN(2)/25))/(LN(2)/25)*Calculateur!BL52*Calculateur!BN52*VLOOKUP('Données projet'!$B$11,Paramètres!$A$1:$I$89,3,0)*0.475*44/12</f>
        <v>11.519803177872292</v>
      </c>
      <c r="BR52" s="21">
        <f>EXP(-LN(2)/2)*BR51+(1-EXP(-LN(2)/2))/(LN(2)/2)*BL52*BO52*VLOOKUP('Données projet'!$B$11,Paramètres!$A$1:$I$89,3,0)*0.475*44/12</f>
        <v>8.2771804085405665E-4</v>
      </c>
      <c r="BS52" s="22">
        <f t="shared" si="9"/>
        <v>81.155977145745751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355.79195864038502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5.6843418860808015E-14</v>
      </c>
      <c r="O53" s="13">
        <f>N53*VLOOKUP('Données projet'!$B$9,Paramètres!$A$1:$I$89,3,0)*VLOOKUP('Données projet'!$B$9,Paramètres!$A$1:$I$89,5,0)</f>
        <v>3.3992364478763198E-14</v>
      </c>
      <c r="P53" s="13">
        <f t="shared" si="33"/>
        <v>5.790027782444094E-13</v>
      </c>
      <c r="Q53" s="20">
        <f t="shared" si="53"/>
        <v>1.0676332069095257E-12</v>
      </c>
      <c r="R53" s="59">
        <f t="shared" si="0"/>
        <v>293.33333333333439</v>
      </c>
      <c r="S53" s="59">
        <f ca="1">AVERAGE(OFFSET($R$3,0,0,'Données projet'!$E$9+1,1))-AVERAGE(OFFSET($H$3,0,0,'Données projet'!$E$9+1,1))</f>
        <v>153.00981126776304</v>
      </c>
      <c r="T53" s="59">
        <f t="shared" si="34"/>
        <v>309.90400623462932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76.027606468197646</v>
      </c>
      <c r="AA53" s="21">
        <f>EXP(-LN(2)/25)*AA52+(1-EXP(-LN(2)/25))/(LN(2)/25)*Calculateur!V53*Calculateur!X53*VLOOKUP('Données projet'!$B$9,Paramètres!$A$1:$I$89,3,0)*0.475*44/12</f>
        <v>12.093419798836866</v>
      </c>
      <c r="AB53" s="21">
        <f>EXP(-LN(2)/2)*AB52+(1-EXP(-LN(2)/2))/(LN(2)/2)*V53*Y53*VLOOKUP('Données projet'!$B$9,Paramètres!$A$1:$I$89,3,0)*0.475*44/12</f>
        <v>7.6225716647695182E-4</v>
      </c>
      <c r="AC53" s="22">
        <f t="shared" si="3"/>
        <v>88.12178852420098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1.1368683772161603E-13</v>
      </c>
      <c r="AJ53" s="13">
        <f>AI53*VLOOKUP('Données projet'!$B$10,Paramètres!$A$1:$I$89,3,0)*VLOOKUP('Données projet'!$B$10,Paramètres!$A$1:$I$89,5,0)</f>
        <v>6.7984728957526396E-14</v>
      </c>
      <c r="AK53" s="13">
        <f t="shared" si="35"/>
        <v>1.0682447123141398E-12</v>
      </c>
      <c r="AL53" s="20">
        <f t="shared" si="4"/>
        <v>1.978932943548152E-12</v>
      </c>
      <c r="AM53" s="59">
        <f t="shared" si="5"/>
        <v>293.3333333333353</v>
      </c>
      <c r="AN53" s="59">
        <f ca="1">AVERAGE(OFFSET($AM$3,0,0,'Données projet'!$E$10+1,1))-AVERAGE(OFFSET($H$3,0,0,'Données projet'!$E$10+1,1))</f>
        <v>149.5086927376081</v>
      </c>
      <c r="AO53" s="59">
        <f t="shared" si="36"/>
        <v>364.59164590134498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68.26983958324071</v>
      </c>
      <c r="AV53" s="21">
        <f>EXP(-LN(2)/25)*AV52+(1-EXP(-LN(2)/25))/(LN(2)/25)*Calculateur!AQ53*Calculateur!AS53*VLOOKUP('Données projet'!$B$10,Paramètres!$A$1:$I$89,3,0)*0.475*44/12</f>
        <v>11.204793554173254</v>
      </c>
      <c r="AW53" s="21">
        <f>EXP(-LN(2)/2)*AW52+(1-EXP(-LN(2)/2))/(LN(2)/2)*AQ53*AT53*VLOOKUP('Données projet'!$B$10,Paramètres!$A$1:$I$89,3,0)*0.475*44/12</f>
        <v>5.8528503959834723E-4</v>
      </c>
      <c r="AX53" s="21">
        <f t="shared" si="6"/>
        <v>79.475218422453565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1.1368683772161603E-13</v>
      </c>
      <c r="BE53" s="13">
        <f>BD53*VLOOKUP('Données projet'!$B$11,Paramètres!$A$1:$I$89,3,0)*VLOOKUP('Données projet'!$B$11,Paramètres!$A$1:$I$89,5,0)</f>
        <v>6.7984728957526396E-14</v>
      </c>
      <c r="BF53" s="13">
        <f t="shared" si="37"/>
        <v>1.0682447123141398E-12</v>
      </c>
      <c r="BG53" s="20">
        <f t="shared" si="7"/>
        <v>1.978932943548152E-12</v>
      </c>
      <c r="BH53" s="59">
        <f t="shared" si="8"/>
        <v>293.3333333333353</v>
      </c>
      <c r="BI53" s="59">
        <f ca="1">AVERAGE(OFFSET($BH$3,0,0,'Données projet'!$E$11+1,1))-AVERAGE(OFFSET($H$3,0,0,'Données projet'!$E$11+1,1))</f>
        <v>149.5086927376081</v>
      </c>
      <c r="BJ53" s="59">
        <f t="shared" si="38"/>
        <v>364.59164590134498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68.26983958324071</v>
      </c>
      <c r="BQ53" s="21">
        <f>EXP(-LN(2)/25)*BQ52+(1-EXP(-LN(2)/25))/(LN(2)/25)*Calculateur!BL53*Calculateur!BN53*VLOOKUP('Données projet'!$B$11,Paramètres!$A$1:$I$89,3,0)*0.475*44/12</f>
        <v>11.204793554173254</v>
      </c>
      <c r="BR53" s="21">
        <f>EXP(-LN(2)/2)*BR52+(1-EXP(-LN(2)/2))/(LN(2)/2)*BL53*BO53*VLOOKUP('Données projet'!$B$11,Paramètres!$A$1:$I$89,3,0)*0.475*44/12</f>
        <v>5.8528503959834723E-4</v>
      </c>
      <c r="BS53" s="22">
        <f t="shared" si="9"/>
        <v>79.475218422453565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357.00611358085365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5.6843418860808015E-14</v>
      </c>
      <c r="O54" s="13">
        <f>N54*VLOOKUP('Données projet'!$B$9,Paramètres!$A$1:$I$89,3,0)*VLOOKUP('Données projet'!$B$9,Paramètres!$A$1:$I$89,5,0)</f>
        <v>3.3992364478763198E-14</v>
      </c>
      <c r="P54" s="13">
        <f t="shared" si="33"/>
        <v>5.790027782444094E-13</v>
      </c>
      <c r="Q54" s="20">
        <f t="shared" si="53"/>
        <v>1.0676332069095257E-12</v>
      </c>
      <c r="R54" s="59">
        <f t="shared" si="0"/>
        <v>293.33333333333439</v>
      </c>
      <c r="S54" s="59">
        <f ca="1">AVERAGE(OFFSET($R$3,0,0,'Données projet'!$E$9+1,1))-AVERAGE(OFFSET($H$3,0,0,'Données projet'!$E$9+1,1))</f>
        <v>153.00981126776304</v>
      </c>
      <c r="T54" s="59">
        <f t="shared" si="34"/>
        <v>309.90400623462932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74.536751477617358</v>
      </c>
      <c r="AA54" s="21">
        <f>EXP(-LN(2)/25)*AA53+(1-EXP(-LN(2)/25))/(LN(2)/25)*Calculateur!V54*Calculateur!X54*VLOOKUP('Données projet'!$B$9,Paramètres!$A$1:$I$89,3,0)*0.475*44/12</f>
        <v>11.762724598472364</v>
      </c>
      <c r="AB54" s="21">
        <f>EXP(-LN(2)/2)*AB53+(1-EXP(-LN(2)/2))/(LN(2)/2)*V54*Y54*VLOOKUP('Données projet'!$B$9,Paramètres!$A$1:$I$89,3,0)*0.475*44/12</f>
        <v>5.3899721142389569E-4</v>
      </c>
      <c r="AC54" s="22">
        <f t="shared" si="3"/>
        <v>86.30001507330114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1.1368683772161603E-13</v>
      </c>
      <c r="AJ54" s="13">
        <f>AI54*VLOOKUP('Données projet'!$B$10,Paramètres!$A$1:$I$89,3,0)*VLOOKUP('Données projet'!$B$10,Paramètres!$A$1:$I$89,5,0)</f>
        <v>6.7984728957526396E-14</v>
      </c>
      <c r="AK54" s="13">
        <f t="shared" si="35"/>
        <v>1.0682447123141398E-12</v>
      </c>
      <c r="AL54" s="20">
        <f t="shared" si="4"/>
        <v>1.978932943548152E-12</v>
      </c>
      <c r="AM54" s="59">
        <f t="shared" si="5"/>
        <v>293.3333333333353</v>
      </c>
      <c r="AN54" s="59">
        <f ca="1">AVERAGE(OFFSET($AM$3,0,0,'Données projet'!$E$10+1,1))-AVERAGE(OFFSET($H$3,0,0,'Données projet'!$E$10+1,1))</f>
        <v>149.5086927376081</v>
      </c>
      <c r="AO54" s="59">
        <f t="shared" si="36"/>
        <v>364.59164590134498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66.931109669503854</v>
      </c>
      <c r="AV54" s="21">
        <f>EXP(-LN(2)/25)*AV53+(1-EXP(-LN(2)/25))/(LN(2)/25)*Calculateur!AQ54*Calculateur!AS54*VLOOKUP('Données projet'!$B$10,Paramètres!$A$1:$I$89,3,0)*0.475*44/12</f>
        <v>10.898397885199902</v>
      </c>
      <c r="AW54" s="21">
        <f>EXP(-LN(2)/2)*AW53+(1-EXP(-LN(2)/2))/(LN(2)/2)*AQ54*AT54*VLOOKUP('Données projet'!$B$10,Paramètres!$A$1:$I$89,3,0)*0.475*44/12</f>
        <v>4.1385902042702832E-4</v>
      </c>
      <c r="AX54" s="21">
        <f t="shared" si="6"/>
        <v>77.829921413724179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1.1368683772161603E-13</v>
      </c>
      <c r="BE54" s="13">
        <f>BD54*VLOOKUP('Données projet'!$B$11,Paramètres!$A$1:$I$89,3,0)*VLOOKUP('Données projet'!$B$11,Paramètres!$A$1:$I$89,5,0)</f>
        <v>6.7984728957526396E-14</v>
      </c>
      <c r="BF54" s="13">
        <f t="shared" si="37"/>
        <v>1.0682447123141398E-12</v>
      </c>
      <c r="BG54" s="20">
        <f t="shared" si="7"/>
        <v>1.978932943548152E-12</v>
      </c>
      <c r="BH54" s="59">
        <f t="shared" si="8"/>
        <v>293.3333333333353</v>
      </c>
      <c r="BI54" s="59">
        <f ca="1">AVERAGE(OFFSET($BH$3,0,0,'Données projet'!$E$11+1,1))-AVERAGE(OFFSET($H$3,0,0,'Données projet'!$E$11+1,1))</f>
        <v>149.5086927376081</v>
      </c>
      <c r="BJ54" s="59">
        <f t="shared" si="38"/>
        <v>364.59164590134498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66.931109669503854</v>
      </c>
      <c r="BQ54" s="21">
        <f>EXP(-LN(2)/25)*BQ53+(1-EXP(-LN(2)/25))/(LN(2)/25)*Calculateur!BL54*Calculateur!BN54*VLOOKUP('Données projet'!$B$11,Paramètres!$A$1:$I$89,3,0)*0.475*44/12</f>
        <v>10.898397885199902</v>
      </c>
      <c r="BR54" s="21">
        <f>EXP(-LN(2)/2)*BR53+(1-EXP(-LN(2)/2))/(LN(2)/2)*BL54*BO54*VLOOKUP('Données projet'!$B$11,Paramètres!$A$1:$I$89,3,0)*0.475*44/12</f>
        <v>4.1385902042702832E-4</v>
      </c>
      <c r="BS54" s="22">
        <f t="shared" si="9"/>
        <v>77.829921413724179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358.21966843911872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5.6843418860808015E-14</v>
      </c>
      <c r="O55" s="13">
        <f>N55*VLOOKUP('Données projet'!$B$9,Paramètres!$A$1:$I$89,3,0)*VLOOKUP('Données projet'!$B$9,Paramètres!$A$1:$I$89,5,0)</f>
        <v>3.3992364478763198E-14</v>
      </c>
      <c r="P55" s="13">
        <f t="shared" si="33"/>
        <v>5.790027782444094E-13</v>
      </c>
      <c r="Q55" s="20">
        <f t="shared" si="53"/>
        <v>1.0676332069095257E-12</v>
      </c>
      <c r="R55" s="59">
        <f t="shared" si="0"/>
        <v>293.33333333333439</v>
      </c>
      <c r="S55" s="59">
        <f ca="1">AVERAGE(OFFSET($R$3,0,0,'Données projet'!$E$9+1,1))-AVERAGE(OFFSET($H$3,0,0,'Données projet'!$E$9+1,1))</f>
        <v>153.00981126776304</v>
      </c>
      <c r="T55" s="59">
        <f t="shared" si="34"/>
        <v>309.90400623462932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73.07513124407059</v>
      </c>
      <c r="AA55" s="21">
        <f>EXP(-LN(2)/25)*AA54+(1-EXP(-LN(2)/25))/(LN(2)/25)*Calculateur!V55*Calculateur!X55*VLOOKUP('Données projet'!$B$9,Paramètres!$A$1:$I$89,3,0)*0.475*44/12</f>
        <v>11.441072275752335</v>
      </c>
      <c r="AB55" s="21">
        <f>EXP(-LN(2)/2)*AB54+(1-EXP(-LN(2)/2))/(LN(2)/2)*V55*Y55*VLOOKUP('Données projet'!$B$9,Paramètres!$A$1:$I$89,3,0)*0.475*44/12</f>
        <v>3.8112858323847591E-4</v>
      </c>
      <c r="AC55" s="22">
        <f t="shared" si="3"/>
        <v>84.516584648406166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1.1368683772161603E-13</v>
      </c>
      <c r="AJ55" s="13">
        <f>AI55*VLOOKUP('Données projet'!$B$10,Paramètres!$A$1:$I$89,3,0)*VLOOKUP('Données projet'!$B$10,Paramètres!$A$1:$I$89,5,0)</f>
        <v>6.7984728957526396E-14</v>
      </c>
      <c r="AK55" s="13">
        <f t="shared" si="35"/>
        <v>1.0682447123141398E-12</v>
      </c>
      <c r="AL55" s="20">
        <f t="shared" si="4"/>
        <v>1.978932943548152E-12</v>
      </c>
      <c r="AM55" s="59">
        <f t="shared" si="5"/>
        <v>293.3333333333353</v>
      </c>
      <c r="AN55" s="59">
        <f ca="1">AVERAGE(OFFSET($AM$3,0,0,'Données projet'!$E$10+1,1))-AVERAGE(OFFSET($H$3,0,0,'Données projet'!$E$10+1,1))</f>
        <v>149.5086927376081</v>
      </c>
      <c r="AO55" s="59">
        <f t="shared" si="36"/>
        <v>364.59164590134498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65.618631432830753</v>
      </c>
      <c r="AV55" s="21">
        <f>EXP(-LN(2)/25)*AV54+(1-EXP(-LN(2)/25))/(LN(2)/25)*Calculateur!AQ55*Calculateur!AS55*VLOOKUP('Données projet'!$B$10,Paramètres!$A$1:$I$89,3,0)*0.475*44/12</f>
        <v>10.600380621907274</v>
      </c>
      <c r="AW55" s="21">
        <f>EXP(-LN(2)/2)*AW54+(1-EXP(-LN(2)/2))/(LN(2)/2)*AQ55*AT55*VLOOKUP('Données projet'!$B$10,Paramètres!$A$1:$I$89,3,0)*0.475*44/12</f>
        <v>2.9264251979917361E-4</v>
      </c>
      <c r="AX55" s="21">
        <f t="shared" si="6"/>
        <v>76.219304697257826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1.1368683772161603E-13</v>
      </c>
      <c r="BE55" s="13">
        <f>BD55*VLOOKUP('Données projet'!$B$11,Paramètres!$A$1:$I$89,3,0)*VLOOKUP('Données projet'!$B$11,Paramètres!$A$1:$I$89,5,0)</f>
        <v>6.7984728957526396E-14</v>
      </c>
      <c r="BF55" s="13">
        <f t="shared" si="37"/>
        <v>1.0682447123141398E-12</v>
      </c>
      <c r="BG55" s="20">
        <f t="shared" si="7"/>
        <v>1.978932943548152E-12</v>
      </c>
      <c r="BH55" s="59">
        <f t="shared" si="8"/>
        <v>293.3333333333353</v>
      </c>
      <c r="BI55" s="59">
        <f ca="1">AVERAGE(OFFSET($BH$3,0,0,'Données projet'!$E$11+1,1))-AVERAGE(OFFSET($H$3,0,0,'Données projet'!$E$11+1,1))</f>
        <v>149.5086927376081</v>
      </c>
      <c r="BJ55" s="59">
        <f t="shared" si="38"/>
        <v>364.59164590134498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65.618631432830753</v>
      </c>
      <c r="BQ55" s="21">
        <f>EXP(-LN(2)/25)*BQ54+(1-EXP(-LN(2)/25))/(LN(2)/25)*Calculateur!BL55*Calculateur!BN55*VLOOKUP('Données projet'!$B$11,Paramètres!$A$1:$I$89,3,0)*0.475*44/12</f>
        <v>10.600380621907274</v>
      </c>
      <c r="BR55" s="21">
        <f>EXP(-LN(2)/2)*BR54+(1-EXP(-LN(2)/2))/(LN(2)/2)*BL55*BO55*VLOOKUP('Données projet'!$B$11,Paramètres!$A$1:$I$89,3,0)*0.475*44/12</f>
        <v>2.9264251979917361E-4</v>
      </c>
      <c r="BS55" s="22">
        <f t="shared" si="9"/>
        <v>76.219304697257826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359.43263608567548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5.6843418860808015E-14</v>
      </c>
      <c r="O56" s="13">
        <f>N56*VLOOKUP('Données projet'!$B$9,Paramètres!$A$1:$I$89,3,0)*VLOOKUP('Données projet'!$B$9,Paramètres!$A$1:$I$89,5,0)</f>
        <v>3.3992364478763198E-14</v>
      </c>
      <c r="P56" s="13">
        <f t="shared" si="33"/>
        <v>5.790027782444094E-13</v>
      </c>
      <c r="Q56" s="20">
        <f t="shared" si="53"/>
        <v>1.0676332069095257E-12</v>
      </c>
      <c r="R56" s="59">
        <f t="shared" si="0"/>
        <v>293.33333333333439</v>
      </c>
      <c r="S56" s="59">
        <f ca="1">AVERAGE(OFFSET($R$3,0,0,'Données projet'!$E$9+1,1))-AVERAGE(OFFSET($H$3,0,0,'Données projet'!$E$9+1,1))</f>
        <v>153.00981126776304</v>
      </c>
      <c r="T56" s="59">
        <f t="shared" si="34"/>
        <v>309.90400623462932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71.642172491803365</v>
      </c>
      <c r="AA56" s="21">
        <f>EXP(-LN(2)/25)*AA55+(1-EXP(-LN(2)/25))/(LN(2)/25)*Calculateur!V56*Calculateur!X56*VLOOKUP('Données projet'!$B$9,Paramètres!$A$1:$I$89,3,0)*0.475*44/12</f>
        <v>11.128215552712046</v>
      </c>
      <c r="AB56" s="21">
        <f>EXP(-LN(2)/2)*AB55+(1-EXP(-LN(2)/2))/(LN(2)/2)*V56*Y56*VLOOKUP('Données projet'!$B$9,Paramètres!$A$1:$I$89,3,0)*0.475*44/12</f>
        <v>2.6949860571194784E-4</v>
      </c>
      <c r="AC56" s="22">
        <f t="shared" si="3"/>
        <v>82.770657543121132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1.1368683772161603E-13</v>
      </c>
      <c r="AJ56" s="13">
        <f>AI56*VLOOKUP('Données projet'!$B$10,Paramètres!$A$1:$I$89,3,0)*VLOOKUP('Données projet'!$B$10,Paramètres!$A$1:$I$89,5,0)</f>
        <v>6.7984728957526396E-14</v>
      </c>
      <c r="AK56" s="13">
        <f t="shared" si="35"/>
        <v>1.0682447123141398E-12</v>
      </c>
      <c r="AL56" s="20">
        <f t="shared" si="4"/>
        <v>1.978932943548152E-12</v>
      </c>
      <c r="AM56" s="59">
        <f t="shared" si="5"/>
        <v>293.3333333333353</v>
      </c>
      <c r="AN56" s="59">
        <f ca="1">AVERAGE(OFFSET($AM$3,0,0,'Données projet'!$E$10+1,1))-AVERAGE(OFFSET($H$3,0,0,'Données projet'!$E$10+1,1))</f>
        <v>149.5086927376081</v>
      </c>
      <c r="AO56" s="59">
        <f t="shared" si="36"/>
        <v>364.59164590134498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64.331890093846127</v>
      </c>
      <c r="AV56" s="21">
        <f>EXP(-LN(2)/25)*AV55+(1-EXP(-LN(2)/25))/(LN(2)/25)*Calculateur!AQ56*Calculateur!AS56*VLOOKUP('Données projet'!$B$10,Paramètres!$A$1:$I$89,3,0)*0.475*44/12</f>
        <v>10.310512656351429</v>
      </c>
      <c r="AW56" s="21">
        <f>EXP(-LN(2)/2)*AW55+(1-EXP(-LN(2)/2))/(LN(2)/2)*AQ56*AT56*VLOOKUP('Données projet'!$B$10,Paramètres!$A$1:$I$89,3,0)*0.475*44/12</f>
        <v>2.0692951021351416E-4</v>
      </c>
      <c r="AX56" s="21">
        <f t="shared" si="6"/>
        <v>74.642609679707775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1.1368683772161603E-13</v>
      </c>
      <c r="BE56" s="13">
        <f>BD56*VLOOKUP('Données projet'!$B$11,Paramètres!$A$1:$I$89,3,0)*VLOOKUP('Données projet'!$B$11,Paramètres!$A$1:$I$89,5,0)</f>
        <v>6.7984728957526396E-14</v>
      </c>
      <c r="BF56" s="13">
        <f t="shared" si="37"/>
        <v>1.0682447123141398E-12</v>
      </c>
      <c r="BG56" s="20">
        <f t="shared" si="7"/>
        <v>1.978932943548152E-12</v>
      </c>
      <c r="BH56" s="59">
        <f t="shared" si="8"/>
        <v>293.3333333333353</v>
      </c>
      <c r="BI56" s="59">
        <f ca="1">AVERAGE(OFFSET($BH$3,0,0,'Données projet'!$E$11+1,1))-AVERAGE(OFFSET($H$3,0,0,'Données projet'!$E$11+1,1))</f>
        <v>149.5086927376081</v>
      </c>
      <c r="BJ56" s="59">
        <f t="shared" si="38"/>
        <v>364.59164590134498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64.331890093846127</v>
      </c>
      <c r="BQ56" s="21">
        <f>EXP(-LN(2)/25)*BQ55+(1-EXP(-LN(2)/25))/(LN(2)/25)*Calculateur!BL56*Calculateur!BN56*VLOOKUP('Données projet'!$B$11,Paramètres!$A$1:$I$89,3,0)*0.475*44/12</f>
        <v>10.310512656351429</v>
      </c>
      <c r="BR56" s="21">
        <f>EXP(-LN(2)/2)*BR55+(1-EXP(-LN(2)/2))/(LN(2)/2)*BL56*BO56*VLOOKUP('Données projet'!$B$11,Paramètres!$A$1:$I$89,3,0)*0.475*44/12</f>
        <v>2.0692951021351416E-4</v>
      </c>
      <c r="BS56" s="22">
        <f t="shared" si="9"/>
        <v>74.642609679707775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360.64502887754611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5.6843418860808015E-14</v>
      </c>
      <c r="O57" s="13">
        <f>N57*VLOOKUP('Données projet'!$B$9,Paramètres!$A$1:$I$89,3,0)*VLOOKUP('Données projet'!$B$9,Paramètres!$A$1:$I$89,5,0)</f>
        <v>3.3992364478763198E-14</v>
      </c>
      <c r="P57" s="13">
        <f t="shared" si="33"/>
        <v>5.790027782444094E-13</v>
      </c>
      <c r="Q57" s="20">
        <f t="shared" si="53"/>
        <v>1.0676332069095257E-12</v>
      </c>
      <c r="R57" s="59">
        <f t="shared" si="0"/>
        <v>293.33333333333439</v>
      </c>
      <c r="S57" s="59">
        <f ca="1">AVERAGE(OFFSET($R$3,0,0,'Données projet'!$E$9+1,1))-AVERAGE(OFFSET($H$3,0,0,'Données projet'!$E$9+1,1))</f>
        <v>153.00981126776304</v>
      </c>
      <c r="T57" s="59">
        <f t="shared" si="34"/>
        <v>309.90400623462932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70.237313186649558</v>
      </c>
      <c r="AA57" s="21">
        <f>EXP(-LN(2)/25)*AA56+(1-EXP(-LN(2)/25))/(LN(2)/25)*Calculateur!V57*Calculateur!X57*VLOOKUP('Données projet'!$B$9,Paramètres!$A$1:$I$89,3,0)*0.475*44/12</f>
        <v>10.823913913215714</v>
      </c>
      <c r="AB57" s="21">
        <f>EXP(-LN(2)/2)*AB56+(1-EXP(-LN(2)/2))/(LN(2)/2)*V57*Y57*VLOOKUP('Données projet'!$B$9,Paramètres!$A$1:$I$89,3,0)*0.475*44/12</f>
        <v>1.9056429161923795E-4</v>
      </c>
      <c r="AC57" s="22">
        <f t="shared" si="3"/>
        <v>81.061417664156892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1.1368683772161603E-13</v>
      </c>
      <c r="AJ57" s="13">
        <f>AI57*VLOOKUP('Données projet'!$B$10,Paramètres!$A$1:$I$89,3,0)*VLOOKUP('Données projet'!$B$10,Paramètres!$A$1:$I$89,5,0)</f>
        <v>6.7984728957526396E-14</v>
      </c>
      <c r="AK57" s="13">
        <f t="shared" si="35"/>
        <v>1.0682447123141398E-12</v>
      </c>
      <c r="AL57" s="20">
        <f t="shared" si="4"/>
        <v>1.978932943548152E-12</v>
      </c>
      <c r="AM57" s="59">
        <f t="shared" si="5"/>
        <v>293.3333333333353</v>
      </c>
      <c r="AN57" s="59">
        <f ca="1">AVERAGE(OFFSET($AM$3,0,0,'Données projet'!$E$10+1,1))-AVERAGE(OFFSET($H$3,0,0,'Données projet'!$E$10+1,1))</f>
        <v>149.5086927376081</v>
      </c>
      <c r="AO57" s="59">
        <f t="shared" si="36"/>
        <v>364.59164590134498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63.070380967684272</v>
      </c>
      <c r="AV57" s="21">
        <f>EXP(-LN(2)/25)*AV56+(1-EXP(-LN(2)/25))/(LN(2)/25)*Calculateur!AQ57*Calculateur!AS57*VLOOKUP('Données projet'!$B$10,Paramètres!$A$1:$I$89,3,0)*0.475*44/12</f>
        <v>10.028571145557203</v>
      </c>
      <c r="AW57" s="21">
        <f>EXP(-LN(2)/2)*AW56+(1-EXP(-LN(2)/2))/(LN(2)/2)*AQ57*AT57*VLOOKUP('Données projet'!$B$10,Paramètres!$A$1:$I$89,3,0)*0.475*44/12</f>
        <v>1.4632125989958681E-4</v>
      </c>
      <c r="AX57" s="21">
        <f t="shared" si="6"/>
        <v>73.099098434501386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1.1368683772161603E-13</v>
      </c>
      <c r="BE57" s="13">
        <f>BD57*VLOOKUP('Données projet'!$B$11,Paramètres!$A$1:$I$89,3,0)*VLOOKUP('Données projet'!$B$11,Paramètres!$A$1:$I$89,5,0)</f>
        <v>6.7984728957526396E-14</v>
      </c>
      <c r="BF57" s="13">
        <f t="shared" si="37"/>
        <v>1.0682447123141398E-12</v>
      </c>
      <c r="BG57" s="20">
        <f t="shared" si="7"/>
        <v>1.978932943548152E-12</v>
      </c>
      <c r="BH57" s="59">
        <f t="shared" si="8"/>
        <v>293.3333333333353</v>
      </c>
      <c r="BI57" s="59">
        <f ca="1">AVERAGE(OFFSET($BH$3,0,0,'Données projet'!$E$11+1,1))-AVERAGE(OFFSET($H$3,0,0,'Données projet'!$E$11+1,1))</f>
        <v>149.5086927376081</v>
      </c>
      <c r="BJ57" s="59">
        <f t="shared" si="38"/>
        <v>364.59164590134498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63.070380967684272</v>
      </c>
      <c r="BQ57" s="21">
        <f>EXP(-LN(2)/25)*BQ56+(1-EXP(-LN(2)/25))/(LN(2)/25)*Calculateur!BL57*Calculateur!BN57*VLOOKUP('Données projet'!$B$11,Paramètres!$A$1:$I$89,3,0)*0.475*44/12</f>
        <v>10.028571145557203</v>
      </c>
      <c r="BR57" s="21">
        <f>EXP(-LN(2)/2)*BR56+(1-EXP(-LN(2)/2))/(LN(2)/2)*BL57*BO57*VLOOKUP('Données projet'!$B$11,Paramètres!$A$1:$I$89,3,0)*0.475*44/12</f>
        <v>1.4632125989958681E-4</v>
      </c>
      <c r="BS57" s="22">
        <f t="shared" si="9"/>
        <v>73.099098434501386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361.85685868788795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5.6843418860808015E-14</v>
      </c>
      <c r="O58" s="13">
        <f>N58*VLOOKUP('Données projet'!$B$9,Paramètres!$A$1:$I$89,3,0)*VLOOKUP('Données projet'!$B$9,Paramètres!$A$1:$I$89,5,0)</f>
        <v>3.3992364478763198E-14</v>
      </c>
      <c r="P58" s="13">
        <f t="shared" si="33"/>
        <v>5.790027782444094E-13</v>
      </c>
      <c r="Q58" s="20">
        <f t="shared" si="53"/>
        <v>1.0676332069095257E-12</v>
      </c>
      <c r="R58" s="59">
        <f t="shared" si="0"/>
        <v>293.33333333333439</v>
      </c>
      <c r="S58" s="59">
        <f ca="1">AVERAGE(OFFSET($R$3,0,0,'Données projet'!$E$9+1,1))-AVERAGE(OFFSET($H$3,0,0,'Données projet'!$E$9+1,1))</f>
        <v>153.00981126776304</v>
      </c>
      <c r="T58" s="59">
        <f t="shared" si="34"/>
        <v>309.90400623462932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68.860002315590251</v>
      </c>
      <c r="AA58" s="21">
        <f>EXP(-LN(2)/25)*AA57+(1-EXP(-LN(2)/25))/(LN(2)/25)*Calculateur!V58*Calculateur!X58*VLOOKUP('Données projet'!$B$9,Paramètres!$A$1:$I$89,3,0)*0.475*44/12</f>
        <v>10.527933418053935</v>
      </c>
      <c r="AB58" s="21">
        <f>EXP(-LN(2)/2)*AB57+(1-EXP(-LN(2)/2))/(LN(2)/2)*V58*Y58*VLOOKUP('Données projet'!$B$9,Paramètres!$A$1:$I$89,3,0)*0.475*44/12</f>
        <v>1.3474930285597392E-4</v>
      </c>
      <c r="AC58" s="22">
        <f t="shared" si="3"/>
        <v>79.388070482947043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1.1368683772161603E-13</v>
      </c>
      <c r="AJ58" s="13">
        <f>AI58*VLOOKUP('Données projet'!$B$10,Paramètres!$A$1:$I$89,3,0)*VLOOKUP('Données projet'!$B$10,Paramètres!$A$1:$I$89,5,0)</f>
        <v>6.7984728957526396E-14</v>
      </c>
      <c r="AK58" s="13">
        <f t="shared" si="35"/>
        <v>1.0682447123141398E-12</v>
      </c>
      <c r="AL58" s="20">
        <f t="shared" si="4"/>
        <v>1.978932943548152E-12</v>
      </c>
      <c r="AM58" s="59">
        <f t="shared" si="5"/>
        <v>293.3333333333353</v>
      </c>
      <c r="AN58" s="59">
        <f ca="1">AVERAGE(OFFSET($AM$3,0,0,'Données projet'!$E$10+1,1))-AVERAGE(OFFSET($H$3,0,0,'Données projet'!$E$10+1,1))</f>
        <v>149.5086927376081</v>
      </c>
      <c r="AO58" s="59">
        <f t="shared" si="36"/>
        <v>364.59164590134498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61.833609266041861</v>
      </c>
      <c r="AV58" s="21">
        <f>EXP(-LN(2)/25)*AV57+(1-EXP(-LN(2)/25))/(LN(2)/25)*Calculateur!AQ58*Calculateur!AS58*VLOOKUP('Données projet'!$B$10,Paramètres!$A$1:$I$89,3,0)*0.475*44/12</f>
        <v>9.7543393402023053</v>
      </c>
      <c r="AW58" s="21">
        <f>EXP(-LN(2)/2)*AW57+(1-EXP(-LN(2)/2))/(LN(2)/2)*AQ58*AT58*VLOOKUP('Données projet'!$B$10,Paramètres!$A$1:$I$89,3,0)*0.475*44/12</f>
        <v>1.0346475510675708E-4</v>
      </c>
      <c r="AX58" s="21">
        <f t="shared" si="6"/>
        <v>71.588052070999282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1.1368683772161603E-13</v>
      </c>
      <c r="BE58" s="13">
        <f>BD58*VLOOKUP('Données projet'!$B$11,Paramètres!$A$1:$I$89,3,0)*VLOOKUP('Données projet'!$B$11,Paramètres!$A$1:$I$89,5,0)</f>
        <v>6.7984728957526396E-14</v>
      </c>
      <c r="BF58" s="13">
        <f t="shared" si="37"/>
        <v>1.0682447123141398E-12</v>
      </c>
      <c r="BG58" s="20">
        <f t="shared" si="7"/>
        <v>1.978932943548152E-12</v>
      </c>
      <c r="BH58" s="59">
        <f t="shared" si="8"/>
        <v>293.3333333333353</v>
      </c>
      <c r="BI58" s="59">
        <f ca="1">AVERAGE(OFFSET($BH$3,0,0,'Données projet'!$E$11+1,1))-AVERAGE(OFFSET($H$3,0,0,'Données projet'!$E$11+1,1))</f>
        <v>149.5086927376081</v>
      </c>
      <c r="BJ58" s="59">
        <f t="shared" si="38"/>
        <v>364.59164590134498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61.833609266041861</v>
      </c>
      <c r="BQ58" s="21">
        <f>EXP(-LN(2)/25)*BQ57+(1-EXP(-LN(2)/25))/(LN(2)/25)*Calculateur!BL58*Calculateur!BN58*VLOOKUP('Données projet'!$B$11,Paramètres!$A$1:$I$89,3,0)*0.475*44/12</f>
        <v>9.7543393402023053</v>
      </c>
      <c r="BR58" s="21">
        <f>EXP(-LN(2)/2)*BR57+(1-EXP(-LN(2)/2))/(LN(2)/2)*BL58*BO58*VLOOKUP('Données projet'!$B$11,Paramètres!$A$1:$I$89,3,0)*0.475*44/12</f>
        <v>1.0346475510675708E-4</v>
      </c>
      <c r="BS58" s="22">
        <f t="shared" si="9"/>
        <v>71.588052070999282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363.068136933387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5.6843418860808015E-14</v>
      </c>
      <c r="O59" s="13">
        <f>N59*VLOOKUP('Données projet'!$B$9,Paramètres!$A$1:$I$89,3,0)*VLOOKUP('Données projet'!$B$9,Paramètres!$A$1:$I$89,5,0)</f>
        <v>3.3992364478763198E-14</v>
      </c>
      <c r="P59" s="13">
        <f t="shared" si="33"/>
        <v>5.790027782444094E-13</v>
      </c>
      <c r="Q59" s="20">
        <f t="shared" si="53"/>
        <v>1.0676332069095257E-12</v>
      </c>
      <c r="R59" s="59">
        <f t="shared" si="0"/>
        <v>293.33333333333439</v>
      </c>
      <c r="S59" s="59">
        <f ca="1">AVERAGE(OFFSET($R$3,0,0,'Données projet'!$E$9+1,1))-AVERAGE(OFFSET($H$3,0,0,'Données projet'!$E$9+1,1))</f>
        <v>153.00981126776304</v>
      </c>
      <c r="T59" s="59">
        <f t="shared" si="34"/>
        <v>309.90400623462932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67.50969967063574</v>
      </c>
      <c r="AA59" s="21">
        <f>EXP(-LN(2)/25)*AA58+(1-EXP(-LN(2)/25))/(LN(2)/25)*Calculateur!V59*Calculateur!X59*VLOOKUP('Données projet'!$B$9,Paramètres!$A$1:$I$89,3,0)*0.475*44/12</f>
        <v>10.240046525097293</v>
      </c>
      <c r="AB59" s="21">
        <f>EXP(-LN(2)/2)*AB58+(1-EXP(-LN(2)/2))/(LN(2)/2)*V59*Y59*VLOOKUP('Données projet'!$B$9,Paramètres!$A$1:$I$89,3,0)*0.475*44/12</f>
        <v>9.5282145809618977E-5</v>
      </c>
      <c r="AC59" s="22">
        <f t="shared" si="3"/>
        <v>77.749841477878846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1.1368683772161603E-13</v>
      </c>
      <c r="AJ59" s="13">
        <f>AI59*VLOOKUP('Données projet'!$B$10,Paramètres!$A$1:$I$89,3,0)*VLOOKUP('Données projet'!$B$10,Paramètres!$A$1:$I$89,5,0)</f>
        <v>6.7984728957526396E-14</v>
      </c>
      <c r="AK59" s="13">
        <f t="shared" si="35"/>
        <v>1.0682447123141398E-12</v>
      </c>
      <c r="AL59" s="20">
        <f t="shared" si="4"/>
        <v>1.978932943548152E-12</v>
      </c>
      <c r="AM59" s="59">
        <f t="shared" si="5"/>
        <v>293.3333333333353</v>
      </c>
      <c r="AN59" s="59">
        <f ca="1">AVERAGE(OFFSET($AM$3,0,0,'Données projet'!$E$10+1,1))-AVERAGE(OFFSET($H$3,0,0,'Données projet'!$E$10+1,1))</f>
        <v>149.5086927376081</v>
      </c>
      <c r="AO59" s="59">
        <f t="shared" si="36"/>
        <v>364.59164590134498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60.621089903112406</v>
      </c>
      <c r="AV59" s="21">
        <f>EXP(-LN(2)/25)*AV58+(1-EXP(-LN(2)/25))/(LN(2)/25)*Calculateur!AQ59*Calculateur!AS59*VLOOKUP('Données projet'!$B$10,Paramètres!$A$1:$I$89,3,0)*0.475*44/12</f>
        <v>9.4876064179860613</v>
      </c>
      <c r="AW59" s="21">
        <f>EXP(-LN(2)/2)*AW58+(1-EXP(-LN(2)/2))/(LN(2)/2)*AQ59*AT59*VLOOKUP('Données projet'!$B$10,Paramètres!$A$1:$I$89,3,0)*0.475*44/12</f>
        <v>7.3160629949793404E-5</v>
      </c>
      <c r="AX59" s="21">
        <f t="shared" si="6"/>
        <v>70.108769481728416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1.1368683772161603E-13</v>
      </c>
      <c r="BE59" s="13">
        <f>BD59*VLOOKUP('Données projet'!$B$11,Paramètres!$A$1:$I$89,3,0)*VLOOKUP('Données projet'!$B$11,Paramètres!$A$1:$I$89,5,0)</f>
        <v>6.7984728957526396E-14</v>
      </c>
      <c r="BF59" s="13">
        <f t="shared" si="37"/>
        <v>1.0682447123141398E-12</v>
      </c>
      <c r="BG59" s="20">
        <f t="shared" si="7"/>
        <v>1.978932943548152E-12</v>
      </c>
      <c r="BH59" s="59">
        <f t="shared" si="8"/>
        <v>293.3333333333353</v>
      </c>
      <c r="BI59" s="59">
        <f ca="1">AVERAGE(OFFSET($BH$3,0,0,'Données projet'!$E$11+1,1))-AVERAGE(OFFSET($H$3,0,0,'Données projet'!$E$11+1,1))</f>
        <v>149.5086927376081</v>
      </c>
      <c r="BJ59" s="59">
        <f t="shared" si="38"/>
        <v>364.59164590134498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60.621089903112406</v>
      </c>
      <c r="BQ59" s="21">
        <f>EXP(-LN(2)/25)*BQ58+(1-EXP(-LN(2)/25))/(LN(2)/25)*Calculateur!BL59*Calculateur!BN59*VLOOKUP('Données projet'!$B$11,Paramètres!$A$1:$I$89,3,0)*0.475*44/12</f>
        <v>9.4876064179860613</v>
      </c>
      <c r="BR59" s="21">
        <f>EXP(-LN(2)/2)*BR58+(1-EXP(-LN(2)/2))/(LN(2)/2)*BL59*BO59*VLOOKUP('Données projet'!$B$11,Paramètres!$A$1:$I$89,3,0)*0.475*44/12</f>
        <v>7.3160629949793404E-5</v>
      </c>
      <c r="BS59" s="22">
        <f t="shared" si="9"/>
        <v>70.108769481728416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364.27887459963966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5.6843418860808015E-14</v>
      </c>
      <c r="O60" s="13">
        <f>N60*VLOOKUP('Données projet'!$B$9,Paramètres!$A$1:$I$89,3,0)*VLOOKUP('Données projet'!$B$9,Paramètres!$A$1:$I$89,5,0)</f>
        <v>3.3992364478763198E-14</v>
      </c>
      <c r="P60" s="13">
        <f t="shared" si="33"/>
        <v>5.790027782444094E-13</v>
      </c>
      <c r="Q60" s="20">
        <f t="shared" si="53"/>
        <v>1.0676332069095257E-12</v>
      </c>
      <c r="R60" s="59">
        <f t="shared" si="0"/>
        <v>293.33333333333439</v>
      </c>
      <c r="S60" s="59">
        <f ca="1">AVERAGE(OFFSET($R$3,0,0,'Données projet'!$E$9+1,1))-AVERAGE(OFFSET($H$3,0,0,'Données projet'!$E$9+1,1))</f>
        <v>153.00981126776304</v>
      </c>
      <c r="T60" s="59">
        <f t="shared" si="34"/>
        <v>309.90400623462932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66.185875636945497</v>
      </c>
      <c r="AA60" s="21">
        <f>EXP(-LN(2)/25)*AA59+(1-EXP(-LN(2)/25))/(LN(2)/25)*Calculateur!V60*Calculateur!X60*VLOOKUP('Données projet'!$B$9,Paramètres!$A$1:$I$89,3,0)*0.475*44/12</f>
        <v>9.9600319143678657</v>
      </c>
      <c r="AB60" s="21">
        <f>EXP(-LN(2)/2)*AB59+(1-EXP(-LN(2)/2))/(LN(2)/2)*V60*Y60*VLOOKUP('Données projet'!$B$9,Paramètres!$A$1:$I$89,3,0)*0.475*44/12</f>
        <v>6.7374651427986961E-5</v>
      </c>
      <c r="AC60" s="22">
        <f t="shared" si="3"/>
        <v>76.145974925964779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1.1368683772161603E-13</v>
      </c>
      <c r="AJ60" s="13">
        <f>AI60*VLOOKUP('Données projet'!$B$10,Paramètres!$A$1:$I$89,3,0)*VLOOKUP('Données projet'!$B$10,Paramètres!$A$1:$I$89,5,0)</f>
        <v>6.7984728957526396E-14</v>
      </c>
      <c r="AK60" s="13">
        <f t="shared" si="35"/>
        <v>1.0682447123141398E-12</v>
      </c>
      <c r="AL60" s="20">
        <f t="shared" si="4"/>
        <v>1.978932943548152E-12</v>
      </c>
      <c r="AM60" s="59">
        <f t="shared" si="5"/>
        <v>293.3333333333353</v>
      </c>
      <c r="AN60" s="59">
        <f ca="1">AVERAGE(OFFSET($AM$3,0,0,'Données projet'!$E$10+1,1))-AVERAGE(OFFSET($H$3,0,0,'Données projet'!$E$10+1,1))</f>
        <v>149.5086927376081</v>
      </c>
      <c r="AO60" s="59">
        <f t="shared" si="36"/>
        <v>364.59164590134498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59.432347305326211</v>
      </c>
      <c r="AV60" s="21">
        <f>EXP(-LN(2)/25)*AV59+(1-EXP(-LN(2)/25))/(LN(2)/25)*Calculateur!AQ60*Calculateur!AS60*VLOOKUP('Données projet'!$B$10,Paramètres!$A$1:$I$89,3,0)*0.475*44/12</f>
        <v>9.2281673215546949</v>
      </c>
      <c r="AW60" s="21">
        <f>EXP(-LN(2)/2)*AW59+(1-EXP(-LN(2)/2))/(LN(2)/2)*AQ60*AT60*VLOOKUP('Données projet'!$B$10,Paramètres!$A$1:$I$89,3,0)*0.475*44/12</f>
        <v>5.173237755337854E-5</v>
      </c>
      <c r="AX60" s="21">
        <f t="shared" si="6"/>
        <v>68.660566359258468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1.1368683772161603E-13</v>
      </c>
      <c r="BE60" s="13">
        <f>BD60*VLOOKUP('Données projet'!$B$11,Paramètres!$A$1:$I$89,3,0)*VLOOKUP('Données projet'!$B$11,Paramètres!$A$1:$I$89,5,0)</f>
        <v>6.7984728957526396E-14</v>
      </c>
      <c r="BF60" s="13">
        <f t="shared" si="37"/>
        <v>1.0682447123141398E-12</v>
      </c>
      <c r="BG60" s="20">
        <f t="shared" si="7"/>
        <v>1.978932943548152E-12</v>
      </c>
      <c r="BH60" s="59">
        <f t="shared" si="8"/>
        <v>293.3333333333353</v>
      </c>
      <c r="BI60" s="59">
        <f ca="1">AVERAGE(OFFSET($BH$3,0,0,'Données projet'!$E$11+1,1))-AVERAGE(OFFSET($H$3,0,0,'Données projet'!$E$11+1,1))</f>
        <v>149.5086927376081</v>
      </c>
      <c r="BJ60" s="59">
        <f t="shared" si="38"/>
        <v>364.59164590134498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59.432347305326211</v>
      </c>
      <c r="BQ60" s="21">
        <f>EXP(-LN(2)/25)*BQ59+(1-EXP(-LN(2)/25))/(LN(2)/25)*Calculateur!BL60*Calculateur!BN60*VLOOKUP('Données projet'!$B$11,Paramètres!$A$1:$I$89,3,0)*0.475*44/12</f>
        <v>9.2281673215546949</v>
      </c>
      <c r="BR60" s="21">
        <f>EXP(-LN(2)/2)*BR59+(1-EXP(-LN(2)/2))/(LN(2)/2)*BL60*BO60*VLOOKUP('Données projet'!$B$11,Paramètres!$A$1:$I$89,3,0)*0.475*44/12</f>
        <v>5.173237755337854E-5</v>
      </c>
      <c r="BS60" s="22">
        <f t="shared" si="9"/>
        <v>68.660566359258468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365.48908226470269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5.6843418860808015E-14</v>
      </c>
      <c r="O61" s="13">
        <f>N61*VLOOKUP('Données projet'!$B$9,Paramètres!$A$1:$I$89,3,0)*VLOOKUP('Données projet'!$B$9,Paramètres!$A$1:$I$89,5,0)</f>
        <v>3.3992364478763198E-14</v>
      </c>
      <c r="P61" s="13">
        <f t="shared" si="33"/>
        <v>5.790027782444094E-13</v>
      </c>
      <c r="Q61" s="20">
        <f t="shared" si="53"/>
        <v>1.0676332069095257E-12</v>
      </c>
      <c r="R61" s="59">
        <f t="shared" si="0"/>
        <v>293.33333333333439</v>
      </c>
      <c r="S61" s="59">
        <f ca="1">AVERAGE(OFFSET($R$3,0,0,'Données projet'!$E$9+1,1))-AVERAGE(OFFSET($H$3,0,0,'Données projet'!$E$9+1,1))</f>
        <v>153.00981126776304</v>
      </c>
      <c r="T61" s="59">
        <f t="shared" si="34"/>
        <v>309.90400623462932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64.88801098510298</v>
      </c>
      <c r="AA61" s="21">
        <f>EXP(-LN(2)/25)*AA60+(1-EXP(-LN(2)/25))/(LN(2)/25)*Calculateur!V61*Calculateur!X61*VLOOKUP('Données projet'!$B$9,Paramètres!$A$1:$I$89,3,0)*0.475*44/12</f>
        <v>9.687674317894162</v>
      </c>
      <c r="AB61" s="21">
        <f>EXP(-LN(2)/2)*AB60+(1-EXP(-LN(2)/2))/(LN(2)/2)*V61*Y61*VLOOKUP('Données projet'!$B$9,Paramètres!$A$1:$I$89,3,0)*0.475*44/12</f>
        <v>4.7641072904809488E-5</v>
      </c>
      <c r="AC61" s="22">
        <f t="shared" si="3"/>
        <v>74.575732944070054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1.1368683772161603E-13</v>
      </c>
      <c r="AJ61" s="13">
        <f>AI61*VLOOKUP('Données projet'!$B$10,Paramètres!$A$1:$I$89,3,0)*VLOOKUP('Données projet'!$B$10,Paramètres!$A$1:$I$89,5,0)</f>
        <v>6.7984728957526396E-14</v>
      </c>
      <c r="AK61" s="13">
        <f t="shared" si="35"/>
        <v>1.0682447123141398E-12</v>
      </c>
      <c r="AL61" s="20">
        <f t="shared" si="4"/>
        <v>1.978932943548152E-12</v>
      </c>
      <c r="AM61" s="59">
        <f t="shared" si="5"/>
        <v>293.3333333333353</v>
      </c>
      <c r="AN61" s="59">
        <f ca="1">AVERAGE(OFFSET($AM$3,0,0,'Données projet'!$E$10+1,1))-AVERAGE(OFFSET($H$3,0,0,'Données projet'!$E$10+1,1))</f>
        <v>149.5086927376081</v>
      </c>
      <c r="AO61" s="59">
        <f t="shared" si="36"/>
        <v>364.59164590134498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58.266915224821211</v>
      </c>
      <c r="AV61" s="21">
        <f>EXP(-LN(2)/25)*AV60+(1-EXP(-LN(2)/25))/(LN(2)/25)*Calculateur!AQ61*Calculateur!AS61*VLOOKUP('Données projet'!$B$10,Paramètres!$A$1:$I$89,3,0)*0.475*44/12</f>
        <v>8.9758226008585531</v>
      </c>
      <c r="AW61" s="21">
        <f>EXP(-LN(2)/2)*AW60+(1-EXP(-LN(2)/2))/(LN(2)/2)*AQ61*AT61*VLOOKUP('Données projet'!$B$10,Paramètres!$A$1:$I$89,3,0)*0.475*44/12</f>
        <v>3.6580314974896702E-5</v>
      </c>
      <c r="AX61" s="21">
        <f t="shared" si="6"/>
        <v>67.242774405994737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1.1368683772161603E-13</v>
      </c>
      <c r="BE61" s="13">
        <f>BD61*VLOOKUP('Données projet'!$B$11,Paramètres!$A$1:$I$89,3,0)*VLOOKUP('Données projet'!$B$11,Paramètres!$A$1:$I$89,5,0)</f>
        <v>6.7984728957526396E-14</v>
      </c>
      <c r="BF61" s="13">
        <f t="shared" si="37"/>
        <v>1.0682447123141398E-12</v>
      </c>
      <c r="BG61" s="20">
        <f t="shared" si="7"/>
        <v>1.978932943548152E-12</v>
      </c>
      <c r="BH61" s="59">
        <f t="shared" si="8"/>
        <v>293.3333333333353</v>
      </c>
      <c r="BI61" s="59">
        <f ca="1">AVERAGE(OFFSET($BH$3,0,0,'Données projet'!$E$11+1,1))-AVERAGE(OFFSET($H$3,0,0,'Données projet'!$E$11+1,1))</f>
        <v>149.5086927376081</v>
      </c>
      <c r="BJ61" s="59">
        <f t="shared" si="38"/>
        <v>364.59164590134498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58.266915224821211</v>
      </c>
      <c r="BQ61" s="21">
        <f>EXP(-LN(2)/25)*BQ60+(1-EXP(-LN(2)/25))/(LN(2)/25)*Calculateur!BL61*Calculateur!BN61*VLOOKUP('Données projet'!$B$11,Paramètres!$A$1:$I$89,3,0)*0.475*44/12</f>
        <v>8.9758226008585531</v>
      </c>
      <c r="BR61" s="21">
        <f>EXP(-LN(2)/2)*BR60+(1-EXP(-LN(2)/2))/(LN(2)/2)*BL61*BO61*VLOOKUP('Données projet'!$B$11,Paramètres!$A$1:$I$89,3,0)*0.475*44/12</f>
        <v>3.6580314974896702E-5</v>
      </c>
      <c r="BS61" s="22">
        <f t="shared" si="9"/>
        <v>67.242774405994737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366.69877012097305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5.6843418860808015E-14</v>
      </c>
      <c r="O62" s="13">
        <f>N62*VLOOKUP('Données projet'!$B$9,Paramètres!$A$1:$I$89,3,0)*VLOOKUP('Données projet'!$B$9,Paramètres!$A$1:$I$89,5,0)</f>
        <v>3.3992364478763198E-14</v>
      </c>
      <c r="P62" s="13">
        <f t="shared" si="33"/>
        <v>5.790027782444094E-13</v>
      </c>
      <c r="Q62" s="20">
        <f t="shared" si="53"/>
        <v>1.0676332069095257E-12</v>
      </c>
      <c r="R62" s="59">
        <f t="shared" si="0"/>
        <v>293.33333333333439</v>
      </c>
      <c r="S62" s="59">
        <f ca="1">AVERAGE(OFFSET($R$3,0,0,'Données projet'!$E$9+1,1))-AVERAGE(OFFSET($H$3,0,0,'Données projet'!$E$9+1,1))</f>
        <v>153.00981126776304</v>
      </c>
      <c r="T62" s="59">
        <f t="shared" si="34"/>
        <v>309.90400623462932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63.615596667463834</v>
      </c>
      <c r="AA62" s="21">
        <f>EXP(-LN(2)/25)*AA61+(1-EXP(-LN(2)/25))/(LN(2)/25)*Calculateur!V62*Calculateur!X62*VLOOKUP('Données projet'!$B$9,Paramètres!$A$1:$I$89,3,0)*0.475*44/12</f>
        <v>9.4227643542186961</v>
      </c>
      <c r="AB62" s="21">
        <f>EXP(-LN(2)/2)*AB61+(1-EXP(-LN(2)/2))/(LN(2)/2)*V62*Y62*VLOOKUP('Données projet'!$B$9,Paramètres!$A$1:$I$89,3,0)*0.475*44/12</f>
        <v>3.368732571399348E-5</v>
      </c>
      <c r="AC62" s="22">
        <f t="shared" si="3"/>
        <v>73.038394709008244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1.1368683772161603E-13</v>
      </c>
      <c r="AJ62" s="13">
        <f>AI62*VLOOKUP('Données projet'!$B$10,Paramètres!$A$1:$I$89,3,0)*VLOOKUP('Données projet'!$B$10,Paramètres!$A$1:$I$89,5,0)</f>
        <v>6.7984728957526396E-14</v>
      </c>
      <c r="AK62" s="13">
        <f t="shared" si="35"/>
        <v>1.0682447123141398E-12</v>
      </c>
      <c r="AL62" s="20">
        <f t="shared" si="4"/>
        <v>1.978932943548152E-12</v>
      </c>
      <c r="AM62" s="59">
        <f t="shared" si="5"/>
        <v>293.3333333333353</v>
      </c>
      <c r="AN62" s="59">
        <f ca="1">AVERAGE(OFFSET($AM$3,0,0,'Données projet'!$E$10+1,1))-AVERAGE(OFFSET($H$3,0,0,'Données projet'!$E$10+1,1))</f>
        <v>149.5086927376081</v>
      </c>
      <c r="AO62" s="59">
        <f t="shared" si="36"/>
        <v>364.59164590134498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57.124336556571542</v>
      </c>
      <c r="AV62" s="21">
        <f>EXP(-LN(2)/25)*AV61+(1-EXP(-LN(2)/25))/(LN(2)/25)*Calculateur!AQ62*Calculateur!AS62*VLOOKUP('Données projet'!$B$10,Paramètres!$A$1:$I$89,3,0)*0.475*44/12</f>
        <v>8.7303782598200801</v>
      </c>
      <c r="AW62" s="21">
        <f>EXP(-LN(2)/2)*AW61+(1-EXP(-LN(2)/2))/(LN(2)/2)*AQ62*AT62*VLOOKUP('Données projet'!$B$10,Paramètres!$A$1:$I$89,3,0)*0.475*44/12</f>
        <v>2.586618877668927E-5</v>
      </c>
      <c r="AX62" s="21">
        <f t="shared" si="6"/>
        <v>65.854740682580399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1.1368683772161603E-13</v>
      </c>
      <c r="BE62" s="13">
        <f>BD62*VLOOKUP('Données projet'!$B$11,Paramètres!$A$1:$I$89,3,0)*VLOOKUP('Données projet'!$B$11,Paramètres!$A$1:$I$89,5,0)</f>
        <v>6.7984728957526396E-14</v>
      </c>
      <c r="BF62" s="13">
        <f t="shared" si="37"/>
        <v>1.0682447123141398E-12</v>
      </c>
      <c r="BG62" s="20">
        <f t="shared" si="7"/>
        <v>1.978932943548152E-12</v>
      </c>
      <c r="BH62" s="59">
        <f t="shared" si="8"/>
        <v>293.3333333333353</v>
      </c>
      <c r="BI62" s="59">
        <f ca="1">AVERAGE(OFFSET($BH$3,0,0,'Données projet'!$E$11+1,1))-AVERAGE(OFFSET($H$3,0,0,'Données projet'!$E$11+1,1))</f>
        <v>149.5086927376081</v>
      </c>
      <c r="BJ62" s="59">
        <f t="shared" si="38"/>
        <v>364.59164590134498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57.124336556571542</v>
      </c>
      <c r="BQ62" s="21">
        <f>EXP(-LN(2)/25)*BQ61+(1-EXP(-LN(2)/25))/(LN(2)/25)*Calculateur!BL62*Calculateur!BN62*VLOOKUP('Données projet'!$B$11,Paramètres!$A$1:$I$89,3,0)*0.475*44/12</f>
        <v>8.7303782598200801</v>
      </c>
      <c r="BR62" s="21">
        <f>EXP(-LN(2)/2)*BR61+(1-EXP(-LN(2)/2))/(LN(2)/2)*BL62*BO62*VLOOKUP('Données projet'!$B$11,Paramètres!$A$1:$I$89,3,0)*0.475*44/12</f>
        <v>2.586618877668927E-5</v>
      </c>
      <c r="BS62" s="22">
        <f t="shared" si="9"/>
        <v>65.854740682580399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367.90794799554254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5.6843418860808015E-14</v>
      </c>
      <c r="O63" s="13">
        <f>N63*VLOOKUP('Données projet'!$B$9,Paramètres!$A$1:$I$89,3,0)*VLOOKUP('Données projet'!$B$9,Paramètres!$A$1:$I$89,5,0)</f>
        <v>3.3992364478763198E-14</v>
      </c>
      <c r="P63" s="13">
        <f t="shared" si="33"/>
        <v>5.790027782444094E-13</v>
      </c>
      <c r="Q63" s="20">
        <f t="shared" si="53"/>
        <v>1.0676332069095257E-12</v>
      </c>
      <c r="R63" s="59">
        <f t="shared" si="0"/>
        <v>293.33333333333439</v>
      </c>
      <c r="S63" s="59">
        <f ca="1">AVERAGE(OFFSET($R$3,0,0,'Données projet'!$E$9+1,1))-AVERAGE(OFFSET($H$3,0,0,'Données projet'!$E$9+1,1))</f>
        <v>153.00981126776304</v>
      </c>
      <c r="T63" s="59">
        <f t="shared" si="34"/>
        <v>309.90400623462932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62.368133618497488</v>
      </c>
      <c r="AA63" s="21">
        <f>EXP(-LN(2)/25)*AA62+(1-EXP(-LN(2)/25))/(LN(2)/25)*Calculateur!V63*Calculateur!X63*VLOOKUP('Données projet'!$B$9,Paramètres!$A$1:$I$89,3,0)*0.475*44/12</f>
        <v>9.1650983674309447</v>
      </c>
      <c r="AB63" s="21">
        <f>EXP(-LN(2)/2)*AB62+(1-EXP(-LN(2)/2))/(LN(2)/2)*V63*Y63*VLOOKUP('Données projet'!$B$9,Paramètres!$A$1:$I$89,3,0)*0.475*44/12</f>
        <v>2.3820536452404744E-5</v>
      </c>
      <c r="AC63" s="22">
        <f t="shared" si="3"/>
        <v>71.533255806464894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1.1368683772161603E-13</v>
      </c>
      <c r="AJ63" s="13">
        <f>AI63*VLOOKUP('Données projet'!$B$10,Paramètres!$A$1:$I$89,3,0)*VLOOKUP('Données projet'!$B$10,Paramètres!$A$1:$I$89,5,0)</f>
        <v>6.7984728957526396E-14</v>
      </c>
      <c r="AK63" s="13">
        <f t="shared" si="35"/>
        <v>1.0682447123141398E-12</v>
      </c>
      <c r="AL63" s="20">
        <f t="shared" si="4"/>
        <v>1.978932943548152E-12</v>
      </c>
      <c r="AM63" s="59">
        <f t="shared" si="5"/>
        <v>293.3333333333353</v>
      </c>
      <c r="AN63" s="59">
        <f ca="1">AVERAGE(OFFSET($AM$3,0,0,'Données projet'!$E$10+1,1))-AVERAGE(OFFSET($H$3,0,0,'Données projet'!$E$10+1,1))</f>
        <v>149.5086927376081</v>
      </c>
      <c r="AO63" s="59">
        <f t="shared" si="36"/>
        <v>364.59164590134498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56.00416315910207</v>
      </c>
      <c r="AV63" s="21">
        <f>EXP(-LN(2)/25)*AV62+(1-EXP(-LN(2)/25))/(LN(2)/25)*Calculateur!AQ63*Calculateur!AS63*VLOOKUP('Données projet'!$B$10,Paramètres!$A$1:$I$89,3,0)*0.475*44/12</f>
        <v>8.4916456071946609</v>
      </c>
      <c r="AW63" s="21">
        <f>EXP(-LN(2)/2)*AW62+(1-EXP(-LN(2)/2))/(LN(2)/2)*AQ63*AT63*VLOOKUP('Données projet'!$B$10,Paramètres!$A$1:$I$89,3,0)*0.475*44/12</f>
        <v>1.8290157487448351E-5</v>
      </c>
      <c r="AX63" s="21">
        <f t="shared" si="6"/>
        <v>64.495827056454218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1.1368683772161603E-13</v>
      </c>
      <c r="BE63" s="13">
        <f>BD63*VLOOKUP('Données projet'!$B$11,Paramètres!$A$1:$I$89,3,0)*VLOOKUP('Données projet'!$B$11,Paramètres!$A$1:$I$89,5,0)</f>
        <v>6.7984728957526396E-14</v>
      </c>
      <c r="BF63" s="13">
        <f t="shared" si="37"/>
        <v>1.0682447123141398E-12</v>
      </c>
      <c r="BG63" s="20">
        <f t="shared" si="7"/>
        <v>1.978932943548152E-12</v>
      </c>
      <c r="BH63" s="59">
        <f t="shared" si="8"/>
        <v>293.3333333333353</v>
      </c>
      <c r="BI63" s="59">
        <f ca="1">AVERAGE(OFFSET($BH$3,0,0,'Données projet'!$E$11+1,1))-AVERAGE(OFFSET($H$3,0,0,'Données projet'!$E$11+1,1))</f>
        <v>149.5086927376081</v>
      </c>
      <c r="BJ63" s="59">
        <f t="shared" si="38"/>
        <v>364.59164590134498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56.00416315910207</v>
      </c>
      <c r="BQ63" s="21">
        <f>EXP(-LN(2)/25)*BQ62+(1-EXP(-LN(2)/25))/(LN(2)/25)*Calculateur!BL63*Calculateur!BN63*VLOOKUP('Données projet'!$B$11,Paramètres!$A$1:$I$89,3,0)*0.475*44/12</f>
        <v>8.4916456071946609</v>
      </c>
      <c r="BR63" s="21">
        <f>EXP(-LN(2)/2)*BR62+(1-EXP(-LN(2)/2))/(LN(2)/2)*BL63*BO63*VLOOKUP('Données projet'!$B$11,Paramètres!$A$1:$I$89,3,0)*0.475*44/12</f>
        <v>1.8290157487448351E-5</v>
      </c>
      <c r="BS63" s="22">
        <f t="shared" si="9"/>
        <v>64.495827056454218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369.11662536915674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5.6843418860808015E-14</v>
      </c>
      <c r="O64" s="13">
        <f>N64*VLOOKUP('Données projet'!$B$9,Paramètres!$A$1:$I$89,3,0)*VLOOKUP('Données projet'!$B$9,Paramètres!$A$1:$I$89,5,0)</f>
        <v>3.3992364478763198E-14</v>
      </c>
      <c r="P64" s="13">
        <f t="shared" si="33"/>
        <v>5.790027782444094E-13</v>
      </c>
      <c r="Q64" s="20">
        <f t="shared" si="53"/>
        <v>1.0676332069095257E-12</v>
      </c>
      <c r="R64" s="59">
        <f t="shared" si="0"/>
        <v>293.33333333333439</v>
      </c>
      <c r="S64" s="59">
        <f ca="1">AVERAGE(OFFSET($R$3,0,0,'Données projet'!$E$9+1,1))-AVERAGE(OFFSET($H$3,0,0,'Données projet'!$E$9+1,1))</f>
        <v>153.00981126776304</v>
      </c>
      <c r="T64" s="59">
        <f t="shared" si="34"/>
        <v>309.90400623462932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61.145132559044043</v>
      </c>
      <c r="AA64" s="21">
        <f>EXP(-LN(2)/25)*AA63+(1-EXP(-LN(2)/25))/(LN(2)/25)*Calculateur!V64*Calculateur!X64*VLOOKUP('Données projet'!$B$9,Paramètres!$A$1:$I$89,3,0)*0.475*44/12</f>
        <v>8.9144782706019701</v>
      </c>
      <c r="AB64" s="21">
        <f>EXP(-LN(2)/2)*AB63+(1-EXP(-LN(2)/2))/(LN(2)/2)*V64*Y64*VLOOKUP('Données projet'!$B$9,Paramètres!$A$1:$I$89,3,0)*0.475*44/12</f>
        <v>1.684366285699674E-5</v>
      </c>
      <c r="AC64" s="22">
        <f t="shared" si="3"/>
        <v>70.059627673308881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1.1368683772161603E-13</v>
      </c>
      <c r="AJ64" s="13">
        <f>AI64*VLOOKUP('Données projet'!$B$10,Paramètres!$A$1:$I$89,3,0)*VLOOKUP('Données projet'!$B$10,Paramètres!$A$1:$I$89,5,0)</f>
        <v>6.7984728957526396E-14</v>
      </c>
      <c r="AK64" s="13">
        <f t="shared" si="35"/>
        <v>1.0682447123141398E-12</v>
      </c>
      <c r="AL64" s="20">
        <f t="shared" si="4"/>
        <v>1.978932943548152E-12</v>
      </c>
      <c r="AM64" s="59">
        <f t="shared" si="5"/>
        <v>293.3333333333353</v>
      </c>
      <c r="AN64" s="59">
        <f ca="1">AVERAGE(OFFSET($AM$3,0,0,'Données projet'!$E$10+1,1))-AVERAGE(OFFSET($H$3,0,0,'Données projet'!$E$10+1,1))</f>
        <v>149.5086927376081</v>
      </c>
      <c r="AO64" s="59">
        <f t="shared" si="36"/>
        <v>364.59164590134498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54.905955678718669</v>
      </c>
      <c r="AV64" s="21">
        <f>EXP(-LN(2)/25)*AV63+(1-EXP(-LN(2)/25))/(LN(2)/25)*Calculateur!AQ64*Calculateur!AS64*VLOOKUP('Données projet'!$B$10,Paramètres!$A$1:$I$89,3,0)*0.475*44/12</f>
        <v>8.2594411115096875</v>
      </c>
      <c r="AW64" s="21">
        <f>EXP(-LN(2)/2)*AW63+(1-EXP(-LN(2)/2))/(LN(2)/2)*AQ64*AT64*VLOOKUP('Données projet'!$B$10,Paramètres!$A$1:$I$89,3,0)*0.475*44/12</f>
        <v>1.2933094388344635E-5</v>
      </c>
      <c r="AX64" s="21">
        <f t="shared" si="6"/>
        <v>63.165409723322746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1.1368683772161603E-13</v>
      </c>
      <c r="BE64" s="13">
        <f>BD64*VLOOKUP('Données projet'!$B$11,Paramètres!$A$1:$I$89,3,0)*VLOOKUP('Données projet'!$B$11,Paramètres!$A$1:$I$89,5,0)</f>
        <v>6.7984728957526396E-14</v>
      </c>
      <c r="BF64" s="13">
        <f t="shared" si="37"/>
        <v>1.0682447123141398E-12</v>
      </c>
      <c r="BG64" s="20">
        <f t="shared" si="7"/>
        <v>1.978932943548152E-12</v>
      </c>
      <c r="BH64" s="59">
        <f t="shared" si="8"/>
        <v>293.3333333333353</v>
      </c>
      <c r="BI64" s="59">
        <f ca="1">AVERAGE(OFFSET($BH$3,0,0,'Données projet'!$E$11+1,1))-AVERAGE(OFFSET($H$3,0,0,'Données projet'!$E$11+1,1))</f>
        <v>149.5086927376081</v>
      </c>
      <c r="BJ64" s="59">
        <f t="shared" si="38"/>
        <v>364.59164590134498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54.905955678718669</v>
      </c>
      <c r="BQ64" s="21">
        <f>EXP(-LN(2)/25)*BQ63+(1-EXP(-LN(2)/25))/(LN(2)/25)*Calculateur!BL64*Calculateur!BN64*VLOOKUP('Données projet'!$B$11,Paramètres!$A$1:$I$89,3,0)*0.475*44/12</f>
        <v>8.2594411115096875</v>
      </c>
      <c r="BR64" s="21">
        <f>EXP(-LN(2)/2)*BR63+(1-EXP(-LN(2)/2))/(LN(2)/2)*BL64*BO64*VLOOKUP('Données projet'!$B$11,Paramètres!$A$1:$I$89,3,0)*0.475*44/12</f>
        <v>1.2933094388344635E-5</v>
      </c>
      <c r="BS64" s="22">
        <f t="shared" si="9"/>
        <v>63.165409723322746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370.32481139389552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5.6843418860808015E-14</v>
      </c>
      <c r="O65" s="13">
        <f>N65*VLOOKUP('Données projet'!$B$9,Paramètres!$A$1:$I$89,3,0)*VLOOKUP('Données projet'!$B$9,Paramètres!$A$1:$I$89,5,0)</f>
        <v>3.3992364478763198E-14</v>
      </c>
      <c r="P65" s="13">
        <f t="shared" si="33"/>
        <v>5.790027782444094E-13</v>
      </c>
      <c r="Q65" s="20">
        <f t="shared" si="53"/>
        <v>1.0676332069095257E-12</v>
      </c>
      <c r="R65" s="59">
        <f t="shared" si="0"/>
        <v>293.33333333333439</v>
      </c>
      <c r="S65" s="59">
        <f ca="1">AVERAGE(OFFSET($R$3,0,0,'Données projet'!$E$9+1,1))-AVERAGE(OFFSET($H$3,0,0,'Données projet'!$E$9+1,1))</f>
        <v>153.00981126776304</v>
      </c>
      <c r="T65" s="59">
        <f t="shared" si="34"/>
        <v>309.90400623462932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59.946113804409492</v>
      </c>
      <c r="AA65" s="21">
        <f>EXP(-LN(2)/25)*AA64+(1-EXP(-LN(2)/25))/(LN(2)/25)*Calculateur!V65*Calculateur!X65*VLOOKUP('Données projet'!$B$9,Paramètres!$A$1:$I$89,3,0)*0.475*44/12</f>
        <v>8.6707113935003211</v>
      </c>
      <c r="AB65" s="21">
        <f>EXP(-LN(2)/2)*AB64+(1-EXP(-LN(2)/2))/(LN(2)/2)*V65*Y65*VLOOKUP('Données projet'!$B$9,Paramètres!$A$1:$I$89,3,0)*0.475*44/12</f>
        <v>1.1910268226202372E-5</v>
      </c>
      <c r="AC65" s="22">
        <f t="shared" si="3"/>
        <v>68.616837108178046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1.1368683772161603E-13</v>
      </c>
      <c r="AJ65" s="13">
        <f>AI65*VLOOKUP('Données projet'!$B$10,Paramètres!$A$1:$I$89,3,0)*VLOOKUP('Données projet'!$B$10,Paramètres!$A$1:$I$89,5,0)</f>
        <v>6.7984728957526396E-14</v>
      </c>
      <c r="AK65" s="13">
        <f t="shared" si="35"/>
        <v>1.0682447123141398E-12</v>
      </c>
      <c r="AL65" s="20">
        <f t="shared" si="4"/>
        <v>1.978932943548152E-12</v>
      </c>
      <c r="AM65" s="59">
        <f t="shared" si="5"/>
        <v>293.3333333333353</v>
      </c>
      <c r="AN65" s="59">
        <f ca="1">AVERAGE(OFFSET($AM$3,0,0,'Données projet'!$E$10+1,1))-AVERAGE(OFFSET($H$3,0,0,'Données projet'!$E$10+1,1))</f>
        <v>149.5086927376081</v>
      </c>
      <c r="AO65" s="59">
        <f t="shared" si="36"/>
        <v>364.59164590134498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53.829283377185163</v>
      </c>
      <c r="AV65" s="21">
        <f>EXP(-LN(2)/25)*AV64+(1-EXP(-LN(2)/25))/(LN(2)/25)*Calculateur!AQ65*Calculateur!AS65*VLOOKUP('Données projet'!$B$10,Paramètres!$A$1:$I$89,3,0)*0.475*44/12</f>
        <v>8.0335862599703241</v>
      </c>
      <c r="AW65" s="21">
        <f>EXP(-LN(2)/2)*AW64+(1-EXP(-LN(2)/2))/(LN(2)/2)*AQ65*AT65*VLOOKUP('Données projet'!$B$10,Paramètres!$A$1:$I$89,3,0)*0.475*44/12</f>
        <v>9.1450787437241755E-6</v>
      </c>
      <c r="AX65" s="21">
        <f t="shared" si="6"/>
        <v>61.862878782234226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1.1368683772161603E-13</v>
      </c>
      <c r="BE65" s="13">
        <f>BD65*VLOOKUP('Données projet'!$B$11,Paramètres!$A$1:$I$89,3,0)*VLOOKUP('Données projet'!$B$11,Paramètres!$A$1:$I$89,5,0)</f>
        <v>6.7984728957526396E-14</v>
      </c>
      <c r="BF65" s="13">
        <f t="shared" si="37"/>
        <v>1.0682447123141398E-12</v>
      </c>
      <c r="BG65" s="20">
        <f t="shared" si="7"/>
        <v>1.978932943548152E-12</v>
      </c>
      <c r="BH65" s="59">
        <f t="shared" si="8"/>
        <v>293.3333333333353</v>
      </c>
      <c r="BI65" s="59">
        <f ca="1">AVERAGE(OFFSET($BH$3,0,0,'Données projet'!$E$11+1,1))-AVERAGE(OFFSET($H$3,0,0,'Données projet'!$E$11+1,1))</f>
        <v>149.5086927376081</v>
      </c>
      <c r="BJ65" s="59">
        <f t="shared" si="38"/>
        <v>364.59164590134498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53.829283377185163</v>
      </c>
      <c r="BQ65" s="21">
        <f>EXP(-LN(2)/25)*BQ64+(1-EXP(-LN(2)/25))/(LN(2)/25)*Calculateur!BL65*Calculateur!BN65*VLOOKUP('Données projet'!$B$11,Paramètres!$A$1:$I$89,3,0)*0.475*44/12</f>
        <v>8.0335862599703241</v>
      </c>
      <c r="BR65" s="21">
        <f>EXP(-LN(2)/2)*BR64+(1-EXP(-LN(2)/2))/(LN(2)/2)*BL65*BO65*VLOOKUP('Données projet'!$B$11,Paramètres!$A$1:$I$89,3,0)*0.475*44/12</f>
        <v>9.1450787437241755E-6</v>
      </c>
      <c r="BS65" s="22">
        <f t="shared" si="9"/>
        <v>61.862878782234226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371.53251490968091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5.6843418860808015E-14</v>
      </c>
      <c r="O66" s="13">
        <f>N66*VLOOKUP('Données projet'!$B$9,Paramètres!$A$1:$I$89,3,0)*VLOOKUP('Données projet'!$B$9,Paramètres!$A$1:$I$89,5,0)</f>
        <v>3.3992364478763198E-14</v>
      </c>
      <c r="P66" s="13">
        <f t="shared" si="33"/>
        <v>5.790027782444094E-13</v>
      </c>
      <c r="Q66" s="20">
        <f t="shared" si="53"/>
        <v>1.0676332069095257E-12</v>
      </c>
      <c r="R66" s="59">
        <f t="shared" si="0"/>
        <v>293.33333333333439</v>
      </c>
      <c r="S66" s="59">
        <f ca="1">AVERAGE(OFFSET($R$3,0,0,'Données projet'!$E$9+1,1))-AVERAGE(OFFSET($H$3,0,0,'Données projet'!$E$9+1,1))</f>
        <v>153.00981126776304</v>
      </c>
      <c r="T66" s="59">
        <f t="shared" si="34"/>
        <v>309.90400623462932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58.770607076224096</v>
      </c>
      <c r="AA66" s="21">
        <f>EXP(-LN(2)/25)*AA65+(1-EXP(-LN(2)/25))/(LN(2)/25)*Calculateur!V66*Calculateur!X66*VLOOKUP('Données projet'!$B$9,Paramètres!$A$1:$I$89,3,0)*0.475*44/12</f>
        <v>8.43361033447216</v>
      </c>
      <c r="AB66" s="21">
        <f>EXP(-LN(2)/2)*AB65+(1-EXP(-LN(2)/2))/(LN(2)/2)*V66*Y66*VLOOKUP('Données projet'!$B$9,Paramètres!$A$1:$I$89,3,0)*0.475*44/12</f>
        <v>8.4218314284983701E-6</v>
      </c>
      <c r="AC66" s="22">
        <f t="shared" si="3"/>
        <v>67.204225832527683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1.1368683772161603E-13</v>
      </c>
      <c r="AJ66" s="13">
        <f>AI66*VLOOKUP('Données projet'!$B$10,Paramètres!$A$1:$I$89,3,0)*VLOOKUP('Données projet'!$B$10,Paramètres!$A$1:$I$89,5,0)</f>
        <v>6.7984728957526396E-14</v>
      </c>
      <c r="AK66" s="13">
        <f t="shared" si="35"/>
        <v>1.0682447123141398E-12</v>
      </c>
      <c r="AL66" s="20">
        <f t="shared" si="4"/>
        <v>1.978932943548152E-12</v>
      </c>
      <c r="AM66" s="59">
        <f t="shared" si="5"/>
        <v>293.3333333333353</v>
      </c>
      <c r="AN66" s="59">
        <f ca="1">AVERAGE(OFFSET($AM$3,0,0,'Données projet'!$E$10+1,1))-AVERAGE(OFFSET($H$3,0,0,'Données projet'!$E$10+1,1))</f>
        <v>149.5086927376081</v>
      </c>
      <c r="AO66" s="59">
        <f t="shared" si="36"/>
        <v>364.59164590134498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52.773723962779471</v>
      </c>
      <c r="AV66" s="21">
        <f>EXP(-LN(2)/25)*AV65+(1-EXP(-LN(2)/25))/(LN(2)/25)*Calculateur!AQ66*Calculateur!AS66*VLOOKUP('Données projet'!$B$10,Paramètres!$A$1:$I$89,3,0)*0.475*44/12</f>
        <v>7.8139074212234956</v>
      </c>
      <c r="AW66" s="21">
        <f>EXP(-LN(2)/2)*AW65+(1-EXP(-LN(2)/2))/(LN(2)/2)*AQ66*AT66*VLOOKUP('Données projet'!$B$10,Paramètres!$A$1:$I$89,3,0)*0.475*44/12</f>
        <v>6.4665471941723176E-6</v>
      </c>
      <c r="AX66" s="21">
        <f t="shared" si="6"/>
        <v>60.587637850550159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1.1368683772161603E-13</v>
      </c>
      <c r="BE66" s="13">
        <f>BD66*VLOOKUP('Données projet'!$B$11,Paramètres!$A$1:$I$89,3,0)*VLOOKUP('Données projet'!$B$11,Paramètres!$A$1:$I$89,5,0)</f>
        <v>6.7984728957526396E-14</v>
      </c>
      <c r="BF66" s="13">
        <f t="shared" si="37"/>
        <v>1.0682447123141398E-12</v>
      </c>
      <c r="BG66" s="20">
        <f t="shared" si="7"/>
        <v>1.978932943548152E-12</v>
      </c>
      <c r="BH66" s="59">
        <f t="shared" si="8"/>
        <v>293.3333333333353</v>
      </c>
      <c r="BI66" s="59">
        <f ca="1">AVERAGE(OFFSET($BH$3,0,0,'Données projet'!$E$11+1,1))-AVERAGE(OFFSET($H$3,0,0,'Données projet'!$E$11+1,1))</f>
        <v>149.5086927376081</v>
      </c>
      <c r="BJ66" s="59">
        <f t="shared" si="38"/>
        <v>364.59164590134498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52.773723962779471</v>
      </c>
      <c r="BQ66" s="21">
        <f>EXP(-LN(2)/25)*BQ65+(1-EXP(-LN(2)/25))/(LN(2)/25)*Calculateur!BL66*Calculateur!BN66*VLOOKUP('Données projet'!$B$11,Paramètres!$A$1:$I$89,3,0)*0.475*44/12</f>
        <v>7.8139074212234956</v>
      </c>
      <c r="BR66" s="21">
        <f>EXP(-LN(2)/2)*BR65+(1-EXP(-LN(2)/2))/(LN(2)/2)*BL66*BO66*VLOOKUP('Données projet'!$B$11,Paramètres!$A$1:$I$89,3,0)*0.475*44/12</f>
        <v>6.4665471941723176E-6</v>
      </c>
      <c r="BS66" s="22">
        <f t="shared" si="9"/>
        <v>60.587637850550159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372.73974445970646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5.6843418860808015E-14</v>
      </c>
      <c r="O67" s="13">
        <f>N67*VLOOKUP('Données projet'!$B$9,Paramètres!$A$1:$I$89,3,0)*VLOOKUP('Données projet'!$B$9,Paramètres!$A$1:$I$89,5,0)</f>
        <v>3.3992364478763198E-14</v>
      </c>
      <c r="P67" s="13">
        <f t="shared" si="33"/>
        <v>5.790027782444094E-13</v>
      </c>
      <c r="Q67" s="20">
        <f t="shared" ref="Q67:Q98" si="54">(O67+P67)*0.475*44/12</f>
        <v>1.0676332069095257E-12</v>
      </c>
      <c r="R67" s="59">
        <f t="shared" ref="R67:R130" si="55">Q67+(I67+J67)*44/12</f>
        <v>293.33333333333439</v>
      </c>
      <c r="S67" s="59">
        <f ca="1">AVERAGE(OFFSET($R$3,0,0,'Données projet'!$E$9+1,1))-AVERAGE(OFFSET($H$3,0,0,'Données projet'!$E$9+1,1))</f>
        <v>153.00981126776304</v>
      </c>
      <c r="T67" s="59">
        <f t="shared" si="34"/>
        <v>309.90400623462932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57.618151317990105</v>
      </c>
      <c r="AA67" s="21">
        <f>EXP(-LN(2)/25)*AA66+(1-EXP(-LN(2)/25))/(LN(2)/25)*Calculateur!V67*Calculateur!X67*VLOOKUP('Données projet'!$B$9,Paramètres!$A$1:$I$89,3,0)*0.475*44/12</f>
        <v>8.2029928163717258</v>
      </c>
      <c r="AB67" s="21">
        <f>EXP(-LN(2)/2)*AB66+(1-EXP(-LN(2)/2))/(LN(2)/2)*V67*Y67*VLOOKUP('Données projet'!$B$9,Paramètres!$A$1:$I$89,3,0)*0.475*44/12</f>
        <v>5.9551341131011861E-6</v>
      </c>
      <c r="AC67" s="22">
        <f t="shared" si="3"/>
        <v>65.821150089495944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1.1368683772161603E-13</v>
      </c>
      <c r="AJ67" s="13">
        <f>AI67*VLOOKUP('Données projet'!$B$10,Paramètres!$A$1:$I$89,3,0)*VLOOKUP('Données projet'!$B$10,Paramètres!$A$1:$I$89,5,0)</f>
        <v>6.7984728957526396E-14</v>
      </c>
      <c r="AK67" s="13">
        <f t="shared" si="35"/>
        <v>1.0682447123141398E-12</v>
      </c>
      <c r="AL67" s="20">
        <f t="shared" si="4"/>
        <v>1.978932943548152E-12</v>
      </c>
      <c r="AM67" s="59">
        <f t="shared" si="5"/>
        <v>293.3333333333353</v>
      </c>
      <c r="AN67" s="59">
        <f ca="1">AVERAGE(OFFSET($AM$3,0,0,'Données projet'!$E$10+1,1))-AVERAGE(OFFSET($H$3,0,0,'Données projet'!$E$10+1,1))</f>
        <v>149.5086927376081</v>
      </c>
      <c r="AO67" s="59">
        <f t="shared" si="36"/>
        <v>364.59164590134498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51.738863424662604</v>
      </c>
      <c r="AV67" s="21">
        <f>EXP(-LN(2)/25)*AV66+(1-EXP(-LN(2)/25))/(LN(2)/25)*Calculateur!AQ67*Calculateur!AS67*VLOOKUP('Données projet'!$B$10,Paramètres!$A$1:$I$89,3,0)*0.475*44/12</f>
        <v>7.6002357118746069</v>
      </c>
      <c r="AW67" s="21">
        <f>EXP(-LN(2)/2)*AW66+(1-EXP(-LN(2)/2))/(LN(2)/2)*AQ67*AT67*VLOOKUP('Données projet'!$B$10,Paramètres!$A$1:$I$89,3,0)*0.475*44/12</f>
        <v>4.5725393718620877E-6</v>
      </c>
      <c r="AX67" s="21">
        <f t="shared" si="6"/>
        <v>59.339103709076589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1.1368683772161603E-13</v>
      </c>
      <c r="BE67" s="13">
        <f>BD67*VLOOKUP('Données projet'!$B$11,Paramètres!$A$1:$I$89,3,0)*VLOOKUP('Données projet'!$B$11,Paramètres!$A$1:$I$89,5,0)</f>
        <v>6.7984728957526396E-14</v>
      </c>
      <c r="BF67" s="13">
        <f t="shared" si="37"/>
        <v>1.0682447123141398E-12</v>
      </c>
      <c r="BG67" s="20">
        <f t="shared" si="7"/>
        <v>1.978932943548152E-12</v>
      </c>
      <c r="BH67" s="59">
        <f t="shared" si="8"/>
        <v>293.3333333333353</v>
      </c>
      <c r="BI67" s="59">
        <f ca="1">AVERAGE(OFFSET($BH$3,0,0,'Données projet'!$E$11+1,1))-AVERAGE(OFFSET($H$3,0,0,'Données projet'!$E$11+1,1))</f>
        <v>149.5086927376081</v>
      </c>
      <c r="BJ67" s="59">
        <f t="shared" si="38"/>
        <v>364.59164590134498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51.738863424662604</v>
      </c>
      <c r="BQ67" s="21">
        <f>EXP(-LN(2)/25)*BQ66+(1-EXP(-LN(2)/25))/(LN(2)/25)*Calculateur!BL67*Calculateur!BN67*VLOOKUP('Données projet'!$B$11,Paramètres!$A$1:$I$89,3,0)*0.475*44/12</f>
        <v>7.6002357118746069</v>
      </c>
      <c r="BR67" s="21">
        <f>EXP(-LN(2)/2)*BR66+(1-EXP(-LN(2)/2))/(LN(2)/2)*BL67*BO67*VLOOKUP('Données projet'!$B$11,Paramètres!$A$1:$I$89,3,0)*0.475*44/12</f>
        <v>4.5725393718620877E-6</v>
      </c>
      <c r="BS67" s="22">
        <f t="shared" si="9"/>
        <v>59.339103709076589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373.94650830487547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5.6843418860808015E-14</v>
      </c>
      <c r="O68" s="13">
        <f>N68*VLOOKUP('Données projet'!$B$9,Paramètres!$A$1:$I$89,3,0)*VLOOKUP('Données projet'!$B$9,Paramètres!$A$1:$I$89,5,0)</f>
        <v>3.3992364478763198E-14</v>
      </c>
      <c r="P68" s="13">
        <f t="shared" si="33"/>
        <v>5.790027782444094E-13</v>
      </c>
      <c r="Q68" s="20">
        <f t="shared" si="54"/>
        <v>1.0676332069095257E-12</v>
      </c>
      <c r="R68" s="59">
        <f t="shared" si="55"/>
        <v>293.33333333333439</v>
      </c>
      <c r="S68" s="59">
        <f ca="1">AVERAGE(OFFSET($R$3,0,0,'Données projet'!$E$9+1,1))-AVERAGE(OFFSET($H$3,0,0,'Données projet'!$E$9+1,1))</f>
        <v>153.00981126776304</v>
      </c>
      <c r="T68" s="59">
        <f t="shared" si="34"/>
        <v>309.90400623462932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56.488294514246483</v>
      </c>
      <c r="AA68" s="21">
        <f>EXP(-LN(2)/25)*AA67+(1-EXP(-LN(2)/25))/(LN(2)/25)*Calculateur!V68*Calculateur!X68*VLOOKUP('Données projet'!$B$9,Paramètres!$A$1:$I$89,3,0)*0.475*44/12</f>
        <v>7.9786815464313969</v>
      </c>
      <c r="AB68" s="21">
        <f>EXP(-LN(2)/2)*AB67+(1-EXP(-LN(2)/2))/(LN(2)/2)*V68*Y68*VLOOKUP('Données projet'!$B$9,Paramètres!$A$1:$I$89,3,0)*0.475*44/12</f>
        <v>4.2109157142491851E-6</v>
      </c>
      <c r="AC68" s="22">
        <f t="shared" ref="AC68:AC131" si="57">SUM(Z68:AB68)</f>
        <v>64.466980271593599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1.1368683772161603E-13</v>
      </c>
      <c r="AJ68" s="13">
        <f>AI68*VLOOKUP('Données projet'!$B$10,Paramètres!$A$1:$I$89,3,0)*VLOOKUP('Données projet'!$B$10,Paramètres!$A$1:$I$89,5,0)</f>
        <v>6.7984728957526396E-14</v>
      </c>
      <c r="AK68" s="13">
        <f t="shared" si="35"/>
        <v>1.0682447123141398E-12</v>
      </c>
      <c r="AL68" s="20">
        <f t="shared" ref="AL68:AL131" si="58">(AJ68+AK68)*0.475*44/12</f>
        <v>1.978932943548152E-12</v>
      </c>
      <c r="AM68" s="59">
        <f t="shared" ref="AM68:AM131" si="59">AL68+(AD68+AE68)*44/12</f>
        <v>293.3333333333353</v>
      </c>
      <c r="AN68" s="59">
        <f ca="1">AVERAGE(OFFSET($AM$3,0,0,'Données projet'!$E$10+1,1))-AVERAGE(OFFSET($H$3,0,0,'Données projet'!$E$10+1,1))</f>
        <v>149.5086927376081</v>
      </c>
      <c r="AO68" s="59">
        <f t="shared" si="36"/>
        <v>364.59164590134498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50.72429587049561</v>
      </c>
      <c r="AV68" s="21">
        <f>EXP(-LN(2)/25)*AV67+(1-EXP(-LN(2)/25))/(LN(2)/25)*Calculateur!AQ68*Calculateur!AS68*VLOOKUP('Données projet'!$B$10,Paramètres!$A$1:$I$89,3,0)*0.475*44/12</f>
        <v>7.3924068666543699</v>
      </c>
      <c r="AW68" s="21">
        <f>EXP(-LN(2)/2)*AW67+(1-EXP(-LN(2)/2))/(LN(2)/2)*AQ68*AT68*VLOOKUP('Données projet'!$B$10,Paramètres!$A$1:$I$89,3,0)*0.475*44/12</f>
        <v>3.2332735970861588E-6</v>
      </c>
      <c r="AX68" s="21">
        <f t="shared" ref="AX68:AX131" si="60">SUM(AU68:AW68)</f>
        <v>58.116705970423574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1.1368683772161603E-13</v>
      </c>
      <c r="BE68" s="13">
        <f>BD68*VLOOKUP('Données projet'!$B$11,Paramètres!$A$1:$I$89,3,0)*VLOOKUP('Données projet'!$B$11,Paramètres!$A$1:$I$89,5,0)</f>
        <v>6.7984728957526396E-14</v>
      </c>
      <c r="BF68" s="13">
        <f t="shared" si="37"/>
        <v>1.0682447123141398E-12</v>
      </c>
      <c r="BG68" s="20">
        <f t="shared" ref="BG68:BG131" si="61">(BE68+BF68)*0.475*44/12</f>
        <v>1.978932943548152E-12</v>
      </c>
      <c r="BH68" s="59">
        <f t="shared" ref="BH68:BH131" si="62">BG68+(AY68+AZ68)*44/12</f>
        <v>293.3333333333353</v>
      </c>
      <c r="BI68" s="59">
        <f ca="1">AVERAGE(OFFSET($BH$3,0,0,'Données projet'!$E$11+1,1))-AVERAGE(OFFSET($H$3,0,0,'Données projet'!$E$11+1,1))</f>
        <v>149.5086927376081</v>
      </c>
      <c r="BJ68" s="59">
        <f t="shared" si="38"/>
        <v>364.59164590134498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50.72429587049561</v>
      </c>
      <c r="BQ68" s="21">
        <f>EXP(-LN(2)/25)*BQ67+(1-EXP(-LN(2)/25))/(LN(2)/25)*Calculateur!BL68*Calculateur!BN68*VLOOKUP('Données projet'!$B$11,Paramètres!$A$1:$I$89,3,0)*0.475*44/12</f>
        <v>7.3924068666543699</v>
      </c>
      <c r="BR68" s="21">
        <f>EXP(-LN(2)/2)*BR67+(1-EXP(-LN(2)/2))/(LN(2)/2)*BL68*BO68*VLOOKUP('Données projet'!$B$11,Paramètres!$A$1:$I$89,3,0)*0.475*44/12</f>
        <v>3.2332735970861588E-6</v>
      </c>
      <c r="BS68" s="22">
        <f t="shared" ref="BS68:BS131" si="63">SUM(BP68:BR68)</f>
        <v>58.116705970423574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375.15281443732528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5.6843418860808015E-14</v>
      </c>
      <c r="O69" s="13">
        <f>N69*VLOOKUP('Données projet'!$B$9,Paramètres!$A$1:$I$89,3,0)*VLOOKUP('Données projet'!$B$9,Paramètres!$A$1:$I$89,5,0)</f>
        <v>3.3992364478763198E-14</v>
      </c>
      <c r="P69" s="13">
        <f t="shared" ref="P69:P132" si="87">EXP(-1.0587+0.8836*LN(O69)+0.284)</f>
        <v>5.790027782444094E-13</v>
      </c>
      <c r="Q69" s="20">
        <f t="shared" si="54"/>
        <v>1.0676332069095257E-12</v>
      </c>
      <c r="R69" s="59">
        <f t="shared" si="55"/>
        <v>293.33333333333439</v>
      </c>
      <c r="S69" s="59">
        <f ca="1">AVERAGE(OFFSET($R$3,0,0,'Données projet'!$E$9+1,1))-AVERAGE(OFFSET($H$3,0,0,'Données projet'!$E$9+1,1))</f>
        <v>153.00981126776304</v>
      </c>
      <c r="T69" s="59">
        <f t="shared" ref="T69:T132" si="88">$T$3</f>
        <v>309.90400623462932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55.380593513279671</v>
      </c>
      <c r="AA69" s="21">
        <f>EXP(-LN(2)/25)*AA68+(1-EXP(-LN(2)/25))/(LN(2)/25)*Calculateur!V69*Calculateur!X69*VLOOKUP('Données projet'!$B$9,Paramètres!$A$1:$I$89,3,0)*0.475*44/12</f>
        <v>7.7605040799636038</v>
      </c>
      <c r="AB69" s="21">
        <f>EXP(-LN(2)/2)*AB68+(1-EXP(-LN(2)/2))/(LN(2)/2)*V69*Y69*VLOOKUP('Données projet'!$B$9,Paramètres!$A$1:$I$89,3,0)*0.475*44/12</f>
        <v>2.977567056550593E-6</v>
      </c>
      <c r="AC69" s="22">
        <f t="shared" si="57"/>
        <v>63.14110057081033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1.1368683772161603E-13</v>
      </c>
      <c r="AJ69" s="13">
        <f>AI69*VLOOKUP('Données projet'!$B$10,Paramètres!$A$1:$I$89,3,0)*VLOOKUP('Données projet'!$B$10,Paramètres!$A$1:$I$89,5,0)</f>
        <v>6.7984728957526396E-14</v>
      </c>
      <c r="AK69" s="13">
        <f t="shared" ref="AK69:AK132" si="89">EXP(-1.0587+0.8836*LN(AJ69)+0.284)</f>
        <v>1.0682447123141398E-12</v>
      </c>
      <c r="AL69" s="20">
        <f t="shared" si="58"/>
        <v>1.978932943548152E-12</v>
      </c>
      <c r="AM69" s="59">
        <f t="shared" si="59"/>
        <v>293.3333333333353</v>
      </c>
      <c r="AN69" s="59">
        <f ca="1">AVERAGE(OFFSET($AM$3,0,0,'Données projet'!$E$10+1,1))-AVERAGE(OFFSET($H$3,0,0,'Données projet'!$E$10+1,1))</f>
        <v>149.5086927376081</v>
      </c>
      <c r="AO69" s="59">
        <f t="shared" ref="AO69:AO132" si="90">$AO$3</f>
        <v>364.59164590134498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49.72962336724072</v>
      </c>
      <c r="AV69" s="21">
        <f>EXP(-LN(2)/25)*AV68+(1-EXP(-LN(2)/25))/(LN(2)/25)*Calculateur!AQ69*Calculateur!AS69*VLOOKUP('Données projet'!$B$10,Paramètres!$A$1:$I$89,3,0)*0.475*44/12</f>
        <v>7.190261112135925</v>
      </c>
      <c r="AW69" s="21">
        <f>EXP(-LN(2)/2)*AW68+(1-EXP(-LN(2)/2))/(LN(2)/2)*AQ69*AT69*VLOOKUP('Données projet'!$B$10,Paramètres!$A$1:$I$89,3,0)*0.475*44/12</f>
        <v>2.2862696859310439E-6</v>
      </c>
      <c r="AX69" s="21">
        <f t="shared" si="60"/>
        <v>56.919886765646332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1.1368683772161603E-13</v>
      </c>
      <c r="BE69" s="13">
        <f>BD69*VLOOKUP('Données projet'!$B$11,Paramètres!$A$1:$I$89,3,0)*VLOOKUP('Données projet'!$B$11,Paramètres!$A$1:$I$89,5,0)</f>
        <v>6.7984728957526396E-14</v>
      </c>
      <c r="BF69" s="13">
        <f t="shared" ref="BF69:BF132" si="91">EXP(-1.0587+0.8836*LN(BE69)+0.284)</f>
        <v>1.0682447123141398E-12</v>
      </c>
      <c r="BG69" s="20">
        <f t="shared" si="61"/>
        <v>1.978932943548152E-12</v>
      </c>
      <c r="BH69" s="59">
        <f t="shared" si="62"/>
        <v>293.3333333333353</v>
      </c>
      <c r="BI69" s="59">
        <f ca="1">AVERAGE(OFFSET($BH$3,0,0,'Données projet'!$E$11+1,1))-AVERAGE(OFFSET($H$3,0,0,'Données projet'!$E$11+1,1))</f>
        <v>149.5086927376081</v>
      </c>
      <c r="BJ69" s="59">
        <f t="shared" ref="BJ69:BJ132" si="92">$BJ$3</f>
        <v>364.59164590134498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49.72962336724072</v>
      </c>
      <c r="BQ69" s="21">
        <f>EXP(-LN(2)/25)*BQ68+(1-EXP(-LN(2)/25))/(LN(2)/25)*Calculateur!BL69*Calculateur!BN69*VLOOKUP('Données projet'!$B$11,Paramètres!$A$1:$I$89,3,0)*0.475*44/12</f>
        <v>7.190261112135925</v>
      </c>
      <c r="BR69" s="21">
        <f>EXP(-LN(2)/2)*BR68+(1-EXP(-LN(2)/2))/(LN(2)/2)*BL69*BO69*VLOOKUP('Données projet'!$B$11,Paramètres!$A$1:$I$89,3,0)*0.475*44/12</f>
        <v>2.2862696859310439E-6</v>
      </c>
      <c r="BS69" s="22">
        <f t="shared" si="63"/>
        <v>56.919886765646332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376.3586705931088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5.6843418860808015E-14</v>
      </c>
      <c r="O70" s="13">
        <f>N70*VLOOKUP('Données projet'!$B$9,Paramètres!$A$1:$I$89,3,0)*VLOOKUP('Données projet'!$B$9,Paramètres!$A$1:$I$89,5,0)</f>
        <v>3.3992364478763198E-14</v>
      </c>
      <c r="P70" s="13">
        <f t="shared" si="87"/>
        <v>5.790027782444094E-13</v>
      </c>
      <c r="Q70" s="20">
        <f t="shared" si="54"/>
        <v>1.0676332069095257E-12</v>
      </c>
      <c r="R70" s="59">
        <f t="shared" si="55"/>
        <v>293.33333333333439</v>
      </c>
      <c r="S70" s="59">
        <f ca="1">AVERAGE(OFFSET($R$3,0,0,'Données projet'!$E$9+1,1))-AVERAGE(OFFSET($H$3,0,0,'Données projet'!$E$9+1,1))</f>
        <v>153.00981126776304</v>
      </c>
      <c r="T70" s="59">
        <f t="shared" si="88"/>
        <v>309.90400623462932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54.294613853310921</v>
      </c>
      <c r="AA70" s="21">
        <f>EXP(-LN(2)/25)*AA69+(1-EXP(-LN(2)/25))/(LN(2)/25)*Calculateur!V70*Calculateur!X70*VLOOKUP('Données projet'!$B$9,Paramètres!$A$1:$I$89,3,0)*0.475*44/12</f>
        <v>7.548292687789826</v>
      </c>
      <c r="AB70" s="21">
        <f>EXP(-LN(2)/2)*AB69+(1-EXP(-LN(2)/2))/(LN(2)/2)*V70*Y70*VLOOKUP('Données projet'!$B$9,Paramètres!$A$1:$I$89,3,0)*0.475*44/12</f>
        <v>2.1054578571245925E-6</v>
      </c>
      <c r="AC70" s="22">
        <f t="shared" si="57"/>
        <v>61.842908646558605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1.1368683772161603E-13</v>
      </c>
      <c r="AJ70" s="13">
        <f>AI70*VLOOKUP('Données projet'!$B$10,Paramètres!$A$1:$I$89,3,0)*VLOOKUP('Données projet'!$B$10,Paramètres!$A$1:$I$89,5,0)</f>
        <v>6.7984728957526396E-14</v>
      </c>
      <c r="AK70" s="13">
        <f t="shared" si="89"/>
        <v>1.0682447123141398E-12</v>
      </c>
      <c r="AL70" s="20">
        <f t="shared" si="58"/>
        <v>1.978932943548152E-12</v>
      </c>
      <c r="AM70" s="59">
        <f t="shared" si="59"/>
        <v>293.3333333333353</v>
      </c>
      <c r="AN70" s="59">
        <f ca="1">AVERAGE(OFFSET($AM$3,0,0,'Données projet'!$E$10+1,1))-AVERAGE(OFFSET($H$3,0,0,'Données projet'!$E$10+1,1))</f>
        <v>149.5086927376081</v>
      </c>
      <c r="AO70" s="59">
        <f t="shared" si="90"/>
        <v>364.59164590134498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48.754455785084339</v>
      </c>
      <c r="AV70" s="21">
        <f>EXP(-LN(2)/25)*AV69+(1-EXP(-LN(2)/25))/(LN(2)/25)*Calculateur!AQ70*Calculateur!AS70*VLOOKUP('Données projet'!$B$10,Paramètres!$A$1:$I$89,3,0)*0.475*44/12</f>
        <v>6.9936430439051698</v>
      </c>
      <c r="AW70" s="21">
        <f>EXP(-LN(2)/2)*AW69+(1-EXP(-LN(2)/2))/(LN(2)/2)*AQ70*AT70*VLOOKUP('Données projet'!$B$10,Paramètres!$A$1:$I$89,3,0)*0.475*44/12</f>
        <v>1.6166367985430794E-6</v>
      </c>
      <c r="AX70" s="21">
        <f t="shared" si="60"/>
        <v>55.748100445626314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1.1368683772161603E-13</v>
      </c>
      <c r="BE70" s="13">
        <f>BD70*VLOOKUP('Données projet'!$B$11,Paramètres!$A$1:$I$89,3,0)*VLOOKUP('Données projet'!$B$11,Paramètres!$A$1:$I$89,5,0)</f>
        <v>6.7984728957526396E-14</v>
      </c>
      <c r="BF70" s="13">
        <f t="shared" si="91"/>
        <v>1.0682447123141398E-12</v>
      </c>
      <c r="BG70" s="20">
        <f t="shared" si="61"/>
        <v>1.978932943548152E-12</v>
      </c>
      <c r="BH70" s="59">
        <f t="shared" si="62"/>
        <v>293.3333333333353</v>
      </c>
      <c r="BI70" s="59">
        <f ca="1">AVERAGE(OFFSET($BH$3,0,0,'Données projet'!$E$11+1,1))-AVERAGE(OFFSET($H$3,0,0,'Données projet'!$E$11+1,1))</f>
        <v>149.5086927376081</v>
      </c>
      <c r="BJ70" s="59">
        <f t="shared" si="92"/>
        <v>364.59164590134498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48.754455785084339</v>
      </c>
      <c r="BQ70" s="21">
        <f>EXP(-LN(2)/25)*BQ69+(1-EXP(-LN(2)/25))/(LN(2)/25)*Calculateur!BL70*Calculateur!BN70*VLOOKUP('Données projet'!$B$11,Paramètres!$A$1:$I$89,3,0)*0.475*44/12</f>
        <v>6.9936430439051698</v>
      </c>
      <c r="BR70" s="21">
        <f>EXP(-LN(2)/2)*BR69+(1-EXP(-LN(2)/2))/(LN(2)/2)*BL70*BO70*VLOOKUP('Données projet'!$B$11,Paramètres!$A$1:$I$89,3,0)*0.475*44/12</f>
        <v>1.6166367985430794E-6</v>
      </c>
      <c r="BS70" s="22">
        <f t="shared" si="63"/>
        <v>55.748100445626314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377.56408426409683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5.6843418860808015E-14</v>
      </c>
      <c r="O71" s="13">
        <f>N71*VLOOKUP('Données projet'!$B$9,Paramètres!$A$1:$I$89,3,0)*VLOOKUP('Données projet'!$B$9,Paramètres!$A$1:$I$89,5,0)</f>
        <v>3.3992364478763198E-14</v>
      </c>
      <c r="P71" s="13">
        <f t="shared" si="87"/>
        <v>5.790027782444094E-13</v>
      </c>
      <c r="Q71" s="20">
        <f t="shared" si="54"/>
        <v>1.0676332069095257E-12</v>
      </c>
      <c r="R71" s="59">
        <f t="shared" si="55"/>
        <v>293.33333333333439</v>
      </c>
      <c r="S71" s="59">
        <f ca="1">AVERAGE(OFFSET($R$3,0,0,'Données projet'!$E$9+1,1))-AVERAGE(OFFSET($H$3,0,0,'Données projet'!$E$9+1,1))</f>
        <v>153.00981126776304</v>
      </c>
      <c r="T71" s="59">
        <f t="shared" si="88"/>
        <v>309.90400623462932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53.229929592091963</v>
      </c>
      <c r="AA71" s="21">
        <f>EXP(-LN(2)/25)*AA70+(1-EXP(-LN(2)/25))/(LN(2)/25)*Calculateur!V71*Calculateur!X71*VLOOKUP('Données projet'!$B$9,Paramètres!$A$1:$I$89,3,0)*0.475*44/12</f>
        <v>7.3418842272947522</v>
      </c>
      <c r="AB71" s="21">
        <f>EXP(-LN(2)/2)*AB70+(1-EXP(-LN(2)/2))/(LN(2)/2)*V71*Y71*VLOOKUP('Données projet'!$B$9,Paramètres!$A$1:$I$89,3,0)*0.475*44/12</f>
        <v>1.4887835282752965E-6</v>
      </c>
      <c r="AC71" s="22">
        <f t="shared" si="57"/>
        <v>60.571815308170244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1.1368683772161603E-13</v>
      </c>
      <c r="AJ71" s="13">
        <f>AI71*VLOOKUP('Données projet'!$B$10,Paramètres!$A$1:$I$89,3,0)*VLOOKUP('Données projet'!$B$10,Paramètres!$A$1:$I$89,5,0)</f>
        <v>6.7984728957526396E-14</v>
      </c>
      <c r="AK71" s="13">
        <f t="shared" si="89"/>
        <v>1.0682447123141398E-12</v>
      </c>
      <c r="AL71" s="20">
        <f t="shared" si="58"/>
        <v>1.978932943548152E-12</v>
      </c>
      <c r="AM71" s="59">
        <f t="shared" si="59"/>
        <v>293.3333333333353</v>
      </c>
      <c r="AN71" s="59">
        <f ca="1">AVERAGE(OFFSET($AM$3,0,0,'Données projet'!$E$10+1,1))-AVERAGE(OFFSET($H$3,0,0,'Données projet'!$E$10+1,1))</f>
        <v>149.5086927376081</v>
      </c>
      <c r="AO71" s="59">
        <f t="shared" si="90"/>
        <v>364.59164590134498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47.798410644420549</v>
      </c>
      <c r="AV71" s="21">
        <f>EXP(-LN(2)/25)*AV70+(1-EXP(-LN(2)/25))/(LN(2)/25)*Calculateur!AQ71*Calculateur!AS71*VLOOKUP('Données projet'!$B$10,Paramètres!$A$1:$I$89,3,0)*0.475*44/12</f>
        <v>6.8024015070898791</v>
      </c>
      <c r="AW71" s="21">
        <f>EXP(-LN(2)/2)*AW70+(1-EXP(-LN(2)/2))/(LN(2)/2)*AQ71*AT71*VLOOKUP('Données projet'!$B$10,Paramètres!$A$1:$I$89,3,0)*0.475*44/12</f>
        <v>1.1431348429655219E-6</v>
      </c>
      <c r="AX71" s="21">
        <f t="shared" si="60"/>
        <v>54.60081329464527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1.1368683772161603E-13</v>
      </c>
      <c r="BE71" s="13">
        <f>BD71*VLOOKUP('Données projet'!$B$11,Paramètres!$A$1:$I$89,3,0)*VLOOKUP('Données projet'!$B$11,Paramètres!$A$1:$I$89,5,0)</f>
        <v>6.7984728957526396E-14</v>
      </c>
      <c r="BF71" s="13">
        <f t="shared" si="91"/>
        <v>1.0682447123141398E-12</v>
      </c>
      <c r="BG71" s="20">
        <f t="shared" si="61"/>
        <v>1.978932943548152E-12</v>
      </c>
      <c r="BH71" s="59">
        <f t="shared" si="62"/>
        <v>293.3333333333353</v>
      </c>
      <c r="BI71" s="59">
        <f ca="1">AVERAGE(OFFSET($BH$3,0,0,'Données projet'!$E$11+1,1))-AVERAGE(OFFSET($H$3,0,0,'Données projet'!$E$11+1,1))</f>
        <v>149.5086927376081</v>
      </c>
      <c r="BJ71" s="59">
        <f t="shared" si="92"/>
        <v>364.59164590134498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47.798410644420549</v>
      </c>
      <c r="BQ71" s="21">
        <f>EXP(-LN(2)/25)*BQ70+(1-EXP(-LN(2)/25))/(LN(2)/25)*Calculateur!BL71*Calculateur!BN71*VLOOKUP('Données projet'!$B$11,Paramètres!$A$1:$I$89,3,0)*0.475*44/12</f>
        <v>6.8024015070898791</v>
      </c>
      <c r="BR71" s="21">
        <f>EXP(-LN(2)/2)*BR70+(1-EXP(-LN(2)/2))/(LN(2)/2)*BL71*BO71*VLOOKUP('Données projet'!$B$11,Paramètres!$A$1:$I$89,3,0)*0.475*44/12</f>
        <v>1.1431348429655219E-6</v>
      </c>
      <c r="BS71" s="22">
        <f t="shared" si="63"/>
        <v>54.60081329464527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378.76906270916135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5.6843418860808015E-14</v>
      </c>
      <c r="O72" s="13">
        <f>N72*VLOOKUP('Données projet'!$B$9,Paramètres!$A$1:$I$89,3,0)*VLOOKUP('Données projet'!$B$9,Paramètres!$A$1:$I$89,5,0)</f>
        <v>3.3992364478763198E-14</v>
      </c>
      <c r="P72" s="13">
        <f t="shared" si="87"/>
        <v>5.790027782444094E-13</v>
      </c>
      <c r="Q72" s="20">
        <f t="shared" si="54"/>
        <v>1.0676332069095257E-12</v>
      </c>
      <c r="R72" s="59">
        <f t="shared" si="55"/>
        <v>293.33333333333439</v>
      </c>
      <c r="S72" s="59">
        <f ca="1">AVERAGE(OFFSET($R$3,0,0,'Données projet'!$E$9+1,1))-AVERAGE(OFFSET($H$3,0,0,'Données projet'!$E$9+1,1))</f>
        <v>153.00981126776304</v>
      </c>
      <c r="T72" s="59">
        <f t="shared" si="88"/>
        <v>309.90400623462932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52.186123139842238</v>
      </c>
      <c r="AA72" s="21">
        <f>EXP(-LN(2)/25)*AA71+(1-EXP(-LN(2)/25))/(LN(2)/25)*Calculateur!V72*Calculateur!X72*VLOOKUP('Données projet'!$B$9,Paramètres!$A$1:$I$89,3,0)*0.475*44/12</f>
        <v>7.1411200170064655</v>
      </c>
      <c r="AB72" s="21">
        <f>EXP(-LN(2)/2)*AB71+(1-EXP(-LN(2)/2))/(LN(2)/2)*V72*Y72*VLOOKUP('Données projet'!$B$9,Paramètres!$A$1:$I$89,3,0)*0.475*44/12</f>
        <v>1.0527289285622963E-6</v>
      </c>
      <c r="AC72" s="22">
        <f t="shared" si="57"/>
        <v>59.327244209577628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1.1368683772161603E-13</v>
      </c>
      <c r="AJ72" s="13">
        <f>AI72*VLOOKUP('Données projet'!$B$10,Paramètres!$A$1:$I$89,3,0)*VLOOKUP('Données projet'!$B$10,Paramètres!$A$1:$I$89,5,0)</f>
        <v>6.7984728957526396E-14</v>
      </c>
      <c r="AK72" s="13">
        <f t="shared" si="89"/>
        <v>1.0682447123141398E-12</v>
      </c>
      <c r="AL72" s="20">
        <f t="shared" si="58"/>
        <v>1.978932943548152E-12</v>
      </c>
      <c r="AM72" s="59">
        <f t="shared" si="59"/>
        <v>293.3333333333353</v>
      </c>
      <c r="AN72" s="59">
        <f ca="1">AVERAGE(OFFSET($AM$3,0,0,'Données projet'!$E$10+1,1))-AVERAGE(OFFSET($H$3,0,0,'Données projet'!$E$10+1,1))</f>
        <v>149.5086927376081</v>
      </c>
      <c r="AO72" s="59">
        <f t="shared" si="90"/>
        <v>364.59164590134498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46.861112965835225</v>
      </c>
      <c r="AV72" s="21">
        <f>EXP(-LN(2)/25)*AV71+(1-EXP(-LN(2)/25))/(LN(2)/25)*Calculateur!AQ72*Calculateur!AS72*VLOOKUP('Données projet'!$B$10,Paramètres!$A$1:$I$89,3,0)*0.475*44/12</f>
        <v>6.6163894801557586</v>
      </c>
      <c r="AW72" s="21">
        <f>EXP(-LN(2)/2)*AW71+(1-EXP(-LN(2)/2))/(LN(2)/2)*AQ72*AT72*VLOOKUP('Données projet'!$B$10,Paramètres!$A$1:$I$89,3,0)*0.475*44/12</f>
        <v>8.083183992715397E-7</v>
      </c>
      <c r="AX72" s="21">
        <f t="shared" si="60"/>
        <v>53.477503254309383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1.1368683772161603E-13</v>
      </c>
      <c r="BE72" s="13">
        <f>BD72*VLOOKUP('Données projet'!$B$11,Paramètres!$A$1:$I$89,3,0)*VLOOKUP('Données projet'!$B$11,Paramètres!$A$1:$I$89,5,0)</f>
        <v>6.7984728957526396E-14</v>
      </c>
      <c r="BF72" s="13">
        <f t="shared" si="91"/>
        <v>1.0682447123141398E-12</v>
      </c>
      <c r="BG72" s="20">
        <f t="shared" si="61"/>
        <v>1.978932943548152E-12</v>
      </c>
      <c r="BH72" s="59">
        <f t="shared" si="62"/>
        <v>293.3333333333353</v>
      </c>
      <c r="BI72" s="59">
        <f ca="1">AVERAGE(OFFSET($BH$3,0,0,'Données projet'!$E$11+1,1))-AVERAGE(OFFSET($H$3,0,0,'Données projet'!$E$11+1,1))</f>
        <v>149.5086927376081</v>
      </c>
      <c r="BJ72" s="59">
        <f t="shared" si="92"/>
        <v>364.59164590134498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46.861112965835225</v>
      </c>
      <c r="BQ72" s="21">
        <f>EXP(-LN(2)/25)*BQ71+(1-EXP(-LN(2)/25))/(LN(2)/25)*Calculateur!BL72*Calculateur!BN72*VLOOKUP('Données projet'!$B$11,Paramètres!$A$1:$I$89,3,0)*0.475*44/12</f>
        <v>6.6163894801557586</v>
      </c>
      <c r="BR72" s="21">
        <f>EXP(-LN(2)/2)*BR71+(1-EXP(-LN(2)/2))/(LN(2)/2)*BL72*BO72*VLOOKUP('Données projet'!$B$11,Paramètres!$A$1:$I$89,3,0)*0.475*44/12</f>
        <v>8.083183992715397E-7</v>
      </c>
      <c r="BS72" s="22">
        <f t="shared" si="63"/>
        <v>53.477503254309383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379.97361296469114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5.6843418860808015E-14</v>
      </c>
      <c r="O73" s="13">
        <f>N73*VLOOKUP('Données projet'!$B$9,Paramètres!$A$1:$I$89,3,0)*VLOOKUP('Données projet'!$B$9,Paramètres!$A$1:$I$89,5,0)</f>
        <v>3.3992364478763198E-14</v>
      </c>
      <c r="P73" s="13">
        <f t="shared" si="87"/>
        <v>5.790027782444094E-13</v>
      </c>
      <c r="Q73" s="20">
        <f t="shared" si="54"/>
        <v>1.0676332069095257E-12</v>
      </c>
      <c r="R73" s="59">
        <f t="shared" si="55"/>
        <v>293.33333333333439</v>
      </c>
      <c r="S73" s="59">
        <f ca="1">AVERAGE(OFFSET($R$3,0,0,'Données projet'!$E$9+1,1))-AVERAGE(OFFSET($H$3,0,0,'Données projet'!$E$9+1,1))</f>
        <v>153.00981126776304</v>
      </c>
      <c r="T73" s="59">
        <f t="shared" si="88"/>
        <v>309.90400623462932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51.162785095462056</v>
      </c>
      <c r="AA73" s="21">
        <f>EXP(-LN(2)/25)*AA72+(1-EXP(-LN(2)/25))/(LN(2)/25)*Calculateur!V73*Calculateur!X73*VLOOKUP('Données projet'!$B$9,Paramètres!$A$1:$I$89,3,0)*0.475*44/12</f>
        <v>6.9458457146062429</v>
      </c>
      <c r="AB73" s="21">
        <f>EXP(-LN(2)/2)*AB72+(1-EXP(-LN(2)/2))/(LN(2)/2)*V73*Y73*VLOOKUP('Données projet'!$B$9,Paramètres!$A$1:$I$89,3,0)*0.475*44/12</f>
        <v>7.4439176413764826E-7</v>
      </c>
      <c r="AC73" s="22">
        <f t="shared" si="57"/>
        <v>58.108631554460061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1.1368683772161603E-13</v>
      </c>
      <c r="AJ73" s="13">
        <f>AI73*VLOOKUP('Données projet'!$B$10,Paramètres!$A$1:$I$89,3,0)*VLOOKUP('Données projet'!$B$10,Paramètres!$A$1:$I$89,5,0)</f>
        <v>6.7984728957526396E-14</v>
      </c>
      <c r="AK73" s="13">
        <f t="shared" si="89"/>
        <v>1.0682447123141398E-12</v>
      </c>
      <c r="AL73" s="20">
        <f t="shared" si="58"/>
        <v>1.978932943548152E-12</v>
      </c>
      <c r="AM73" s="59">
        <f t="shared" si="59"/>
        <v>293.3333333333353</v>
      </c>
      <c r="AN73" s="59">
        <f ca="1">AVERAGE(OFFSET($AM$3,0,0,'Données projet'!$E$10+1,1))-AVERAGE(OFFSET($H$3,0,0,'Données projet'!$E$10+1,1))</f>
        <v>149.5086927376081</v>
      </c>
      <c r="AO73" s="59">
        <f t="shared" si="90"/>
        <v>364.59164590134498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45.942195123031823</v>
      </c>
      <c r="AV73" s="21">
        <f>EXP(-LN(2)/25)*AV72+(1-EXP(-LN(2)/25))/(LN(2)/25)*Calculateur!AQ73*Calculateur!AS73*VLOOKUP('Données projet'!$B$10,Paramètres!$A$1:$I$89,3,0)*0.475*44/12</f>
        <v>6.4354639618800986</v>
      </c>
      <c r="AW73" s="21">
        <f>EXP(-LN(2)/2)*AW72+(1-EXP(-LN(2)/2))/(LN(2)/2)*AQ73*AT73*VLOOKUP('Données projet'!$B$10,Paramètres!$A$1:$I$89,3,0)*0.475*44/12</f>
        <v>5.7156742148276097E-7</v>
      </c>
      <c r="AX73" s="21">
        <f t="shared" si="60"/>
        <v>52.377659656479338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1.1368683772161603E-13</v>
      </c>
      <c r="BE73" s="13">
        <f>BD73*VLOOKUP('Données projet'!$B$11,Paramètres!$A$1:$I$89,3,0)*VLOOKUP('Données projet'!$B$11,Paramètres!$A$1:$I$89,5,0)</f>
        <v>6.7984728957526396E-14</v>
      </c>
      <c r="BF73" s="13">
        <f t="shared" si="91"/>
        <v>1.0682447123141398E-12</v>
      </c>
      <c r="BG73" s="20">
        <f t="shared" si="61"/>
        <v>1.978932943548152E-12</v>
      </c>
      <c r="BH73" s="59">
        <f t="shared" si="62"/>
        <v>293.3333333333353</v>
      </c>
      <c r="BI73" s="59">
        <f ca="1">AVERAGE(OFFSET($BH$3,0,0,'Données projet'!$E$11+1,1))-AVERAGE(OFFSET($H$3,0,0,'Données projet'!$E$11+1,1))</f>
        <v>149.5086927376081</v>
      </c>
      <c r="BJ73" s="59">
        <f t="shared" si="92"/>
        <v>364.59164590134498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45.942195123031823</v>
      </c>
      <c r="BQ73" s="21">
        <f>EXP(-LN(2)/25)*BQ72+(1-EXP(-LN(2)/25))/(LN(2)/25)*Calculateur!BL73*Calculateur!BN73*VLOOKUP('Données projet'!$B$11,Paramètres!$A$1:$I$89,3,0)*0.475*44/12</f>
        <v>6.4354639618800986</v>
      </c>
      <c r="BR73" s="21">
        <f>EXP(-LN(2)/2)*BR72+(1-EXP(-LN(2)/2))/(LN(2)/2)*BL73*BO73*VLOOKUP('Données projet'!$B$11,Paramètres!$A$1:$I$89,3,0)*0.475*44/12</f>
        <v>5.7156742148276097E-7</v>
      </c>
      <c r="BS73" s="22">
        <f t="shared" si="63"/>
        <v>52.377659656479338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381.17774185449025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5.6843418860808015E-14</v>
      </c>
      <c r="O74" s="13">
        <f>N74*VLOOKUP('Données projet'!$B$9,Paramètres!$A$1:$I$89,3,0)*VLOOKUP('Données projet'!$B$9,Paramètres!$A$1:$I$89,5,0)</f>
        <v>3.3992364478763198E-14</v>
      </c>
      <c r="P74" s="13">
        <f t="shared" si="87"/>
        <v>5.790027782444094E-13</v>
      </c>
      <c r="Q74" s="20">
        <f t="shared" si="54"/>
        <v>1.0676332069095257E-12</v>
      </c>
      <c r="R74" s="59">
        <f t="shared" si="55"/>
        <v>293.33333333333439</v>
      </c>
      <c r="S74" s="59">
        <f ca="1">AVERAGE(OFFSET($R$3,0,0,'Données projet'!$E$9+1,1))-AVERAGE(OFFSET($H$3,0,0,'Données projet'!$E$9+1,1))</f>
        <v>153.00981126776304</v>
      </c>
      <c r="T74" s="59">
        <f t="shared" si="88"/>
        <v>309.90400623462932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50.159514085957596</v>
      </c>
      <c r="AA74" s="21">
        <f>EXP(-LN(2)/25)*AA73+(1-EXP(-LN(2)/25))/(LN(2)/25)*Calculateur!V74*Calculateur!X74*VLOOKUP('Données projet'!$B$9,Paramètres!$A$1:$I$89,3,0)*0.475*44/12</f>
        <v>6.755911198274184</v>
      </c>
      <c r="AB74" s="21">
        <f>EXP(-LN(2)/2)*AB73+(1-EXP(-LN(2)/2))/(LN(2)/2)*V74*Y74*VLOOKUP('Données projet'!$B$9,Paramètres!$A$1:$I$89,3,0)*0.475*44/12</f>
        <v>5.2636446428114813E-7</v>
      </c>
      <c r="AC74" s="22">
        <f t="shared" si="57"/>
        <v>56.915425810596247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1.1368683772161603E-13</v>
      </c>
      <c r="AJ74" s="13">
        <f>AI74*VLOOKUP('Données projet'!$B$10,Paramètres!$A$1:$I$89,3,0)*VLOOKUP('Données projet'!$B$10,Paramètres!$A$1:$I$89,5,0)</f>
        <v>6.7984728957526396E-14</v>
      </c>
      <c r="AK74" s="13">
        <f t="shared" si="89"/>
        <v>1.0682447123141398E-12</v>
      </c>
      <c r="AL74" s="20">
        <f t="shared" si="58"/>
        <v>1.978932943548152E-12</v>
      </c>
      <c r="AM74" s="59">
        <f t="shared" si="59"/>
        <v>293.3333333333353</v>
      </c>
      <c r="AN74" s="59">
        <f ca="1">AVERAGE(OFFSET($AM$3,0,0,'Données projet'!$E$10+1,1))-AVERAGE(OFFSET($H$3,0,0,'Données projet'!$E$10+1,1))</f>
        <v>149.5086927376081</v>
      </c>
      <c r="AO74" s="59">
        <f t="shared" si="90"/>
        <v>364.59164590134498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45.041296698641254</v>
      </c>
      <c r="AV74" s="21">
        <f>EXP(-LN(2)/25)*AV73+(1-EXP(-LN(2)/25))/(LN(2)/25)*Calculateur!AQ74*Calculateur!AS74*VLOOKUP('Données projet'!$B$10,Paramètres!$A$1:$I$89,3,0)*0.475*44/12</f>
        <v>6.2594858614161462</v>
      </c>
      <c r="AW74" s="21">
        <f>EXP(-LN(2)/2)*AW73+(1-EXP(-LN(2)/2))/(LN(2)/2)*AQ74*AT74*VLOOKUP('Données projet'!$B$10,Paramètres!$A$1:$I$89,3,0)*0.475*44/12</f>
        <v>4.0415919963576985E-7</v>
      </c>
      <c r="AX74" s="21">
        <f t="shared" si="60"/>
        <v>51.300782964216602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1.1368683772161603E-13</v>
      </c>
      <c r="BE74" s="13">
        <f>BD74*VLOOKUP('Données projet'!$B$11,Paramètres!$A$1:$I$89,3,0)*VLOOKUP('Données projet'!$B$11,Paramètres!$A$1:$I$89,5,0)</f>
        <v>6.7984728957526396E-14</v>
      </c>
      <c r="BF74" s="13">
        <f t="shared" si="91"/>
        <v>1.0682447123141398E-12</v>
      </c>
      <c r="BG74" s="20">
        <f t="shared" si="61"/>
        <v>1.978932943548152E-12</v>
      </c>
      <c r="BH74" s="59">
        <f t="shared" si="62"/>
        <v>293.3333333333353</v>
      </c>
      <c r="BI74" s="59">
        <f ca="1">AVERAGE(OFFSET($BH$3,0,0,'Données projet'!$E$11+1,1))-AVERAGE(OFFSET($H$3,0,0,'Données projet'!$E$11+1,1))</f>
        <v>149.5086927376081</v>
      </c>
      <c r="BJ74" s="59">
        <f t="shared" si="92"/>
        <v>364.59164590134498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45.041296698641254</v>
      </c>
      <c r="BQ74" s="21">
        <f>EXP(-LN(2)/25)*BQ73+(1-EXP(-LN(2)/25))/(LN(2)/25)*Calculateur!BL74*Calculateur!BN74*VLOOKUP('Données projet'!$B$11,Paramètres!$A$1:$I$89,3,0)*0.475*44/12</f>
        <v>6.2594858614161462</v>
      </c>
      <c r="BR74" s="21">
        <f>EXP(-LN(2)/2)*BR73+(1-EXP(-LN(2)/2))/(LN(2)/2)*BL74*BO74*VLOOKUP('Données projet'!$B$11,Paramètres!$A$1:$I$89,3,0)*0.475*44/12</f>
        <v>4.0415919963576985E-7</v>
      </c>
      <c r="BS74" s="22">
        <f t="shared" si="63"/>
        <v>51.300782964216602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382.38145599910195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5.6843418860808015E-14</v>
      </c>
      <c r="O75" s="13">
        <f>N75*VLOOKUP('Données projet'!$B$9,Paramètres!$A$1:$I$89,3,0)*VLOOKUP('Données projet'!$B$9,Paramètres!$A$1:$I$89,5,0)</f>
        <v>3.3992364478763198E-14</v>
      </c>
      <c r="P75" s="13">
        <f t="shared" si="87"/>
        <v>5.790027782444094E-13</v>
      </c>
      <c r="Q75" s="20">
        <f t="shared" si="54"/>
        <v>1.0676332069095257E-12</v>
      </c>
      <c r="R75" s="59">
        <f t="shared" si="55"/>
        <v>293.33333333333439</v>
      </c>
      <c r="S75" s="59">
        <f ca="1">AVERAGE(OFFSET($R$3,0,0,'Données projet'!$E$9+1,1))-AVERAGE(OFFSET($H$3,0,0,'Données projet'!$E$9+1,1))</f>
        <v>153.00981126776304</v>
      </c>
      <c r="T75" s="59">
        <f t="shared" si="88"/>
        <v>309.90400623462932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49.175916609014628</v>
      </c>
      <c r="AA75" s="21">
        <f>EXP(-LN(2)/25)*AA74+(1-EXP(-LN(2)/25))/(LN(2)/25)*Calculateur!V75*Calculateur!X75*VLOOKUP('Données projet'!$B$9,Paramètres!$A$1:$I$89,3,0)*0.475*44/12</f>
        <v>6.5711704512794471</v>
      </c>
      <c r="AB75" s="21">
        <f>EXP(-LN(2)/2)*AB74+(1-EXP(-LN(2)/2))/(LN(2)/2)*V75*Y75*VLOOKUP('Données projet'!$B$9,Paramètres!$A$1:$I$89,3,0)*0.475*44/12</f>
        <v>3.7219588206882413E-7</v>
      </c>
      <c r="AC75" s="22">
        <f t="shared" si="57"/>
        <v>55.747087432489963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1.1368683772161603E-13</v>
      </c>
      <c r="AJ75" s="13">
        <f>AI75*VLOOKUP('Données projet'!$B$10,Paramètres!$A$1:$I$89,3,0)*VLOOKUP('Données projet'!$B$10,Paramètres!$A$1:$I$89,5,0)</f>
        <v>6.7984728957526396E-14</v>
      </c>
      <c r="AK75" s="13">
        <f t="shared" si="89"/>
        <v>1.0682447123141398E-12</v>
      </c>
      <c r="AL75" s="20">
        <f t="shared" si="58"/>
        <v>1.978932943548152E-12</v>
      </c>
      <c r="AM75" s="59">
        <f t="shared" si="59"/>
        <v>293.3333333333353</v>
      </c>
      <c r="AN75" s="59">
        <f ca="1">AVERAGE(OFFSET($AM$3,0,0,'Données projet'!$E$10+1,1))-AVERAGE(OFFSET($H$3,0,0,'Données projet'!$E$10+1,1))</f>
        <v>149.5086927376081</v>
      </c>
      <c r="AO75" s="59">
        <f t="shared" si="90"/>
        <v>364.59164590134498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44.158064342859205</v>
      </c>
      <c r="AV75" s="21">
        <f>EXP(-LN(2)/25)*AV74+(1-EXP(-LN(2)/25))/(LN(2)/25)*Calculateur!AQ75*Calculateur!AS75*VLOOKUP('Données projet'!$B$10,Paramètres!$A$1:$I$89,3,0)*0.475*44/12</f>
        <v>6.0883198913636667</v>
      </c>
      <c r="AW75" s="21">
        <f>EXP(-LN(2)/2)*AW74+(1-EXP(-LN(2)/2))/(LN(2)/2)*AQ75*AT75*VLOOKUP('Données projet'!$B$10,Paramètres!$A$1:$I$89,3,0)*0.475*44/12</f>
        <v>2.8578371074138048E-7</v>
      </c>
      <c r="AX75" s="21">
        <f t="shared" si="60"/>
        <v>50.246384520006586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1.1368683772161603E-13</v>
      </c>
      <c r="BE75" s="13">
        <f>BD75*VLOOKUP('Données projet'!$B$11,Paramètres!$A$1:$I$89,3,0)*VLOOKUP('Données projet'!$B$11,Paramètres!$A$1:$I$89,5,0)</f>
        <v>6.7984728957526396E-14</v>
      </c>
      <c r="BF75" s="13">
        <f t="shared" si="91"/>
        <v>1.0682447123141398E-12</v>
      </c>
      <c r="BG75" s="20">
        <f t="shared" si="61"/>
        <v>1.978932943548152E-12</v>
      </c>
      <c r="BH75" s="59">
        <f t="shared" si="62"/>
        <v>293.3333333333353</v>
      </c>
      <c r="BI75" s="59">
        <f ca="1">AVERAGE(OFFSET($BH$3,0,0,'Données projet'!$E$11+1,1))-AVERAGE(OFFSET($H$3,0,0,'Données projet'!$E$11+1,1))</f>
        <v>149.5086927376081</v>
      </c>
      <c r="BJ75" s="59">
        <f t="shared" si="92"/>
        <v>364.59164590134498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44.158064342859205</v>
      </c>
      <c r="BQ75" s="21">
        <f>EXP(-LN(2)/25)*BQ74+(1-EXP(-LN(2)/25))/(LN(2)/25)*Calculateur!BL75*Calculateur!BN75*VLOOKUP('Données projet'!$B$11,Paramètres!$A$1:$I$89,3,0)*0.475*44/12</f>
        <v>6.0883198913636667</v>
      </c>
      <c r="BR75" s="21">
        <f>EXP(-LN(2)/2)*BR74+(1-EXP(-LN(2)/2))/(LN(2)/2)*BL75*BO75*VLOOKUP('Données projet'!$B$11,Paramètres!$A$1:$I$89,3,0)*0.475*44/12</f>
        <v>2.8578371074138048E-7</v>
      </c>
      <c r="BS75" s="22">
        <f t="shared" si="63"/>
        <v>50.246384520006586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383.58476182460123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5.6843418860808015E-14</v>
      </c>
      <c r="O76" s="13">
        <f>N76*VLOOKUP('Données projet'!$B$9,Paramètres!$A$1:$I$89,3,0)*VLOOKUP('Données projet'!$B$9,Paramètres!$A$1:$I$89,5,0)</f>
        <v>3.3992364478763198E-14</v>
      </c>
      <c r="P76" s="13">
        <f t="shared" si="87"/>
        <v>5.790027782444094E-13</v>
      </c>
      <c r="Q76" s="20">
        <f t="shared" si="54"/>
        <v>1.0676332069095257E-12</v>
      </c>
      <c r="R76" s="59">
        <f t="shared" si="55"/>
        <v>293.33333333333439</v>
      </c>
      <c r="S76" s="59">
        <f ca="1">AVERAGE(OFFSET($R$3,0,0,'Données projet'!$E$9+1,1))-AVERAGE(OFFSET($H$3,0,0,'Données projet'!$E$9+1,1))</f>
        <v>153.00981126776304</v>
      </c>
      <c r="T76" s="59">
        <f t="shared" si="88"/>
        <v>309.90400623462932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48.211606878659289</v>
      </c>
      <c r="AA76" s="21">
        <f>EXP(-LN(2)/25)*AA75+(1-EXP(-LN(2)/25))/(LN(2)/25)*Calculateur!V76*Calculateur!X76*VLOOKUP('Données projet'!$B$9,Paramètres!$A$1:$I$89,3,0)*0.475*44/12</f>
        <v>6.391481449726375</v>
      </c>
      <c r="AB76" s="21">
        <f>EXP(-LN(2)/2)*AB75+(1-EXP(-LN(2)/2))/(LN(2)/2)*V76*Y76*VLOOKUP('Données projet'!$B$9,Paramètres!$A$1:$I$89,3,0)*0.475*44/12</f>
        <v>2.6318223214057407E-7</v>
      </c>
      <c r="AC76" s="22">
        <f t="shared" si="57"/>
        <v>54.603088591567897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1.1368683772161603E-13</v>
      </c>
      <c r="AJ76" s="13">
        <f>AI76*VLOOKUP('Données projet'!$B$10,Paramètres!$A$1:$I$89,3,0)*VLOOKUP('Données projet'!$B$10,Paramètres!$A$1:$I$89,5,0)</f>
        <v>6.7984728957526396E-14</v>
      </c>
      <c r="AK76" s="13">
        <f t="shared" si="89"/>
        <v>1.0682447123141398E-12</v>
      </c>
      <c r="AL76" s="20">
        <f t="shared" si="58"/>
        <v>1.978932943548152E-12</v>
      </c>
      <c r="AM76" s="59">
        <f t="shared" si="59"/>
        <v>293.3333333333353</v>
      </c>
      <c r="AN76" s="59">
        <f ca="1">AVERAGE(OFFSET($AM$3,0,0,'Données projet'!$E$10+1,1))-AVERAGE(OFFSET($H$3,0,0,'Données projet'!$E$10+1,1))</f>
        <v>149.5086927376081</v>
      </c>
      <c r="AO76" s="59">
        <f t="shared" si="90"/>
        <v>364.59164590134498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43.2921516348555</v>
      </c>
      <c r="AV76" s="21">
        <f>EXP(-LN(2)/25)*AV75+(1-EXP(-LN(2)/25))/(LN(2)/25)*Calculateur!AQ76*Calculateur!AS76*VLOOKUP('Données projet'!$B$10,Paramètres!$A$1:$I$89,3,0)*0.475*44/12</f>
        <v>5.9218344637634992</v>
      </c>
      <c r="AW76" s="21">
        <f>EXP(-LN(2)/2)*AW75+(1-EXP(-LN(2)/2))/(LN(2)/2)*AQ76*AT76*VLOOKUP('Données projet'!$B$10,Paramètres!$A$1:$I$89,3,0)*0.475*44/12</f>
        <v>2.0207959981788492E-7</v>
      </c>
      <c r="AX76" s="21">
        <f t="shared" si="60"/>
        <v>49.2139863006986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1.1368683772161603E-13</v>
      </c>
      <c r="BE76" s="13">
        <f>BD76*VLOOKUP('Données projet'!$B$11,Paramètres!$A$1:$I$89,3,0)*VLOOKUP('Données projet'!$B$11,Paramètres!$A$1:$I$89,5,0)</f>
        <v>6.7984728957526396E-14</v>
      </c>
      <c r="BF76" s="13">
        <f t="shared" si="91"/>
        <v>1.0682447123141398E-12</v>
      </c>
      <c r="BG76" s="20">
        <f t="shared" si="61"/>
        <v>1.978932943548152E-12</v>
      </c>
      <c r="BH76" s="59">
        <f t="shared" si="62"/>
        <v>293.3333333333353</v>
      </c>
      <c r="BI76" s="59">
        <f ca="1">AVERAGE(OFFSET($BH$3,0,0,'Données projet'!$E$11+1,1))-AVERAGE(OFFSET($H$3,0,0,'Données projet'!$E$11+1,1))</f>
        <v>149.5086927376081</v>
      </c>
      <c r="BJ76" s="59">
        <f t="shared" si="92"/>
        <v>364.59164590134498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43.2921516348555</v>
      </c>
      <c r="BQ76" s="21">
        <f>EXP(-LN(2)/25)*BQ75+(1-EXP(-LN(2)/25))/(LN(2)/25)*Calculateur!BL76*Calculateur!BN76*VLOOKUP('Données projet'!$B$11,Paramètres!$A$1:$I$89,3,0)*0.475*44/12</f>
        <v>5.9218344637634992</v>
      </c>
      <c r="BR76" s="21">
        <f>EXP(-LN(2)/2)*BR75+(1-EXP(-LN(2)/2))/(LN(2)/2)*BL76*BO76*VLOOKUP('Données projet'!$B$11,Paramètres!$A$1:$I$89,3,0)*0.475*44/12</f>
        <v>2.0207959981788492E-7</v>
      </c>
      <c r="BS76" s="22">
        <f t="shared" si="63"/>
        <v>49.2139863006986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384.78766557089068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5.6843418860808015E-14</v>
      </c>
      <c r="O77" s="13">
        <f>N77*VLOOKUP('Données projet'!$B$9,Paramètres!$A$1:$I$89,3,0)*VLOOKUP('Données projet'!$B$9,Paramètres!$A$1:$I$89,5,0)</f>
        <v>3.3992364478763198E-14</v>
      </c>
      <c r="P77" s="13">
        <f t="shared" si="87"/>
        <v>5.790027782444094E-13</v>
      </c>
      <c r="Q77" s="20">
        <f t="shared" si="54"/>
        <v>1.0676332069095257E-12</v>
      </c>
      <c r="R77" s="59">
        <f t="shared" si="55"/>
        <v>293.33333333333439</v>
      </c>
      <c r="S77" s="59">
        <f ca="1">AVERAGE(OFFSET($R$3,0,0,'Données projet'!$E$9+1,1))-AVERAGE(OFFSET($H$3,0,0,'Données projet'!$E$9+1,1))</f>
        <v>153.00981126776304</v>
      </c>
      <c r="T77" s="59">
        <f t="shared" si="88"/>
        <v>309.90400623462932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47.266206673945355</v>
      </c>
      <c r="AA77" s="21">
        <f>EXP(-LN(2)/25)*AA76+(1-EXP(-LN(2)/25))/(LN(2)/25)*Calculateur!V77*Calculateur!X77*VLOOKUP('Données projet'!$B$9,Paramètres!$A$1:$I$89,3,0)*0.475*44/12</f>
        <v>6.2167060533702054</v>
      </c>
      <c r="AB77" s="21">
        <f>EXP(-LN(2)/2)*AB76+(1-EXP(-LN(2)/2))/(LN(2)/2)*V77*Y77*VLOOKUP('Données projet'!$B$9,Paramètres!$A$1:$I$89,3,0)*0.475*44/12</f>
        <v>1.8609794103441206E-7</v>
      </c>
      <c r="AC77" s="22">
        <f t="shared" si="57"/>
        <v>53.4829129134135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1.1368683772161603E-13</v>
      </c>
      <c r="AJ77" s="13">
        <f>AI77*VLOOKUP('Données projet'!$B$10,Paramètres!$A$1:$I$89,3,0)*VLOOKUP('Données projet'!$B$10,Paramètres!$A$1:$I$89,5,0)</f>
        <v>6.7984728957526396E-14</v>
      </c>
      <c r="AK77" s="13">
        <f t="shared" si="89"/>
        <v>1.0682447123141398E-12</v>
      </c>
      <c r="AL77" s="20">
        <f t="shared" si="58"/>
        <v>1.978932943548152E-12</v>
      </c>
      <c r="AM77" s="59">
        <f t="shared" si="59"/>
        <v>293.3333333333353</v>
      </c>
      <c r="AN77" s="59">
        <f ca="1">AVERAGE(OFFSET($AM$3,0,0,'Données projet'!$E$10+1,1))-AVERAGE(OFFSET($H$3,0,0,'Données projet'!$E$10+1,1))</f>
        <v>149.5086927376081</v>
      </c>
      <c r="AO77" s="59">
        <f t="shared" si="90"/>
        <v>364.59164590134498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42.443218946901148</v>
      </c>
      <c r="AV77" s="21">
        <f>EXP(-LN(2)/25)*AV76+(1-EXP(-LN(2)/25))/(LN(2)/25)*Calculateur!AQ77*Calculateur!AS77*VLOOKUP('Données projet'!$B$10,Paramètres!$A$1:$I$89,3,0)*0.475*44/12</f>
        <v>5.7599015889361462</v>
      </c>
      <c r="AW77" s="21">
        <f>EXP(-LN(2)/2)*AW76+(1-EXP(-LN(2)/2))/(LN(2)/2)*AQ77*AT77*VLOOKUP('Données projet'!$B$10,Paramètres!$A$1:$I$89,3,0)*0.475*44/12</f>
        <v>1.4289185537069024E-7</v>
      </c>
      <c r="AX77" s="21">
        <f t="shared" si="60"/>
        <v>48.20312067872915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1.1368683772161603E-13</v>
      </c>
      <c r="BE77" s="13">
        <f>BD77*VLOOKUP('Données projet'!$B$11,Paramètres!$A$1:$I$89,3,0)*VLOOKUP('Données projet'!$B$11,Paramètres!$A$1:$I$89,5,0)</f>
        <v>6.7984728957526396E-14</v>
      </c>
      <c r="BF77" s="13">
        <f t="shared" si="91"/>
        <v>1.0682447123141398E-12</v>
      </c>
      <c r="BG77" s="20">
        <f t="shared" si="61"/>
        <v>1.978932943548152E-12</v>
      </c>
      <c r="BH77" s="59">
        <f t="shared" si="62"/>
        <v>293.3333333333353</v>
      </c>
      <c r="BI77" s="59">
        <f ca="1">AVERAGE(OFFSET($BH$3,0,0,'Données projet'!$E$11+1,1))-AVERAGE(OFFSET($H$3,0,0,'Données projet'!$E$11+1,1))</f>
        <v>149.5086927376081</v>
      </c>
      <c r="BJ77" s="59">
        <f t="shared" si="92"/>
        <v>364.59164590134498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42.443218946901148</v>
      </c>
      <c r="BQ77" s="21">
        <f>EXP(-LN(2)/25)*BQ76+(1-EXP(-LN(2)/25))/(LN(2)/25)*Calculateur!BL77*Calculateur!BN77*VLOOKUP('Données projet'!$B$11,Paramètres!$A$1:$I$89,3,0)*0.475*44/12</f>
        <v>5.7599015889361462</v>
      </c>
      <c r="BR77" s="21">
        <f>EXP(-LN(2)/2)*BR76+(1-EXP(-LN(2)/2))/(LN(2)/2)*BL77*BO77*VLOOKUP('Données projet'!$B$11,Paramètres!$A$1:$I$89,3,0)*0.475*44/12</f>
        <v>1.4289185537069024E-7</v>
      </c>
      <c r="BS77" s="22">
        <f t="shared" si="63"/>
        <v>48.20312067872915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385.99017329953574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5.6843418860808015E-14</v>
      </c>
      <c r="O78" s="13">
        <f>N78*VLOOKUP('Données projet'!$B$9,Paramètres!$A$1:$I$89,3,0)*VLOOKUP('Données projet'!$B$9,Paramètres!$A$1:$I$89,5,0)</f>
        <v>3.3992364478763198E-14</v>
      </c>
      <c r="P78" s="13">
        <f t="shared" si="87"/>
        <v>5.790027782444094E-13</v>
      </c>
      <c r="Q78" s="20">
        <f t="shared" si="54"/>
        <v>1.0676332069095257E-12</v>
      </c>
      <c r="R78" s="59">
        <f t="shared" si="55"/>
        <v>293.33333333333439</v>
      </c>
      <c r="S78" s="59">
        <f ca="1">AVERAGE(OFFSET($R$3,0,0,'Données projet'!$E$9+1,1))-AVERAGE(OFFSET($H$3,0,0,'Données projet'!$E$9+1,1))</f>
        <v>153.00981126776304</v>
      </c>
      <c r="T78" s="59">
        <f t="shared" si="88"/>
        <v>309.90400623462932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46.339345190608675</v>
      </c>
      <c r="AA78" s="21">
        <f>EXP(-LN(2)/25)*AA77+(1-EXP(-LN(2)/25))/(LN(2)/25)*Calculateur!V78*Calculateur!X78*VLOOKUP('Données projet'!$B$9,Paramètres!$A$1:$I$89,3,0)*0.475*44/12</f>
        <v>6.0467098994184347</v>
      </c>
      <c r="AB78" s="21">
        <f>EXP(-LN(2)/2)*AB77+(1-EXP(-LN(2)/2))/(LN(2)/2)*V78*Y78*VLOOKUP('Données projet'!$B$9,Paramètres!$A$1:$I$89,3,0)*0.475*44/12</f>
        <v>1.3159111607028703E-7</v>
      </c>
      <c r="AC78" s="22">
        <f t="shared" si="57"/>
        <v>52.386055221618228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1.1368683772161603E-13</v>
      </c>
      <c r="AJ78" s="13">
        <f>AI78*VLOOKUP('Données projet'!$B$10,Paramètres!$A$1:$I$89,3,0)*VLOOKUP('Données projet'!$B$10,Paramètres!$A$1:$I$89,5,0)</f>
        <v>6.7984728957526396E-14</v>
      </c>
      <c r="AK78" s="13">
        <f t="shared" si="89"/>
        <v>1.0682447123141398E-12</v>
      </c>
      <c r="AL78" s="20">
        <f t="shared" si="58"/>
        <v>1.978932943548152E-12</v>
      </c>
      <c r="AM78" s="59">
        <f t="shared" si="59"/>
        <v>293.3333333333353</v>
      </c>
      <c r="AN78" s="59">
        <f ca="1">AVERAGE(OFFSET($AM$3,0,0,'Données projet'!$E$10+1,1))-AVERAGE(OFFSET($H$3,0,0,'Données projet'!$E$10+1,1))</f>
        <v>149.5086927376081</v>
      </c>
      <c r="AO78" s="59">
        <f t="shared" si="90"/>
        <v>364.59164590134498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41.610933311159762</v>
      </c>
      <c r="AV78" s="21">
        <f>EXP(-LN(2)/25)*AV77+(1-EXP(-LN(2)/25))/(LN(2)/25)*Calculateur!AQ78*Calculateur!AS78*VLOOKUP('Données projet'!$B$10,Paramètres!$A$1:$I$89,3,0)*0.475*44/12</f>
        <v>5.6023967770866268</v>
      </c>
      <c r="AW78" s="21">
        <f>EXP(-LN(2)/2)*AW77+(1-EXP(-LN(2)/2))/(LN(2)/2)*AQ78*AT78*VLOOKUP('Données projet'!$B$10,Paramètres!$A$1:$I$89,3,0)*0.475*44/12</f>
        <v>1.0103979990894246E-7</v>
      </c>
      <c r="AX78" s="21">
        <f t="shared" si="60"/>
        <v>47.213330189286189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1.1368683772161603E-13</v>
      </c>
      <c r="BE78" s="13">
        <f>BD78*VLOOKUP('Données projet'!$B$11,Paramètres!$A$1:$I$89,3,0)*VLOOKUP('Données projet'!$B$11,Paramètres!$A$1:$I$89,5,0)</f>
        <v>6.7984728957526396E-14</v>
      </c>
      <c r="BF78" s="13">
        <f t="shared" si="91"/>
        <v>1.0682447123141398E-12</v>
      </c>
      <c r="BG78" s="20">
        <f t="shared" si="61"/>
        <v>1.978932943548152E-12</v>
      </c>
      <c r="BH78" s="59">
        <f t="shared" si="62"/>
        <v>293.3333333333353</v>
      </c>
      <c r="BI78" s="59">
        <f ca="1">AVERAGE(OFFSET($BH$3,0,0,'Données projet'!$E$11+1,1))-AVERAGE(OFFSET($H$3,0,0,'Données projet'!$E$11+1,1))</f>
        <v>149.5086927376081</v>
      </c>
      <c r="BJ78" s="59">
        <f t="shared" si="92"/>
        <v>364.59164590134498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41.610933311159762</v>
      </c>
      <c r="BQ78" s="21">
        <f>EXP(-LN(2)/25)*BQ77+(1-EXP(-LN(2)/25))/(LN(2)/25)*Calculateur!BL78*Calculateur!BN78*VLOOKUP('Données projet'!$B$11,Paramètres!$A$1:$I$89,3,0)*0.475*44/12</f>
        <v>5.6023967770866268</v>
      </c>
      <c r="BR78" s="21">
        <f>EXP(-LN(2)/2)*BR77+(1-EXP(-LN(2)/2))/(LN(2)/2)*BL78*BO78*VLOOKUP('Données projet'!$B$11,Paramètres!$A$1:$I$89,3,0)*0.475*44/12</f>
        <v>1.0103979990894246E-7</v>
      </c>
      <c r="BS78" s="22">
        <f t="shared" si="63"/>
        <v>47.213330189286189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387.19229090117022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5.6843418860808015E-14</v>
      </c>
      <c r="O79" s="13">
        <f>N79*VLOOKUP('Données projet'!$B$9,Paramètres!$A$1:$I$89,3,0)*VLOOKUP('Données projet'!$B$9,Paramètres!$A$1:$I$89,5,0)</f>
        <v>3.3992364478763198E-14</v>
      </c>
      <c r="P79" s="13">
        <f t="shared" si="87"/>
        <v>5.790027782444094E-13</v>
      </c>
      <c r="Q79" s="20">
        <f t="shared" si="54"/>
        <v>1.0676332069095257E-12</v>
      </c>
      <c r="R79" s="59">
        <f t="shared" si="55"/>
        <v>293.33333333333439</v>
      </c>
      <c r="S79" s="59">
        <f ca="1">AVERAGE(OFFSET($R$3,0,0,'Données projet'!$E$9+1,1))-AVERAGE(OFFSET($H$3,0,0,'Données projet'!$E$9+1,1))</f>
        <v>153.00981126776304</v>
      </c>
      <c r="T79" s="59">
        <f t="shared" si="88"/>
        <v>309.90400623462932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45.430658895630543</v>
      </c>
      <c r="AA79" s="21">
        <f>EXP(-LN(2)/25)*AA78+(1-EXP(-LN(2)/25))/(LN(2)/25)*Calculateur!V79*Calculateur!X79*VLOOKUP('Données projet'!$B$9,Paramètres!$A$1:$I$89,3,0)*0.475*44/12</f>
        <v>5.8813622992361836</v>
      </c>
      <c r="AB79" s="21">
        <f>EXP(-LN(2)/2)*AB78+(1-EXP(-LN(2)/2))/(LN(2)/2)*V79*Y79*VLOOKUP('Données projet'!$B$9,Paramètres!$A$1:$I$89,3,0)*0.475*44/12</f>
        <v>9.3048970517206032E-8</v>
      </c>
      <c r="AC79" s="22">
        <f t="shared" si="57"/>
        <v>51.312021287915698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1.1368683772161603E-13</v>
      </c>
      <c r="AJ79" s="13">
        <f>AI79*VLOOKUP('Données projet'!$B$10,Paramètres!$A$1:$I$89,3,0)*VLOOKUP('Données projet'!$B$10,Paramètres!$A$1:$I$89,5,0)</f>
        <v>6.7984728957526396E-14</v>
      </c>
      <c r="AK79" s="13">
        <f t="shared" si="89"/>
        <v>1.0682447123141398E-12</v>
      </c>
      <c r="AL79" s="20">
        <f t="shared" si="58"/>
        <v>1.978932943548152E-12</v>
      </c>
      <c r="AM79" s="59">
        <f t="shared" si="59"/>
        <v>293.3333333333353</v>
      </c>
      <c r="AN79" s="59">
        <f ca="1">AVERAGE(OFFSET($AM$3,0,0,'Données projet'!$E$10+1,1))-AVERAGE(OFFSET($H$3,0,0,'Données projet'!$E$10+1,1))</f>
        <v>149.5086927376081</v>
      </c>
      <c r="AO79" s="59">
        <f t="shared" si="90"/>
        <v>364.59164590134498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40.794968289091159</v>
      </c>
      <c r="AV79" s="21">
        <f>EXP(-LN(2)/25)*AV78+(1-EXP(-LN(2)/25))/(LN(2)/25)*Calculateur!AQ79*Calculateur!AS79*VLOOKUP('Données projet'!$B$10,Paramètres!$A$1:$I$89,3,0)*0.475*44/12</f>
        <v>5.449198942599951</v>
      </c>
      <c r="AW79" s="21">
        <f>EXP(-LN(2)/2)*AW78+(1-EXP(-LN(2)/2))/(LN(2)/2)*AQ79*AT79*VLOOKUP('Données projet'!$B$10,Paramètres!$A$1:$I$89,3,0)*0.475*44/12</f>
        <v>7.1445927685345121E-8</v>
      </c>
      <c r="AX79" s="21">
        <f t="shared" si="60"/>
        <v>46.244167303137033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1.1368683772161603E-13</v>
      </c>
      <c r="BE79" s="13">
        <f>BD79*VLOOKUP('Données projet'!$B$11,Paramètres!$A$1:$I$89,3,0)*VLOOKUP('Données projet'!$B$11,Paramètres!$A$1:$I$89,5,0)</f>
        <v>6.7984728957526396E-14</v>
      </c>
      <c r="BF79" s="13">
        <f t="shared" si="91"/>
        <v>1.0682447123141398E-12</v>
      </c>
      <c r="BG79" s="20">
        <f t="shared" si="61"/>
        <v>1.978932943548152E-12</v>
      </c>
      <c r="BH79" s="59">
        <f t="shared" si="62"/>
        <v>293.3333333333353</v>
      </c>
      <c r="BI79" s="59">
        <f ca="1">AVERAGE(OFFSET($BH$3,0,0,'Données projet'!$E$11+1,1))-AVERAGE(OFFSET($H$3,0,0,'Données projet'!$E$11+1,1))</f>
        <v>149.5086927376081</v>
      </c>
      <c r="BJ79" s="59">
        <f t="shared" si="92"/>
        <v>364.59164590134498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40.794968289091159</v>
      </c>
      <c r="BQ79" s="21">
        <f>EXP(-LN(2)/25)*BQ78+(1-EXP(-LN(2)/25))/(LN(2)/25)*Calculateur!BL79*Calculateur!BN79*VLOOKUP('Données projet'!$B$11,Paramètres!$A$1:$I$89,3,0)*0.475*44/12</f>
        <v>5.449198942599951</v>
      </c>
      <c r="BR79" s="21">
        <f>EXP(-LN(2)/2)*BR78+(1-EXP(-LN(2)/2))/(LN(2)/2)*BL79*BO79*VLOOKUP('Données projet'!$B$11,Paramètres!$A$1:$I$89,3,0)*0.475*44/12</f>
        <v>7.1445927685345121E-8</v>
      </c>
      <c r="BS79" s="22">
        <f t="shared" si="63"/>
        <v>46.244167303137033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388.39402410250074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5.6843418860808015E-14</v>
      </c>
      <c r="O80" s="13">
        <f>N80*VLOOKUP('Données projet'!$B$9,Paramètres!$A$1:$I$89,3,0)*VLOOKUP('Données projet'!$B$9,Paramètres!$A$1:$I$89,5,0)</f>
        <v>3.3992364478763198E-14</v>
      </c>
      <c r="P80" s="13">
        <f t="shared" si="87"/>
        <v>5.790027782444094E-13</v>
      </c>
      <c r="Q80" s="20">
        <f t="shared" si="54"/>
        <v>1.0676332069095257E-12</v>
      </c>
      <c r="R80" s="59">
        <f t="shared" si="55"/>
        <v>293.33333333333439</v>
      </c>
      <c r="S80" s="59">
        <f ca="1">AVERAGE(OFFSET($R$3,0,0,'Données projet'!$E$9+1,1))-AVERAGE(OFFSET($H$3,0,0,'Données projet'!$E$9+1,1))</f>
        <v>153.00981126776304</v>
      </c>
      <c r="T80" s="59">
        <f t="shared" si="88"/>
        <v>309.90400623462932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44.539791384653022</v>
      </c>
      <c r="AA80" s="21">
        <f>EXP(-LN(2)/25)*AA79+(1-EXP(-LN(2)/25))/(LN(2)/25)*Calculateur!V80*Calculateur!X80*VLOOKUP('Données projet'!$B$9,Paramètres!$A$1:$I$89,3,0)*0.475*44/12</f>
        <v>5.7205361378761692</v>
      </c>
      <c r="AB80" s="21">
        <f>EXP(-LN(2)/2)*AB79+(1-EXP(-LN(2)/2))/(LN(2)/2)*V80*Y80*VLOOKUP('Données projet'!$B$9,Paramètres!$A$1:$I$89,3,0)*0.475*44/12</f>
        <v>6.5795558035143516E-8</v>
      </c>
      <c r="AC80" s="22">
        <f t="shared" si="57"/>
        <v>50.260327588324749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1.1368683772161603E-13</v>
      </c>
      <c r="AJ80" s="13">
        <f>AI80*VLOOKUP('Données projet'!$B$10,Paramètres!$A$1:$I$89,3,0)*VLOOKUP('Données projet'!$B$10,Paramètres!$A$1:$I$89,5,0)</f>
        <v>6.7984728957526396E-14</v>
      </c>
      <c r="AK80" s="13">
        <f t="shared" si="89"/>
        <v>1.0682447123141398E-12</v>
      </c>
      <c r="AL80" s="20">
        <f t="shared" si="58"/>
        <v>1.978932943548152E-12</v>
      </c>
      <c r="AM80" s="59">
        <f t="shared" si="59"/>
        <v>293.3333333333353</v>
      </c>
      <c r="AN80" s="59">
        <f ca="1">AVERAGE(OFFSET($AM$3,0,0,'Données projet'!$E$10+1,1))-AVERAGE(OFFSET($H$3,0,0,'Données projet'!$E$10+1,1))</f>
        <v>149.5086927376081</v>
      </c>
      <c r="AO80" s="59">
        <f t="shared" si="90"/>
        <v>364.59164590134498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39.995003843415795</v>
      </c>
      <c r="AV80" s="21">
        <f>EXP(-LN(2)/25)*AV79+(1-EXP(-LN(2)/25))/(LN(2)/25)*Calculateur!AQ80*Calculateur!AS80*VLOOKUP('Données projet'!$B$10,Paramètres!$A$1:$I$89,3,0)*0.475*44/12</f>
        <v>5.3001903109536368</v>
      </c>
      <c r="AW80" s="21">
        <f>EXP(-LN(2)/2)*AW79+(1-EXP(-LN(2)/2))/(LN(2)/2)*AQ80*AT80*VLOOKUP('Données projet'!$B$10,Paramètres!$A$1:$I$89,3,0)*0.475*44/12</f>
        <v>5.0519899954471231E-8</v>
      </c>
      <c r="AX80" s="21">
        <f t="shared" si="60"/>
        <v>45.295194204889334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1.1368683772161603E-13</v>
      </c>
      <c r="BE80" s="13">
        <f>BD80*VLOOKUP('Données projet'!$B$11,Paramètres!$A$1:$I$89,3,0)*VLOOKUP('Données projet'!$B$11,Paramètres!$A$1:$I$89,5,0)</f>
        <v>6.7984728957526396E-14</v>
      </c>
      <c r="BF80" s="13">
        <f t="shared" si="91"/>
        <v>1.0682447123141398E-12</v>
      </c>
      <c r="BG80" s="20">
        <f t="shared" si="61"/>
        <v>1.978932943548152E-12</v>
      </c>
      <c r="BH80" s="59">
        <f t="shared" si="62"/>
        <v>293.3333333333353</v>
      </c>
      <c r="BI80" s="59">
        <f ca="1">AVERAGE(OFFSET($BH$3,0,0,'Données projet'!$E$11+1,1))-AVERAGE(OFFSET($H$3,0,0,'Données projet'!$E$11+1,1))</f>
        <v>149.5086927376081</v>
      </c>
      <c r="BJ80" s="59">
        <f t="shared" si="92"/>
        <v>364.59164590134498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39.995003843415795</v>
      </c>
      <c r="BQ80" s="21">
        <f>EXP(-LN(2)/25)*BQ79+(1-EXP(-LN(2)/25))/(LN(2)/25)*Calculateur!BL80*Calculateur!BN80*VLOOKUP('Données projet'!$B$11,Paramètres!$A$1:$I$89,3,0)*0.475*44/12</f>
        <v>5.3001903109536368</v>
      </c>
      <c r="BR80" s="21">
        <f>EXP(-LN(2)/2)*BR79+(1-EXP(-LN(2)/2))/(LN(2)/2)*BL80*BO80*VLOOKUP('Données projet'!$B$11,Paramètres!$A$1:$I$89,3,0)*0.475*44/12</f>
        <v>5.0519899954471231E-8</v>
      </c>
      <c r="BS80" s="22">
        <f t="shared" si="63"/>
        <v>45.295194204889334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389.59537847293694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5.6843418860808015E-14</v>
      </c>
      <c r="O81" s="13">
        <f>N81*VLOOKUP('Données projet'!$B$9,Paramètres!$A$1:$I$89,3,0)*VLOOKUP('Données projet'!$B$9,Paramètres!$A$1:$I$89,5,0)</f>
        <v>3.3992364478763198E-14</v>
      </c>
      <c r="P81" s="13">
        <f t="shared" si="87"/>
        <v>5.790027782444094E-13</v>
      </c>
      <c r="Q81" s="20">
        <f t="shared" si="54"/>
        <v>1.0676332069095257E-12</v>
      </c>
      <c r="R81" s="59">
        <f t="shared" si="55"/>
        <v>293.33333333333439</v>
      </c>
      <c r="S81" s="59">
        <f ca="1">AVERAGE(OFFSET($R$3,0,0,'Données projet'!$E$9+1,1))-AVERAGE(OFFSET($H$3,0,0,'Données projet'!$E$9+1,1))</f>
        <v>153.00981126776304</v>
      </c>
      <c r="T81" s="59">
        <f t="shared" si="88"/>
        <v>309.90400623462932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43.666393242190246</v>
      </c>
      <c r="AA81" s="21">
        <f>EXP(-LN(2)/25)*AA80+(1-EXP(-LN(2)/25))/(LN(2)/25)*Calculateur!V81*Calculateur!X81*VLOOKUP('Données projet'!$B$9,Paramètres!$A$1:$I$89,3,0)*0.475*44/12</f>
        <v>5.5641077763560247</v>
      </c>
      <c r="AB81" s="21">
        <f>EXP(-LN(2)/2)*AB80+(1-EXP(-LN(2)/2))/(LN(2)/2)*V81*Y81*VLOOKUP('Données projet'!$B$9,Paramètres!$A$1:$I$89,3,0)*0.475*44/12</f>
        <v>4.6524485258603016E-8</v>
      </c>
      <c r="AC81" s="22">
        <f t="shared" si="57"/>
        <v>49.230501065070754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1.1368683772161603E-13</v>
      </c>
      <c r="AJ81" s="13">
        <f>AI81*VLOOKUP('Données projet'!$B$10,Paramètres!$A$1:$I$89,3,0)*VLOOKUP('Données projet'!$B$10,Paramètres!$A$1:$I$89,5,0)</f>
        <v>6.7984728957526396E-14</v>
      </c>
      <c r="AK81" s="13">
        <f t="shared" si="89"/>
        <v>1.0682447123141398E-12</v>
      </c>
      <c r="AL81" s="20">
        <f t="shared" si="58"/>
        <v>1.978932943548152E-12</v>
      </c>
      <c r="AM81" s="59">
        <f t="shared" si="59"/>
        <v>293.3333333333353</v>
      </c>
      <c r="AN81" s="59">
        <f ca="1">AVERAGE(OFFSET($AM$3,0,0,'Données projet'!$E$10+1,1))-AVERAGE(OFFSET($H$3,0,0,'Données projet'!$E$10+1,1))</f>
        <v>149.5086927376081</v>
      </c>
      <c r="AO81" s="59">
        <f t="shared" si="90"/>
        <v>364.59164590134498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39.210726212589996</v>
      </c>
      <c r="AV81" s="21">
        <f>EXP(-LN(2)/25)*AV80+(1-EXP(-LN(2)/25))/(LN(2)/25)*Calculateur!AQ81*Calculateur!AS81*VLOOKUP('Données projet'!$B$10,Paramètres!$A$1:$I$89,3,0)*0.475*44/12</f>
        <v>5.1552563281757147</v>
      </c>
      <c r="AW81" s="21">
        <f>EXP(-LN(2)/2)*AW80+(1-EXP(-LN(2)/2))/(LN(2)/2)*AQ81*AT81*VLOOKUP('Données projet'!$B$10,Paramètres!$A$1:$I$89,3,0)*0.475*44/12</f>
        <v>3.572296384267256E-8</v>
      </c>
      <c r="AX81" s="21">
        <f t="shared" si="60"/>
        <v>44.365982576488676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1.1368683772161603E-13</v>
      </c>
      <c r="BE81" s="13">
        <f>BD81*VLOOKUP('Données projet'!$B$11,Paramètres!$A$1:$I$89,3,0)*VLOOKUP('Données projet'!$B$11,Paramètres!$A$1:$I$89,5,0)</f>
        <v>6.7984728957526396E-14</v>
      </c>
      <c r="BF81" s="13">
        <f t="shared" si="91"/>
        <v>1.0682447123141398E-12</v>
      </c>
      <c r="BG81" s="20">
        <f t="shared" si="61"/>
        <v>1.978932943548152E-12</v>
      </c>
      <c r="BH81" s="59">
        <f t="shared" si="62"/>
        <v>293.3333333333353</v>
      </c>
      <c r="BI81" s="59">
        <f ca="1">AVERAGE(OFFSET($BH$3,0,0,'Données projet'!$E$11+1,1))-AVERAGE(OFFSET($H$3,0,0,'Données projet'!$E$11+1,1))</f>
        <v>149.5086927376081</v>
      </c>
      <c r="BJ81" s="59">
        <f t="shared" si="92"/>
        <v>364.59164590134498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39.210726212589996</v>
      </c>
      <c r="BQ81" s="21">
        <f>EXP(-LN(2)/25)*BQ80+(1-EXP(-LN(2)/25))/(LN(2)/25)*Calculateur!BL81*Calculateur!BN81*VLOOKUP('Données projet'!$B$11,Paramètres!$A$1:$I$89,3,0)*0.475*44/12</f>
        <v>5.1552563281757147</v>
      </c>
      <c r="BR81" s="21">
        <f>EXP(-LN(2)/2)*BR80+(1-EXP(-LN(2)/2))/(LN(2)/2)*BL81*BO81*VLOOKUP('Données projet'!$B$11,Paramètres!$A$1:$I$89,3,0)*0.475*44/12</f>
        <v>3.572296384267256E-8</v>
      </c>
      <c r="BS81" s="22">
        <f t="shared" si="63"/>
        <v>44.365982576488676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390.79635943087231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5.6843418860808015E-14</v>
      </c>
      <c r="O82" s="13">
        <f>N82*VLOOKUP('Données projet'!$B$9,Paramètres!$A$1:$I$89,3,0)*VLOOKUP('Données projet'!$B$9,Paramètres!$A$1:$I$89,5,0)</f>
        <v>3.3992364478763198E-14</v>
      </c>
      <c r="P82" s="13">
        <f t="shared" si="87"/>
        <v>5.790027782444094E-13</v>
      </c>
      <c r="Q82" s="20">
        <f t="shared" si="54"/>
        <v>1.0676332069095257E-12</v>
      </c>
      <c r="R82" s="59">
        <f t="shared" si="55"/>
        <v>293.33333333333439</v>
      </c>
      <c r="S82" s="59">
        <f ca="1">AVERAGE(OFFSET($R$3,0,0,'Données projet'!$E$9+1,1))-AVERAGE(OFFSET($H$3,0,0,'Données projet'!$E$9+1,1))</f>
        <v>153.00981126776304</v>
      </c>
      <c r="T82" s="59">
        <f t="shared" si="88"/>
        <v>309.90400623462932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42.810121904580896</v>
      </c>
      <c r="AA82" s="21">
        <f>EXP(-LN(2)/25)*AA81+(1-EXP(-LN(2)/25))/(LN(2)/25)*Calculateur!V82*Calculateur!X82*VLOOKUP('Données projet'!$B$9,Paramètres!$A$1:$I$89,3,0)*0.475*44/12</f>
        <v>5.4119569566078578</v>
      </c>
      <c r="AB82" s="21">
        <f>EXP(-LN(2)/2)*AB81+(1-EXP(-LN(2)/2))/(LN(2)/2)*V82*Y82*VLOOKUP('Données projet'!$B$9,Paramètres!$A$1:$I$89,3,0)*0.475*44/12</f>
        <v>3.2897779017571758E-8</v>
      </c>
      <c r="AC82" s="22">
        <f t="shared" si="57"/>
        <v>48.222078894086536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1.1368683772161603E-13</v>
      </c>
      <c r="AJ82" s="13">
        <f>AI82*VLOOKUP('Données projet'!$B$10,Paramètres!$A$1:$I$89,3,0)*VLOOKUP('Données projet'!$B$10,Paramètres!$A$1:$I$89,5,0)</f>
        <v>6.7984728957526396E-14</v>
      </c>
      <c r="AK82" s="13">
        <f t="shared" si="89"/>
        <v>1.0682447123141398E-12</v>
      </c>
      <c r="AL82" s="20">
        <f t="shared" si="58"/>
        <v>1.978932943548152E-12</v>
      </c>
      <c r="AM82" s="59">
        <f t="shared" si="59"/>
        <v>293.3333333333353</v>
      </c>
      <c r="AN82" s="59">
        <f ca="1">AVERAGE(OFFSET($AM$3,0,0,'Données projet'!$E$10+1,1))-AVERAGE(OFFSET($H$3,0,0,'Données projet'!$E$10+1,1))</f>
        <v>149.5086927376081</v>
      </c>
      <c r="AO82" s="59">
        <f t="shared" si="90"/>
        <v>364.59164590134498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38.441827787742568</v>
      </c>
      <c r="AV82" s="21">
        <f>EXP(-LN(2)/25)*AV81+(1-EXP(-LN(2)/25))/(LN(2)/25)*Calculateur!AQ82*Calculateur!AS82*VLOOKUP('Données projet'!$B$10,Paramètres!$A$1:$I$89,3,0)*0.475*44/12</f>
        <v>5.0142855727786015</v>
      </c>
      <c r="AW82" s="21">
        <f>EXP(-LN(2)/2)*AW81+(1-EXP(-LN(2)/2))/(LN(2)/2)*AQ82*AT82*VLOOKUP('Données projet'!$B$10,Paramètres!$A$1:$I$89,3,0)*0.475*44/12</f>
        <v>2.5259949977235615E-8</v>
      </c>
      <c r="AX82" s="21">
        <f t="shared" si="60"/>
        <v>43.456113385781123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1.1368683772161603E-13</v>
      </c>
      <c r="BE82" s="13">
        <f>BD82*VLOOKUP('Données projet'!$B$11,Paramètres!$A$1:$I$89,3,0)*VLOOKUP('Données projet'!$B$11,Paramètres!$A$1:$I$89,5,0)</f>
        <v>6.7984728957526396E-14</v>
      </c>
      <c r="BF82" s="13">
        <f t="shared" si="91"/>
        <v>1.0682447123141398E-12</v>
      </c>
      <c r="BG82" s="20">
        <f t="shared" si="61"/>
        <v>1.978932943548152E-12</v>
      </c>
      <c r="BH82" s="59">
        <f t="shared" si="62"/>
        <v>293.3333333333353</v>
      </c>
      <c r="BI82" s="59">
        <f ca="1">AVERAGE(OFFSET($BH$3,0,0,'Données projet'!$E$11+1,1))-AVERAGE(OFFSET($H$3,0,0,'Données projet'!$E$11+1,1))</f>
        <v>149.5086927376081</v>
      </c>
      <c r="BJ82" s="59">
        <f t="shared" si="92"/>
        <v>364.59164590134498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38.441827787742568</v>
      </c>
      <c r="BQ82" s="21">
        <f>EXP(-LN(2)/25)*BQ81+(1-EXP(-LN(2)/25))/(LN(2)/25)*Calculateur!BL82*Calculateur!BN82*VLOOKUP('Données projet'!$B$11,Paramètres!$A$1:$I$89,3,0)*0.475*44/12</f>
        <v>5.0142855727786015</v>
      </c>
      <c r="BR82" s="21">
        <f>EXP(-LN(2)/2)*BR81+(1-EXP(-LN(2)/2))/(LN(2)/2)*BL82*BO82*VLOOKUP('Données projet'!$B$11,Paramètres!$A$1:$I$89,3,0)*0.475*44/12</f>
        <v>2.5259949977235615E-8</v>
      </c>
      <c r="BS82" s="22">
        <f t="shared" si="63"/>
        <v>43.456113385781123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391.99697224963751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5.6843418860808015E-14</v>
      </c>
      <c r="O83" s="13">
        <f>N83*VLOOKUP('Données projet'!$B$9,Paramètres!$A$1:$I$89,3,0)*VLOOKUP('Données projet'!$B$9,Paramètres!$A$1:$I$89,5,0)</f>
        <v>3.3992364478763198E-14</v>
      </c>
      <c r="P83" s="13">
        <f t="shared" si="87"/>
        <v>5.790027782444094E-13</v>
      </c>
      <c r="Q83" s="20">
        <f t="shared" si="54"/>
        <v>1.0676332069095257E-12</v>
      </c>
      <c r="R83" s="59">
        <f t="shared" si="55"/>
        <v>293.33333333333439</v>
      </c>
      <c r="S83" s="59">
        <f ca="1">AVERAGE(OFFSET($R$3,0,0,'Données projet'!$E$9+1,1))-AVERAGE(OFFSET($H$3,0,0,'Données projet'!$E$9+1,1))</f>
        <v>153.00981126776304</v>
      </c>
      <c r="T83" s="59">
        <f t="shared" si="88"/>
        <v>309.90400623462932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41.970641525628118</v>
      </c>
      <c r="AA83" s="21">
        <f>EXP(-LN(2)/25)*AA82+(1-EXP(-LN(2)/25))/(LN(2)/25)*Calculateur!V83*Calculateur!X83*VLOOKUP('Données projet'!$B$9,Paramètres!$A$1:$I$89,3,0)*0.475*44/12</f>
        <v>5.2639667090269686</v>
      </c>
      <c r="AB83" s="21">
        <f>EXP(-LN(2)/2)*AB82+(1-EXP(-LN(2)/2))/(LN(2)/2)*V83*Y83*VLOOKUP('Données projet'!$B$9,Paramètres!$A$1:$I$89,3,0)*0.475*44/12</f>
        <v>2.3262242629301508E-8</v>
      </c>
      <c r="AC83" s="22">
        <f t="shared" si="57"/>
        <v>47.23460825791733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1.1368683772161603E-13</v>
      </c>
      <c r="AJ83" s="13">
        <f>AI83*VLOOKUP('Données projet'!$B$10,Paramètres!$A$1:$I$89,3,0)*VLOOKUP('Données projet'!$B$10,Paramètres!$A$1:$I$89,5,0)</f>
        <v>6.7984728957526396E-14</v>
      </c>
      <c r="AK83" s="13">
        <f t="shared" si="89"/>
        <v>1.0682447123141398E-12</v>
      </c>
      <c r="AL83" s="20">
        <f t="shared" si="58"/>
        <v>1.978932943548152E-12</v>
      </c>
      <c r="AM83" s="59">
        <f t="shared" si="59"/>
        <v>293.3333333333353</v>
      </c>
      <c r="AN83" s="59">
        <f ca="1">AVERAGE(OFFSET($AM$3,0,0,'Données projet'!$E$10+1,1))-AVERAGE(OFFSET($H$3,0,0,'Données projet'!$E$10+1,1))</f>
        <v>149.5086927376081</v>
      </c>
      <c r="AO83" s="59">
        <f t="shared" si="90"/>
        <v>364.59164590134498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37.688006992024668</v>
      </c>
      <c r="AV83" s="21">
        <f>EXP(-LN(2)/25)*AV82+(1-EXP(-LN(2)/25))/(LN(2)/25)*Calculateur!AQ83*Calculateur!AS83*VLOOKUP('Données projet'!$B$10,Paramètres!$A$1:$I$89,3,0)*0.475*44/12</f>
        <v>4.8771696701011527</v>
      </c>
      <c r="AW83" s="21">
        <f>EXP(-LN(2)/2)*AW82+(1-EXP(-LN(2)/2))/(LN(2)/2)*AQ83*AT83*VLOOKUP('Données projet'!$B$10,Paramètres!$A$1:$I$89,3,0)*0.475*44/12</f>
        <v>1.786148192133628E-8</v>
      </c>
      <c r="AX83" s="21">
        <f t="shared" si="60"/>
        <v>42.565176679987303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1.1368683772161603E-13</v>
      </c>
      <c r="BE83" s="13">
        <f>BD83*VLOOKUP('Données projet'!$B$11,Paramètres!$A$1:$I$89,3,0)*VLOOKUP('Données projet'!$B$11,Paramètres!$A$1:$I$89,5,0)</f>
        <v>6.7984728957526396E-14</v>
      </c>
      <c r="BF83" s="13">
        <f t="shared" si="91"/>
        <v>1.0682447123141398E-12</v>
      </c>
      <c r="BG83" s="20">
        <f t="shared" si="61"/>
        <v>1.978932943548152E-12</v>
      </c>
      <c r="BH83" s="59">
        <f t="shared" si="62"/>
        <v>293.3333333333353</v>
      </c>
      <c r="BI83" s="59">
        <f ca="1">AVERAGE(OFFSET($BH$3,0,0,'Données projet'!$E$11+1,1))-AVERAGE(OFFSET($H$3,0,0,'Données projet'!$E$11+1,1))</f>
        <v>149.5086927376081</v>
      </c>
      <c r="BJ83" s="59">
        <f t="shared" si="92"/>
        <v>364.59164590134498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37.688006992024668</v>
      </c>
      <c r="BQ83" s="21">
        <f>EXP(-LN(2)/25)*BQ82+(1-EXP(-LN(2)/25))/(LN(2)/25)*Calculateur!BL83*Calculateur!BN83*VLOOKUP('Données projet'!$B$11,Paramètres!$A$1:$I$89,3,0)*0.475*44/12</f>
        <v>4.8771696701011527</v>
      </c>
      <c r="BR83" s="21">
        <f>EXP(-LN(2)/2)*BR82+(1-EXP(-LN(2)/2))/(LN(2)/2)*BL83*BO83*VLOOKUP('Données projet'!$B$11,Paramètres!$A$1:$I$89,3,0)*0.475*44/12</f>
        <v>1.786148192133628E-8</v>
      </c>
      <c r="BS83" s="22">
        <f t="shared" si="63"/>
        <v>42.565176679987303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393.19722206314799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5.6843418860808015E-14</v>
      </c>
      <c r="O84" s="13">
        <f>N84*VLOOKUP('Données projet'!$B$9,Paramètres!$A$1:$I$89,3,0)*VLOOKUP('Données projet'!$B$9,Paramètres!$A$1:$I$89,5,0)</f>
        <v>3.3992364478763198E-14</v>
      </c>
      <c r="P84" s="13">
        <f t="shared" si="87"/>
        <v>5.790027782444094E-13</v>
      </c>
      <c r="Q84" s="20">
        <f t="shared" si="54"/>
        <v>1.0676332069095257E-12</v>
      </c>
      <c r="R84" s="59">
        <f t="shared" si="55"/>
        <v>293.33333333333439</v>
      </c>
      <c r="S84" s="59">
        <f ca="1">AVERAGE(OFFSET($R$3,0,0,'Données projet'!$E$9+1,1))-AVERAGE(OFFSET($H$3,0,0,'Données projet'!$E$9+1,1))</f>
        <v>153.00981126776304</v>
      </c>
      <c r="T84" s="59">
        <f t="shared" si="88"/>
        <v>309.90400623462932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41.147622844874135</v>
      </c>
      <c r="AA84" s="21">
        <f>EXP(-LN(2)/25)*AA83+(1-EXP(-LN(2)/25))/(LN(2)/25)*Calculateur!V84*Calculateur!X84*VLOOKUP('Données projet'!$B$9,Paramètres!$A$1:$I$89,3,0)*0.475*44/12</f>
        <v>5.1200232625486475</v>
      </c>
      <c r="AB84" s="21">
        <f>EXP(-LN(2)/2)*AB83+(1-EXP(-LN(2)/2))/(LN(2)/2)*V84*Y84*VLOOKUP('Données projet'!$B$9,Paramètres!$A$1:$I$89,3,0)*0.475*44/12</f>
        <v>1.6448889508785879E-8</v>
      </c>
      <c r="AC84" s="22">
        <f t="shared" si="57"/>
        <v>46.267646123871671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1.1368683772161603E-13</v>
      </c>
      <c r="AJ84" s="13">
        <f>AI84*VLOOKUP('Données projet'!$B$10,Paramètres!$A$1:$I$89,3,0)*VLOOKUP('Données projet'!$B$10,Paramètres!$A$1:$I$89,5,0)</f>
        <v>6.7984728957526396E-14</v>
      </c>
      <c r="AK84" s="13">
        <f t="shared" si="89"/>
        <v>1.0682447123141398E-12</v>
      </c>
      <c r="AL84" s="20">
        <f t="shared" si="58"/>
        <v>1.978932943548152E-12</v>
      </c>
      <c r="AM84" s="59">
        <f t="shared" si="59"/>
        <v>293.3333333333353</v>
      </c>
      <c r="AN84" s="59">
        <f ca="1">AVERAGE(OFFSET($AM$3,0,0,'Données projet'!$E$10+1,1))-AVERAGE(OFFSET($H$3,0,0,'Données projet'!$E$10+1,1))</f>
        <v>149.5086927376081</v>
      </c>
      <c r="AO84" s="59">
        <f t="shared" si="90"/>
        <v>364.59164590134498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36.948968162325514</v>
      </c>
      <c r="AV84" s="21">
        <f>EXP(-LN(2)/25)*AV83+(1-EXP(-LN(2)/25))/(LN(2)/25)*Calculateur!AQ84*Calculateur!AS84*VLOOKUP('Données projet'!$B$10,Paramètres!$A$1:$I$89,3,0)*0.475*44/12</f>
        <v>4.7438032089930307</v>
      </c>
      <c r="AW84" s="21">
        <f>EXP(-LN(2)/2)*AW83+(1-EXP(-LN(2)/2))/(LN(2)/2)*AQ84*AT84*VLOOKUP('Données projet'!$B$10,Paramètres!$A$1:$I$89,3,0)*0.475*44/12</f>
        <v>1.2629974988617808E-8</v>
      </c>
      <c r="AX84" s="21">
        <f t="shared" si="60"/>
        <v>41.692771383948518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1.1368683772161603E-13</v>
      </c>
      <c r="BE84" s="13">
        <f>BD84*VLOOKUP('Données projet'!$B$11,Paramètres!$A$1:$I$89,3,0)*VLOOKUP('Données projet'!$B$11,Paramètres!$A$1:$I$89,5,0)</f>
        <v>6.7984728957526396E-14</v>
      </c>
      <c r="BF84" s="13">
        <f t="shared" si="91"/>
        <v>1.0682447123141398E-12</v>
      </c>
      <c r="BG84" s="20">
        <f t="shared" si="61"/>
        <v>1.978932943548152E-12</v>
      </c>
      <c r="BH84" s="59">
        <f t="shared" si="62"/>
        <v>293.3333333333353</v>
      </c>
      <c r="BI84" s="59">
        <f ca="1">AVERAGE(OFFSET($BH$3,0,0,'Données projet'!$E$11+1,1))-AVERAGE(OFFSET($H$3,0,0,'Données projet'!$E$11+1,1))</f>
        <v>149.5086927376081</v>
      </c>
      <c r="BJ84" s="59">
        <f t="shared" si="92"/>
        <v>364.59164590134498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36.948968162325514</v>
      </c>
      <c r="BQ84" s="21">
        <f>EXP(-LN(2)/25)*BQ83+(1-EXP(-LN(2)/25))/(LN(2)/25)*Calculateur!BL84*Calculateur!BN84*VLOOKUP('Données projet'!$B$11,Paramètres!$A$1:$I$89,3,0)*0.475*44/12</f>
        <v>4.7438032089930307</v>
      </c>
      <c r="BR84" s="21">
        <f>EXP(-LN(2)/2)*BR83+(1-EXP(-LN(2)/2))/(LN(2)/2)*BL84*BO84*VLOOKUP('Données projet'!$B$11,Paramètres!$A$1:$I$89,3,0)*0.475*44/12</f>
        <v>1.2629974988617808E-8</v>
      </c>
      <c r="BS84" s="22">
        <f t="shared" si="63"/>
        <v>41.692771383948518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394.39711387126425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5.6843418860808015E-14</v>
      </c>
      <c r="O85" s="13">
        <f>N85*VLOOKUP('Données projet'!$B$9,Paramètres!$A$1:$I$89,3,0)*VLOOKUP('Données projet'!$B$9,Paramètres!$A$1:$I$89,5,0)</f>
        <v>3.3992364478763198E-14</v>
      </c>
      <c r="P85" s="13">
        <f t="shared" si="87"/>
        <v>5.790027782444094E-13</v>
      </c>
      <c r="Q85" s="20">
        <f t="shared" si="54"/>
        <v>1.0676332069095257E-12</v>
      </c>
      <c r="R85" s="59">
        <f t="shared" si="55"/>
        <v>293.33333333333439</v>
      </c>
      <c r="S85" s="59">
        <f ca="1">AVERAGE(OFFSET($R$3,0,0,'Données projet'!$E$9+1,1))-AVERAGE(OFFSET($H$3,0,0,'Données projet'!$E$9+1,1))</f>
        <v>153.00981126776304</v>
      </c>
      <c r="T85" s="59">
        <f t="shared" si="88"/>
        <v>309.90400623462932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40.34074305845791</v>
      </c>
      <c r="AA85" s="21">
        <f>EXP(-LN(2)/25)*AA84+(1-EXP(-LN(2)/25))/(LN(2)/25)*Calculateur!V85*Calculateur!X85*VLOOKUP('Données projet'!$B$9,Paramètres!$A$1:$I$89,3,0)*0.475*44/12</f>
        <v>4.9800159571839338</v>
      </c>
      <c r="AB85" s="21">
        <f>EXP(-LN(2)/2)*AB84+(1-EXP(-LN(2)/2))/(LN(2)/2)*V85*Y85*VLOOKUP('Données projet'!$B$9,Paramètres!$A$1:$I$89,3,0)*0.475*44/12</f>
        <v>1.1631121314650754E-8</v>
      </c>
      <c r="AC85" s="22">
        <f t="shared" si="57"/>
        <v>45.320759027272963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1.1368683772161603E-13</v>
      </c>
      <c r="AJ85" s="13">
        <f>AI85*VLOOKUP('Données projet'!$B$10,Paramètres!$A$1:$I$89,3,0)*VLOOKUP('Données projet'!$B$10,Paramètres!$A$1:$I$89,5,0)</f>
        <v>6.7984728957526396E-14</v>
      </c>
      <c r="AK85" s="13">
        <f t="shared" si="89"/>
        <v>1.0682447123141398E-12</v>
      </c>
      <c r="AL85" s="20">
        <f t="shared" si="58"/>
        <v>1.978932943548152E-12</v>
      </c>
      <c r="AM85" s="59">
        <f t="shared" si="59"/>
        <v>293.3333333333353</v>
      </c>
      <c r="AN85" s="59">
        <f ca="1">AVERAGE(OFFSET($AM$3,0,0,'Données projet'!$E$10+1,1))-AVERAGE(OFFSET($H$3,0,0,'Données projet'!$E$10+1,1))</f>
        <v>149.5086927376081</v>
      </c>
      <c r="AO85" s="59">
        <f t="shared" si="90"/>
        <v>364.59164590134498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36.224421433307583</v>
      </c>
      <c r="AV85" s="21">
        <f>EXP(-LN(2)/25)*AV84+(1-EXP(-LN(2)/25))/(LN(2)/25)*Calculateur!AQ85*Calculateur!AS85*VLOOKUP('Données projet'!$B$10,Paramètres!$A$1:$I$89,3,0)*0.475*44/12</f>
        <v>4.6140836607773474</v>
      </c>
      <c r="AW85" s="21">
        <f>EXP(-LN(2)/2)*AW84+(1-EXP(-LN(2)/2))/(LN(2)/2)*AQ85*AT85*VLOOKUP('Données projet'!$B$10,Paramètres!$A$1:$I$89,3,0)*0.475*44/12</f>
        <v>8.9307409606681401E-9</v>
      </c>
      <c r="AX85" s="21">
        <f t="shared" si="60"/>
        <v>40.83850510301567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1.1368683772161603E-13</v>
      </c>
      <c r="BE85" s="13">
        <f>BD85*VLOOKUP('Données projet'!$B$11,Paramètres!$A$1:$I$89,3,0)*VLOOKUP('Données projet'!$B$11,Paramètres!$A$1:$I$89,5,0)</f>
        <v>6.7984728957526396E-14</v>
      </c>
      <c r="BF85" s="13">
        <f t="shared" si="91"/>
        <v>1.0682447123141398E-12</v>
      </c>
      <c r="BG85" s="20">
        <f t="shared" si="61"/>
        <v>1.978932943548152E-12</v>
      </c>
      <c r="BH85" s="59">
        <f t="shared" si="62"/>
        <v>293.3333333333353</v>
      </c>
      <c r="BI85" s="59">
        <f ca="1">AVERAGE(OFFSET($BH$3,0,0,'Données projet'!$E$11+1,1))-AVERAGE(OFFSET($H$3,0,0,'Données projet'!$E$11+1,1))</f>
        <v>149.5086927376081</v>
      </c>
      <c r="BJ85" s="59">
        <f t="shared" si="92"/>
        <v>364.59164590134498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36.224421433307583</v>
      </c>
      <c r="BQ85" s="21">
        <f>EXP(-LN(2)/25)*BQ84+(1-EXP(-LN(2)/25))/(LN(2)/25)*Calculateur!BL85*Calculateur!BN85*VLOOKUP('Données projet'!$B$11,Paramètres!$A$1:$I$89,3,0)*0.475*44/12</f>
        <v>4.6140836607773474</v>
      </c>
      <c r="BR85" s="21">
        <f>EXP(-LN(2)/2)*BR84+(1-EXP(-LN(2)/2))/(LN(2)/2)*BL85*BO85*VLOOKUP('Données projet'!$B$11,Paramètres!$A$1:$I$89,3,0)*0.475*44/12</f>
        <v>8.9307409606681401E-9</v>
      </c>
      <c r="BS85" s="22">
        <f t="shared" si="63"/>
        <v>40.83850510301567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395.59665254488391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5.6843418860808015E-14</v>
      </c>
      <c r="O86" s="13">
        <f>N86*VLOOKUP('Données projet'!$B$9,Paramètres!$A$1:$I$89,3,0)*VLOOKUP('Données projet'!$B$9,Paramètres!$A$1:$I$89,5,0)</f>
        <v>3.3992364478763198E-14</v>
      </c>
      <c r="P86" s="13">
        <f t="shared" si="87"/>
        <v>5.790027782444094E-13</v>
      </c>
      <c r="Q86" s="20">
        <f t="shared" si="54"/>
        <v>1.0676332069095257E-12</v>
      </c>
      <c r="R86" s="59">
        <f t="shared" si="55"/>
        <v>293.33333333333439</v>
      </c>
      <c r="S86" s="59">
        <f ca="1">AVERAGE(OFFSET($R$3,0,0,'Données projet'!$E$9+1,1))-AVERAGE(OFFSET($H$3,0,0,'Données projet'!$E$9+1,1))</f>
        <v>153.00981126776304</v>
      </c>
      <c r="T86" s="59">
        <f t="shared" si="88"/>
        <v>309.90400623462932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39.549685692505236</v>
      </c>
      <c r="AA86" s="21">
        <f>EXP(-LN(2)/25)*AA85+(1-EXP(-LN(2)/25))/(LN(2)/25)*Calculateur!V86*Calculateur!X86*VLOOKUP('Données projet'!$B$9,Paramètres!$A$1:$I$89,3,0)*0.475*44/12</f>
        <v>4.8438371589470819</v>
      </c>
      <c r="AB86" s="21">
        <f>EXP(-LN(2)/2)*AB85+(1-EXP(-LN(2)/2))/(LN(2)/2)*V86*Y86*VLOOKUP('Données projet'!$B$9,Paramètres!$A$1:$I$89,3,0)*0.475*44/12</f>
        <v>8.2244447543929396E-9</v>
      </c>
      <c r="AC86" s="22">
        <f t="shared" si="57"/>
        <v>44.393522859676764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1.1368683772161603E-13</v>
      </c>
      <c r="AJ86" s="13">
        <f>AI86*VLOOKUP('Données projet'!$B$10,Paramètres!$A$1:$I$89,3,0)*VLOOKUP('Données projet'!$B$10,Paramètres!$A$1:$I$89,5,0)</f>
        <v>6.7984728957526396E-14</v>
      </c>
      <c r="AK86" s="13">
        <f t="shared" si="89"/>
        <v>1.0682447123141398E-12</v>
      </c>
      <c r="AL86" s="20">
        <f t="shared" si="58"/>
        <v>1.978932943548152E-12</v>
      </c>
      <c r="AM86" s="59">
        <f t="shared" si="59"/>
        <v>293.3333333333353</v>
      </c>
      <c r="AN86" s="59">
        <f ca="1">AVERAGE(OFFSET($AM$3,0,0,'Données projet'!$E$10+1,1))-AVERAGE(OFFSET($H$3,0,0,'Données projet'!$E$10+1,1))</f>
        <v>149.5086927376081</v>
      </c>
      <c r="AO86" s="59">
        <f t="shared" si="90"/>
        <v>364.59164590134498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35.514082623715822</v>
      </c>
      <c r="AV86" s="21">
        <f>EXP(-LN(2)/25)*AV85+(1-EXP(-LN(2)/25))/(LN(2)/25)*Calculateur!AQ86*Calculateur!AS86*VLOOKUP('Données projet'!$B$10,Paramètres!$A$1:$I$89,3,0)*0.475*44/12</f>
        <v>4.4879113004292766</v>
      </c>
      <c r="AW86" s="21">
        <f>EXP(-LN(2)/2)*AW85+(1-EXP(-LN(2)/2))/(LN(2)/2)*AQ86*AT86*VLOOKUP('Données projet'!$B$10,Paramètres!$A$1:$I$89,3,0)*0.475*44/12</f>
        <v>6.3149874943089039E-9</v>
      </c>
      <c r="AX86" s="21">
        <f t="shared" si="60"/>
        <v>40.001993930460081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1.1368683772161603E-13</v>
      </c>
      <c r="BE86" s="13">
        <f>BD86*VLOOKUP('Données projet'!$B$11,Paramètres!$A$1:$I$89,3,0)*VLOOKUP('Données projet'!$B$11,Paramètres!$A$1:$I$89,5,0)</f>
        <v>6.7984728957526396E-14</v>
      </c>
      <c r="BF86" s="13">
        <f t="shared" si="91"/>
        <v>1.0682447123141398E-12</v>
      </c>
      <c r="BG86" s="20">
        <f t="shared" si="61"/>
        <v>1.978932943548152E-12</v>
      </c>
      <c r="BH86" s="59">
        <f t="shared" si="62"/>
        <v>293.3333333333353</v>
      </c>
      <c r="BI86" s="59">
        <f ca="1">AVERAGE(OFFSET($BH$3,0,0,'Données projet'!$E$11+1,1))-AVERAGE(OFFSET($H$3,0,0,'Données projet'!$E$11+1,1))</f>
        <v>149.5086927376081</v>
      </c>
      <c r="BJ86" s="59">
        <f t="shared" si="92"/>
        <v>364.59164590134498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35.514082623715822</v>
      </c>
      <c r="BQ86" s="21">
        <f>EXP(-LN(2)/25)*BQ85+(1-EXP(-LN(2)/25))/(LN(2)/25)*Calculateur!BL86*Calculateur!BN86*VLOOKUP('Données projet'!$B$11,Paramètres!$A$1:$I$89,3,0)*0.475*44/12</f>
        <v>4.4879113004292766</v>
      </c>
      <c r="BR86" s="21">
        <f>EXP(-LN(2)/2)*BR85+(1-EXP(-LN(2)/2))/(LN(2)/2)*BL86*BO86*VLOOKUP('Données projet'!$B$11,Paramètres!$A$1:$I$89,3,0)*0.475*44/12</f>
        <v>6.3149874943089039E-9</v>
      </c>
      <c r="BS86" s="22">
        <f t="shared" si="63"/>
        <v>40.001993930460081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396.79584283078037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5.6843418860808015E-14</v>
      </c>
      <c r="O87" s="13">
        <f>N87*VLOOKUP('Données projet'!$B$9,Paramètres!$A$1:$I$89,3,0)*VLOOKUP('Données projet'!$B$9,Paramètres!$A$1:$I$89,5,0)</f>
        <v>3.3992364478763198E-14</v>
      </c>
      <c r="P87" s="13">
        <f t="shared" si="87"/>
        <v>5.790027782444094E-13</v>
      </c>
      <c r="Q87" s="20">
        <f t="shared" si="54"/>
        <v>1.0676332069095257E-12</v>
      </c>
      <c r="R87" s="59">
        <f t="shared" si="55"/>
        <v>293.33333333333439</v>
      </c>
      <c r="S87" s="59">
        <f ca="1">AVERAGE(OFFSET($R$3,0,0,'Données projet'!$E$9+1,1))-AVERAGE(OFFSET($H$3,0,0,'Données projet'!$E$9+1,1))</f>
        <v>153.00981126776304</v>
      </c>
      <c r="T87" s="59">
        <f t="shared" si="88"/>
        <v>309.90400623462932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38.774140479001538</v>
      </c>
      <c r="AA87" s="21">
        <f>EXP(-LN(2)/25)*AA86+(1-EXP(-LN(2)/25))/(LN(2)/25)*Calculateur!V87*Calculateur!X87*VLOOKUP('Données projet'!$B$9,Paramètres!$A$1:$I$89,3,0)*0.475*44/12</f>
        <v>4.7113821771093489</v>
      </c>
      <c r="AB87" s="21">
        <f>EXP(-LN(2)/2)*AB86+(1-EXP(-LN(2)/2))/(LN(2)/2)*V87*Y87*VLOOKUP('Données projet'!$B$9,Paramètres!$A$1:$I$89,3,0)*0.475*44/12</f>
        <v>5.815560657325377E-9</v>
      </c>
      <c r="AC87" s="22">
        <f t="shared" si="57"/>
        <v>43.485522661926446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1.1368683772161603E-13</v>
      </c>
      <c r="AJ87" s="13">
        <f>AI87*VLOOKUP('Données projet'!$B$10,Paramètres!$A$1:$I$89,3,0)*VLOOKUP('Données projet'!$B$10,Paramètres!$A$1:$I$89,5,0)</f>
        <v>6.7984728957526396E-14</v>
      </c>
      <c r="AK87" s="13">
        <f t="shared" si="89"/>
        <v>1.0682447123141398E-12</v>
      </c>
      <c r="AL87" s="20">
        <f t="shared" si="58"/>
        <v>1.978932943548152E-12</v>
      </c>
      <c r="AM87" s="59">
        <f t="shared" si="59"/>
        <v>293.3333333333353</v>
      </c>
      <c r="AN87" s="59">
        <f ca="1">AVERAGE(OFFSET($AM$3,0,0,'Données projet'!$E$10+1,1))-AVERAGE(OFFSET($H$3,0,0,'Données projet'!$E$10+1,1))</f>
        <v>149.5086927376081</v>
      </c>
      <c r="AO87" s="59">
        <f t="shared" si="90"/>
        <v>364.59164590134498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34.817673124916261</v>
      </c>
      <c r="AV87" s="21">
        <f>EXP(-LN(2)/25)*AV86+(1-EXP(-LN(2)/25))/(LN(2)/25)*Calculateur!AQ87*Calculateur!AS87*VLOOKUP('Données projet'!$B$10,Paramètres!$A$1:$I$89,3,0)*0.475*44/12</f>
        <v>4.36518912991004</v>
      </c>
      <c r="AW87" s="21">
        <f>EXP(-LN(2)/2)*AW86+(1-EXP(-LN(2)/2))/(LN(2)/2)*AQ87*AT87*VLOOKUP('Données projet'!$B$10,Paramètres!$A$1:$I$89,3,0)*0.475*44/12</f>
        <v>4.46537048033407E-9</v>
      </c>
      <c r="AX87" s="21">
        <f t="shared" si="60"/>
        <v>39.182862259291674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1.1368683772161603E-13</v>
      </c>
      <c r="BE87" s="13">
        <f>BD87*VLOOKUP('Données projet'!$B$11,Paramètres!$A$1:$I$89,3,0)*VLOOKUP('Données projet'!$B$11,Paramètres!$A$1:$I$89,5,0)</f>
        <v>6.7984728957526396E-14</v>
      </c>
      <c r="BF87" s="13">
        <f t="shared" si="91"/>
        <v>1.0682447123141398E-12</v>
      </c>
      <c r="BG87" s="20">
        <f t="shared" si="61"/>
        <v>1.978932943548152E-12</v>
      </c>
      <c r="BH87" s="59">
        <f t="shared" si="62"/>
        <v>293.3333333333353</v>
      </c>
      <c r="BI87" s="59">
        <f ca="1">AVERAGE(OFFSET($BH$3,0,0,'Données projet'!$E$11+1,1))-AVERAGE(OFFSET($H$3,0,0,'Données projet'!$E$11+1,1))</f>
        <v>149.5086927376081</v>
      </c>
      <c r="BJ87" s="59">
        <f t="shared" si="92"/>
        <v>364.59164590134498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34.817673124916261</v>
      </c>
      <c r="BQ87" s="21">
        <f>EXP(-LN(2)/25)*BQ86+(1-EXP(-LN(2)/25))/(LN(2)/25)*Calculateur!BL87*Calculateur!BN87*VLOOKUP('Données projet'!$B$11,Paramètres!$A$1:$I$89,3,0)*0.475*44/12</f>
        <v>4.36518912991004</v>
      </c>
      <c r="BR87" s="21">
        <f>EXP(-LN(2)/2)*BR86+(1-EXP(-LN(2)/2))/(LN(2)/2)*BL87*BO87*VLOOKUP('Données projet'!$B$11,Paramètres!$A$1:$I$89,3,0)*0.475*44/12</f>
        <v>4.46537048033407E-9</v>
      </c>
      <c r="BS87" s="22">
        <f t="shared" si="63"/>
        <v>39.182862259291674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397.99468935620564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5.6843418860808015E-14</v>
      </c>
      <c r="O88" s="13">
        <f>N88*VLOOKUP('Données projet'!$B$9,Paramètres!$A$1:$I$89,3,0)*VLOOKUP('Données projet'!$B$9,Paramètres!$A$1:$I$89,5,0)</f>
        <v>3.3992364478763198E-14</v>
      </c>
      <c r="P88" s="13">
        <f t="shared" si="87"/>
        <v>5.790027782444094E-13</v>
      </c>
      <c r="Q88" s="20">
        <f t="shared" si="54"/>
        <v>1.0676332069095257E-12</v>
      </c>
      <c r="R88" s="59">
        <f t="shared" si="55"/>
        <v>293.33333333333439</v>
      </c>
      <c r="S88" s="59">
        <f ca="1">AVERAGE(OFFSET($R$3,0,0,'Données projet'!$E$9+1,1))-AVERAGE(OFFSET($H$3,0,0,'Données projet'!$E$9+1,1))</f>
        <v>153.00981126776304</v>
      </c>
      <c r="T88" s="59">
        <f t="shared" si="88"/>
        <v>309.90400623462932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38.013803234098781</v>
      </c>
      <c r="AA88" s="21">
        <f>EXP(-LN(2)/25)*AA87+(1-EXP(-LN(2)/25))/(LN(2)/25)*Calculateur!V88*Calculateur!X88*VLOOKUP('Données projet'!$B$9,Paramètres!$A$1:$I$89,3,0)*0.475*44/12</f>
        <v>4.5825491837154733</v>
      </c>
      <c r="AB88" s="21">
        <f>EXP(-LN(2)/2)*AB87+(1-EXP(-LN(2)/2))/(LN(2)/2)*V88*Y88*VLOOKUP('Données projet'!$B$9,Paramètres!$A$1:$I$89,3,0)*0.475*44/12</f>
        <v>4.1122223771964698E-9</v>
      </c>
      <c r="AC88" s="22">
        <f t="shared" si="57"/>
        <v>42.596352421926476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1.1368683772161603E-13</v>
      </c>
      <c r="AJ88" s="13">
        <f>AI88*VLOOKUP('Données projet'!$B$10,Paramètres!$A$1:$I$89,3,0)*VLOOKUP('Données projet'!$B$10,Paramètres!$A$1:$I$89,5,0)</f>
        <v>6.7984728957526396E-14</v>
      </c>
      <c r="AK88" s="13">
        <f t="shared" si="89"/>
        <v>1.0682447123141398E-12</v>
      </c>
      <c r="AL88" s="20">
        <f t="shared" si="58"/>
        <v>1.978932943548152E-12</v>
      </c>
      <c r="AM88" s="59">
        <f t="shared" si="59"/>
        <v>293.3333333333353</v>
      </c>
      <c r="AN88" s="59">
        <f ca="1">AVERAGE(OFFSET($AM$3,0,0,'Données projet'!$E$10+1,1))-AVERAGE(OFFSET($H$3,0,0,'Données projet'!$E$10+1,1))</f>
        <v>149.5086927376081</v>
      </c>
      <c r="AO88" s="59">
        <f t="shared" si="90"/>
        <v>364.59164590134498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34.134919791620312</v>
      </c>
      <c r="AV88" s="21">
        <f>EXP(-LN(2)/25)*AV87+(1-EXP(-LN(2)/25))/(LN(2)/25)*Calculateur!AQ88*Calculateur!AS88*VLOOKUP('Données projet'!$B$10,Paramètres!$A$1:$I$89,3,0)*0.475*44/12</f>
        <v>4.2458228035973304</v>
      </c>
      <c r="AW88" s="21">
        <f>EXP(-LN(2)/2)*AW87+(1-EXP(-LN(2)/2))/(LN(2)/2)*AQ88*AT88*VLOOKUP('Données projet'!$B$10,Paramètres!$A$1:$I$89,3,0)*0.475*44/12</f>
        <v>3.1574937471544519E-9</v>
      </c>
      <c r="AX88" s="21">
        <f t="shared" si="60"/>
        <v>38.380742598375136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1.1368683772161603E-13</v>
      </c>
      <c r="BE88" s="13">
        <f>BD88*VLOOKUP('Données projet'!$B$11,Paramètres!$A$1:$I$89,3,0)*VLOOKUP('Données projet'!$B$11,Paramètres!$A$1:$I$89,5,0)</f>
        <v>6.7984728957526396E-14</v>
      </c>
      <c r="BF88" s="13">
        <f t="shared" si="91"/>
        <v>1.0682447123141398E-12</v>
      </c>
      <c r="BG88" s="20">
        <f t="shared" si="61"/>
        <v>1.978932943548152E-12</v>
      </c>
      <c r="BH88" s="59">
        <f t="shared" si="62"/>
        <v>293.3333333333353</v>
      </c>
      <c r="BI88" s="59">
        <f ca="1">AVERAGE(OFFSET($BH$3,0,0,'Données projet'!$E$11+1,1))-AVERAGE(OFFSET($H$3,0,0,'Données projet'!$E$11+1,1))</f>
        <v>149.5086927376081</v>
      </c>
      <c r="BJ88" s="59">
        <f t="shared" si="92"/>
        <v>364.59164590134498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34.134919791620312</v>
      </c>
      <c r="BQ88" s="21">
        <f>EXP(-LN(2)/25)*BQ87+(1-EXP(-LN(2)/25))/(LN(2)/25)*Calculateur!BL88*Calculateur!BN88*VLOOKUP('Données projet'!$B$11,Paramètres!$A$1:$I$89,3,0)*0.475*44/12</f>
        <v>4.2458228035973304</v>
      </c>
      <c r="BR88" s="21">
        <f>EXP(-LN(2)/2)*BR87+(1-EXP(-LN(2)/2))/(LN(2)/2)*BL88*BO88*VLOOKUP('Données projet'!$B$11,Paramètres!$A$1:$I$89,3,0)*0.475*44/12</f>
        <v>3.1574937471544519E-9</v>
      </c>
      <c r="BS88" s="22">
        <f t="shared" si="63"/>
        <v>38.380742598375136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399.19319663326939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5.6843418860808015E-14</v>
      </c>
      <c r="O89" s="13">
        <f>N89*VLOOKUP('Données projet'!$B$9,Paramètres!$A$1:$I$89,3,0)*VLOOKUP('Données projet'!$B$9,Paramètres!$A$1:$I$89,5,0)</f>
        <v>3.3992364478763198E-14</v>
      </c>
      <c r="P89" s="13">
        <f t="shared" si="87"/>
        <v>5.790027782444094E-13</v>
      </c>
      <c r="Q89" s="20">
        <f t="shared" si="54"/>
        <v>1.0676332069095257E-12</v>
      </c>
      <c r="R89" s="59">
        <f t="shared" si="55"/>
        <v>293.33333333333439</v>
      </c>
      <c r="S89" s="59">
        <f ca="1">AVERAGE(OFFSET($R$3,0,0,'Données projet'!$E$9+1,1))-AVERAGE(OFFSET($H$3,0,0,'Données projet'!$E$9+1,1))</f>
        <v>153.00981126776304</v>
      </c>
      <c r="T89" s="59">
        <f t="shared" si="88"/>
        <v>309.90400623462932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37.268375738808636</v>
      </c>
      <c r="AA89" s="21">
        <f>EXP(-LN(2)/25)*AA88+(1-EXP(-LN(2)/25))/(LN(2)/25)*Calculateur!V89*Calculateur!X89*VLOOKUP('Données projet'!$B$9,Paramètres!$A$1:$I$89,3,0)*0.475*44/12</f>
        <v>4.4572391353009859</v>
      </c>
      <c r="AB89" s="21">
        <f>EXP(-LN(2)/2)*AB88+(1-EXP(-LN(2)/2))/(LN(2)/2)*V89*Y89*VLOOKUP('Données projet'!$B$9,Paramètres!$A$1:$I$89,3,0)*0.475*44/12</f>
        <v>2.9077803286626885E-9</v>
      </c>
      <c r="AC89" s="22">
        <f t="shared" si="57"/>
        <v>41.725614877017406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1.1368683772161603E-13</v>
      </c>
      <c r="AJ89" s="13">
        <f>AI89*VLOOKUP('Données projet'!$B$10,Paramètres!$A$1:$I$89,3,0)*VLOOKUP('Données projet'!$B$10,Paramètres!$A$1:$I$89,5,0)</f>
        <v>6.7984728957526396E-14</v>
      </c>
      <c r="AK89" s="13">
        <f t="shared" si="89"/>
        <v>1.0682447123141398E-12</v>
      </c>
      <c r="AL89" s="20">
        <f t="shared" si="58"/>
        <v>1.978932943548152E-12</v>
      </c>
      <c r="AM89" s="59">
        <f t="shared" si="59"/>
        <v>293.3333333333353</v>
      </c>
      <c r="AN89" s="59">
        <f ca="1">AVERAGE(OFFSET($AM$3,0,0,'Données projet'!$E$10+1,1))-AVERAGE(OFFSET($H$3,0,0,'Données projet'!$E$10+1,1))</f>
        <v>149.5086927376081</v>
      </c>
      <c r="AO89" s="59">
        <f t="shared" si="90"/>
        <v>364.59164590134498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33.465554834751885</v>
      </c>
      <c r="AV89" s="21">
        <f>EXP(-LN(2)/25)*AV88+(1-EXP(-LN(2)/25))/(LN(2)/25)*Calculateur!AQ89*Calculateur!AS89*VLOOKUP('Données projet'!$B$10,Paramètres!$A$1:$I$89,3,0)*0.475*44/12</f>
        <v>4.1297205557548438</v>
      </c>
      <c r="AW89" s="21">
        <f>EXP(-LN(2)/2)*AW88+(1-EXP(-LN(2)/2))/(LN(2)/2)*AQ89*AT89*VLOOKUP('Données projet'!$B$10,Paramètres!$A$1:$I$89,3,0)*0.475*44/12</f>
        <v>2.232685240167035E-9</v>
      </c>
      <c r="AX89" s="21">
        <f t="shared" si="60"/>
        <v>37.595275392739417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1.1368683772161603E-13</v>
      </c>
      <c r="BE89" s="13">
        <f>BD89*VLOOKUP('Données projet'!$B$11,Paramètres!$A$1:$I$89,3,0)*VLOOKUP('Données projet'!$B$11,Paramètres!$A$1:$I$89,5,0)</f>
        <v>6.7984728957526396E-14</v>
      </c>
      <c r="BF89" s="13">
        <f t="shared" si="91"/>
        <v>1.0682447123141398E-12</v>
      </c>
      <c r="BG89" s="20">
        <f t="shared" si="61"/>
        <v>1.978932943548152E-12</v>
      </c>
      <c r="BH89" s="59">
        <f t="shared" si="62"/>
        <v>293.3333333333353</v>
      </c>
      <c r="BI89" s="59">
        <f ca="1">AVERAGE(OFFSET($BH$3,0,0,'Données projet'!$E$11+1,1))-AVERAGE(OFFSET($H$3,0,0,'Données projet'!$E$11+1,1))</f>
        <v>149.5086927376081</v>
      </c>
      <c r="BJ89" s="59">
        <f t="shared" si="92"/>
        <v>364.59164590134498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33.465554834751885</v>
      </c>
      <c r="BQ89" s="21">
        <f>EXP(-LN(2)/25)*BQ88+(1-EXP(-LN(2)/25))/(LN(2)/25)*Calculateur!BL89*Calculateur!BN89*VLOOKUP('Données projet'!$B$11,Paramètres!$A$1:$I$89,3,0)*0.475*44/12</f>
        <v>4.1297205557548438</v>
      </c>
      <c r="BR89" s="21">
        <f>EXP(-LN(2)/2)*BR88+(1-EXP(-LN(2)/2))/(LN(2)/2)*BL89*BO89*VLOOKUP('Données projet'!$B$11,Paramètres!$A$1:$I$89,3,0)*0.475*44/12</f>
        <v>2.232685240167035E-9</v>
      </c>
      <c r="BS89" s="22">
        <f t="shared" si="63"/>
        <v>37.595275392739417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400.39136906310915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5.6843418860808015E-14</v>
      </c>
      <c r="O90" s="13">
        <f>N90*VLOOKUP('Données projet'!$B$9,Paramètres!$A$1:$I$89,3,0)*VLOOKUP('Données projet'!$B$9,Paramètres!$A$1:$I$89,5,0)</f>
        <v>3.3992364478763198E-14</v>
      </c>
      <c r="P90" s="13">
        <f t="shared" si="87"/>
        <v>5.790027782444094E-13</v>
      </c>
      <c r="Q90" s="20">
        <f t="shared" si="54"/>
        <v>1.0676332069095257E-12</v>
      </c>
      <c r="R90" s="59">
        <f t="shared" si="55"/>
        <v>293.33333333333439</v>
      </c>
      <c r="S90" s="59">
        <f ca="1">AVERAGE(OFFSET($R$3,0,0,'Données projet'!$E$9+1,1))-AVERAGE(OFFSET($H$3,0,0,'Données projet'!$E$9+1,1))</f>
        <v>153.00981126776304</v>
      </c>
      <c r="T90" s="59">
        <f t="shared" si="88"/>
        <v>309.90400623462932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36.537565622035252</v>
      </c>
      <c r="AA90" s="21">
        <f>EXP(-LN(2)/25)*AA89+(1-EXP(-LN(2)/25))/(LN(2)/25)*Calculateur!V90*Calculateur!X90*VLOOKUP('Données projet'!$B$9,Paramètres!$A$1:$I$89,3,0)*0.475*44/12</f>
        <v>4.3353556967501614</v>
      </c>
      <c r="AB90" s="21">
        <f>EXP(-LN(2)/2)*AB89+(1-EXP(-LN(2)/2))/(LN(2)/2)*V90*Y90*VLOOKUP('Données projet'!$B$9,Paramètres!$A$1:$I$89,3,0)*0.475*44/12</f>
        <v>2.0561111885982349E-9</v>
      </c>
      <c r="AC90" s="22">
        <f t="shared" si="57"/>
        <v>40.872921320841527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1.1368683772161603E-13</v>
      </c>
      <c r="AJ90" s="13">
        <f>AI90*VLOOKUP('Données projet'!$B$10,Paramètres!$A$1:$I$89,3,0)*VLOOKUP('Données projet'!$B$10,Paramètres!$A$1:$I$89,5,0)</f>
        <v>6.7984728957526396E-14</v>
      </c>
      <c r="AK90" s="13">
        <f t="shared" si="89"/>
        <v>1.0682447123141398E-12</v>
      </c>
      <c r="AL90" s="20">
        <f t="shared" si="58"/>
        <v>1.978932943548152E-12</v>
      </c>
      <c r="AM90" s="59">
        <f t="shared" si="59"/>
        <v>293.3333333333353</v>
      </c>
      <c r="AN90" s="59">
        <f ca="1">AVERAGE(OFFSET($AM$3,0,0,'Données projet'!$E$10+1,1))-AVERAGE(OFFSET($H$3,0,0,'Données projet'!$E$10+1,1))</f>
        <v>149.5086927376081</v>
      </c>
      <c r="AO90" s="59">
        <f t="shared" si="90"/>
        <v>364.59164590134498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32.809315716415334</v>
      </c>
      <c r="AV90" s="21">
        <f>EXP(-LN(2)/25)*AV89+(1-EXP(-LN(2)/25))/(LN(2)/25)*Calculateur!AQ90*Calculateur!AS90*VLOOKUP('Données projet'!$B$10,Paramètres!$A$1:$I$89,3,0)*0.475*44/12</f>
        <v>4.016793129985162</v>
      </c>
      <c r="AW90" s="21">
        <f>EXP(-LN(2)/2)*AW89+(1-EXP(-LN(2)/2))/(LN(2)/2)*AQ90*AT90*VLOOKUP('Données projet'!$B$10,Paramètres!$A$1:$I$89,3,0)*0.475*44/12</f>
        <v>1.578746873577226E-9</v>
      </c>
      <c r="AX90" s="21">
        <f t="shared" si="60"/>
        <v>36.826108847979242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1.1368683772161603E-13</v>
      </c>
      <c r="BE90" s="13">
        <f>BD90*VLOOKUP('Données projet'!$B$11,Paramètres!$A$1:$I$89,3,0)*VLOOKUP('Données projet'!$B$11,Paramètres!$A$1:$I$89,5,0)</f>
        <v>6.7984728957526396E-14</v>
      </c>
      <c r="BF90" s="13">
        <f t="shared" si="91"/>
        <v>1.0682447123141398E-12</v>
      </c>
      <c r="BG90" s="20">
        <f t="shared" si="61"/>
        <v>1.978932943548152E-12</v>
      </c>
      <c r="BH90" s="59">
        <f t="shared" si="62"/>
        <v>293.3333333333353</v>
      </c>
      <c r="BI90" s="59">
        <f ca="1">AVERAGE(OFFSET($BH$3,0,0,'Données projet'!$E$11+1,1))-AVERAGE(OFFSET($H$3,0,0,'Données projet'!$E$11+1,1))</f>
        <v>149.5086927376081</v>
      </c>
      <c r="BJ90" s="59">
        <f t="shared" si="92"/>
        <v>364.59164590134498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32.809315716415334</v>
      </c>
      <c r="BQ90" s="21">
        <f>EXP(-LN(2)/25)*BQ89+(1-EXP(-LN(2)/25))/(LN(2)/25)*Calculateur!BL90*Calculateur!BN90*VLOOKUP('Données projet'!$B$11,Paramètres!$A$1:$I$89,3,0)*0.475*44/12</f>
        <v>4.016793129985162</v>
      </c>
      <c r="BR90" s="21">
        <f>EXP(-LN(2)/2)*BR89+(1-EXP(-LN(2)/2))/(LN(2)/2)*BL90*BO90*VLOOKUP('Données projet'!$B$11,Paramètres!$A$1:$I$89,3,0)*0.475*44/12</f>
        <v>1.578746873577226E-9</v>
      </c>
      <c r="BS90" s="22">
        <f t="shared" si="63"/>
        <v>36.826108847979242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401.58921093986299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5.6843418860808015E-14</v>
      </c>
      <c r="O91" s="13">
        <f>N91*VLOOKUP('Données projet'!$B$9,Paramètres!$A$1:$I$89,3,0)*VLOOKUP('Données projet'!$B$9,Paramètres!$A$1:$I$89,5,0)</f>
        <v>3.3992364478763198E-14</v>
      </c>
      <c r="P91" s="13">
        <f t="shared" si="87"/>
        <v>5.790027782444094E-13</v>
      </c>
      <c r="Q91" s="20">
        <f t="shared" si="54"/>
        <v>1.0676332069095257E-12</v>
      </c>
      <c r="R91" s="59">
        <f t="shared" si="55"/>
        <v>293.33333333333439</v>
      </c>
      <c r="S91" s="59">
        <f ca="1">AVERAGE(OFFSET($R$3,0,0,'Données projet'!$E$9+1,1))-AVERAGE(OFFSET($H$3,0,0,'Données projet'!$E$9+1,1))</f>
        <v>153.00981126776304</v>
      </c>
      <c r="T91" s="59">
        <f t="shared" si="88"/>
        <v>309.90400623462932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35.82108624590164</v>
      </c>
      <c r="AA91" s="21">
        <f>EXP(-LN(2)/25)*AA90+(1-EXP(-LN(2)/25))/(LN(2)/25)*Calculateur!V91*Calculateur!X91*VLOOKUP('Données projet'!$B$9,Paramètres!$A$1:$I$89,3,0)*0.475*44/12</f>
        <v>4.2168051672360809</v>
      </c>
      <c r="AB91" s="21">
        <f>EXP(-LN(2)/2)*AB90+(1-EXP(-LN(2)/2))/(LN(2)/2)*V91*Y91*VLOOKUP('Données projet'!$B$9,Paramètres!$A$1:$I$89,3,0)*0.475*44/12</f>
        <v>1.4538901643313443E-9</v>
      </c>
      <c r="AC91" s="22">
        <f t="shared" si="57"/>
        <v>40.037891414591613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1.1368683772161603E-13</v>
      </c>
      <c r="AJ91" s="13">
        <f>AI91*VLOOKUP('Données projet'!$B$10,Paramètres!$A$1:$I$89,3,0)*VLOOKUP('Données projet'!$B$10,Paramètres!$A$1:$I$89,5,0)</f>
        <v>6.7984728957526396E-14</v>
      </c>
      <c r="AK91" s="13">
        <f t="shared" si="89"/>
        <v>1.0682447123141398E-12</v>
      </c>
      <c r="AL91" s="20">
        <f t="shared" si="58"/>
        <v>1.978932943548152E-12</v>
      </c>
      <c r="AM91" s="59">
        <f t="shared" si="59"/>
        <v>293.3333333333353</v>
      </c>
      <c r="AN91" s="59">
        <f ca="1">AVERAGE(OFFSET($AM$3,0,0,'Données projet'!$E$10+1,1))-AVERAGE(OFFSET($H$3,0,0,'Données projet'!$E$10+1,1))</f>
        <v>149.5086927376081</v>
      </c>
      <c r="AO91" s="59">
        <f t="shared" si="90"/>
        <v>364.59164590134498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32.165945046923021</v>
      </c>
      <c r="AV91" s="21">
        <f>EXP(-LN(2)/25)*AV90+(1-EXP(-LN(2)/25))/(LN(2)/25)*Calculateur!AQ91*Calculateur!AS91*VLOOKUP('Données projet'!$B$10,Paramètres!$A$1:$I$89,3,0)*0.475*44/12</f>
        <v>3.9069537106117478</v>
      </c>
      <c r="AW91" s="21">
        <f>EXP(-LN(2)/2)*AW90+(1-EXP(-LN(2)/2))/(LN(2)/2)*AQ91*AT91*VLOOKUP('Données projet'!$B$10,Paramètres!$A$1:$I$89,3,0)*0.475*44/12</f>
        <v>1.1163426200835175E-9</v>
      </c>
      <c r="AX91" s="21">
        <f t="shared" si="60"/>
        <v>36.072898758651107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1.1368683772161603E-13</v>
      </c>
      <c r="BE91" s="13">
        <f>BD91*VLOOKUP('Données projet'!$B$11,Paramètres!$A$1:$I$89,3,0)*VLOOKUP('Données projet'!$B$11,Paramètres!$A$1:$I$89,5,0)</f>
        <v>6.7984728957526396E-14</v>
      </c>
      <c r="BF91" s="13">
        <f t="shared" si="91"/>
        <v>1.0682447123141398E-12</v>
      </c>
      <c r="BG91" s="20">
        <f t="shared" si="61"/>
        <v>1.978932943548152E-12</v>
      </c>
      <c r="BH91" s="59">
        <f t="shared" si="62"/>
        <v>293.3333333333353</v>
      </c>
      <c r="BI91" s="59">
        <f ca="1">AVERAGE(OFFSET($BH$3,0,0,'Données projet'!$E$11+1,1))-AVERAGE(OFFSET($H$3,0,0,'Données projet'!$E$11+1,1))</f>
        <v>149.5086927376081</v>
      </c>
      <c r="BJ91" s="59">
        <f t="shared" si="92"/>
        <v>364.59164590134498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32.165945046923021</v>
      </c>
      <c r="BQ91" s="21">
        <f>EXP(-LN(2)/25)*BQ90+(1-EXP(-LN(2)/25))/(LN(2)/25)*Calculateur!BL91*Calculateur!BN91*VLOOKUP('Données projet'!$B$11,Paramètres!$A$1:$I$89,3,0)*0.475*44/12</f>
        <v>3.9069537106117478</v>
      </c>
      <c r="BR91" s="21">
        <f>EXP(-LN(2)/2)*BR90+(1-EXP(-LN(2)/2))/(LN(2)/2)*BL91*BO91*VLOOKUP('Données projet'!$B$11,Paramètres!$A$1:$I$89,3,0)*0.475*44/12</f>
        <v>1.1163426200835175E-9</v>
      </c>
      <c r="BS91" s="22">
        <f t="shared" si="63"/>
        <v>36.072898758651107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402.78672645445664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5.6843418860808015E-14</v>
      </c>
      <c r="O92" s="13">
        <f>N92*VLOOKUP('Données projet'!$B$9,Paramètres!$A$1:$I$89,3,0)*VLOOKUP('Données projet'!$B$9,Paramètres!$A$1:$I$89,5,0)</f>
        <v>3.3992364478763198E-14</v>
      </c>
      <c r="P92" s="13">
        <f t="shared" si="87"/>
        <v>5.790027782444094E-13</v>
      </c>
      <c r="Q92" s="20">
        <f t="shared" si="54"/>
        <v>1.0676332069095257E-12</v>
      </c>
      <c r="R92" s="59">
        <f t="shared" si="55"/>
        <v>293.33333333333439</v>
      </c>
      <c r="S92" s="59">
        <f ca="1">AVERAGE(OFFSET($R$3,0,0,'Données projet'!$E$9+1,1))-AVERAGE(OFFSET($H$3,0,0,'Données projet'!$E$9+1,1))</f>
        <v>153.00981126776304</v>
      </c>
      <c r="T92" s="59">
        <f t="shared" si="88"/>
        <v>309.90400623462932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35.118656593324737</v>
      </c>
      <c r="AA92" s="21">
        <f>EXP(-LN(2)/25)*AA91+(1-EXP(-LN(2)/25))/(LN(2)/25)*Calculateur!V92*Calculateur!X92*VLOOKUP('Données projet'!$B$9,Paramètres!$A$1:$I$89,3,0)*0.475*44/12</f>
        <v>4.1014964081858638</v>
      </c>
      <c r="AB92" s="21">
        <f>EXP(-LN(2)/2)*AB91+(1-EXP(-LN(2)/2))/(LN(2)/2)*V92*Y92*VLOOKUP('Données projet'!$B$9,Paramètres!$A$1:$I$89,3,0)*0.475*44/12</f>
        <v>1.0280555942991174E-9</v>
      </c>
      <c r="AC92" s="22">
        <f t="shared" si="57"/>
        <v>39.220153002538659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1.1368683772161603E-13</v>
      </c>
      <c r="AJ92" s="13">
        <f>AI92*VLOOKUP('Données projet'!$B$10,Paramètres!$A$1:$I$89,3,0)*VLOOKUP('Données projet'!$B$10,Paramètres!$A$1:$I$89,5,0)</f>
        <v>6.7984728957526396E-14</v>
      </c>
      <c r="AK92" s="13">
        <f t="shared" si="89"/>
        <v>1.0682447123141398E-12</v>
      </c>
      <c r="AL92" s="20">
        <f t="shared" si="58"/>
        <v>1.978932943548152E-12</v>
      </c>
      <c r="AM92" s="59">
        <f t="shared" si="59"/>
        <v>293.3333333333353</v>
      </c>
      <c r="AN92" s="59">
        <f ca="1">AVERAGE(OFFSET($AM$3,0,0,'Données projet'!$E$10+1,1))-AVERAGE(OFFSET($H$3,0,0,'Données projet'!$E$10+1,1))</f>
        <v>149.5086927376081</v>
      </c>
      <c r="AO92" s="59">
        <f t="shared" si="90"/>
        <v>364.59164590134498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31.535190483842094</v>
      </c>
      <c r="AV92" s="21">
        <f>EXP(-LN(2)/25)*AV91+(1-EXP(-LN(2)/25))/(LN(2)/25)*Calculateur!AQ92*Calculateur!AS92*VLOOKUP('Données projet'!$B$10,Paramètres!$A$1:$I$89,3,0)*0.475*44/12</f>
        <v>3.8001178559373034</v>
      </c>
      <c r="AW92" s="21">
        <f>EXP(-LN(2)/2)*AW91+(1-EXP(-LN(2)/2))/(LN(2)/2)*AQ92*AT92*VLOOKUP('Données projet'!$B$10,Paramètres!$A$1:$I$89,3,0)*0.475*44/12</f>
        <v>7.8937343678861298E-10</v>
      </c>
      <c r="AX92" s="21">
        <f t="shared" si="60"/>
        <v>35.335308340568766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1.1368683772161603E-13</v>
      </c>
      <c r="BE92" s="13">
        <f>BD92*VLOOKUP('Données projet'!$B$11,Paramètres!$A$1:$I$89,3,0)*VLOOKUP('Données projet'!$B$11,Paramètres!$A$1:$I$89,5,0)</f>
        <v>6.7984728957526396E-14</v>
      </c>
      <c r="BF92" s="13">
        <f t="shared" si="91"/>
        <v>1.0682447123141398E-12</v>
      </c>
      <c r="BG92" s="20">
        <f t="shared" si="61"/>
        <v>1.978932943548152E-12</v>
      </c>
      <c r="BH92" s="59">
        <f t="shared" si="62"/>
        <v>293.3333333333353</v>
      </c>
      <c r="BI92" s="59">
        <f ca="1">AVERAGE(OFFSET($BH$3,0,0,'Données projet'!$E$11+1,1))-AVERAGE(OFFSET($H$3,0,0,'Données projet'!$E$11+1,1))</f>
        <v>149.5086927376081</v>
      </c>
      <c r="BJ92" s="59">
        <f t="shared" si="92"/>
        <v>364.59164590134498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31.535190483842094</v>
      </c>
      <c r="BQ92" s="21">
        <f>EXP(-LN(2)/25)*BQ91+(1-EXP(-LN(2)/25))/(LN(2)/25)*Calculateur!BL92*Calculateur!BN92*VLOOKUP('Données projet'!$B$11,Paramètres!$A$1:$I$89,3,0)*0.475*44/12</f>
        <v>3.8001178559373034</v>
      </c>
      <c r="BR92" s="21">
        <f>EXP(-LN(2)/2)*BR91+(1-EXP(-LN(2)/2))/(LN(2)/2)*BL92*BO92*VLOOKUP('Données projet'!$B$11,Paramètres!$A$1:$I$89,3,0)*0.475*44/12</f>
        <v>7.8937343678861298E-10</v>
      </c>
      <c r="BS92" s="22">
        <f t="shared" si="63"/>
        <v>35.335308340568766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403.98391969821557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5.6843418860808015E-14</v>
      </c>
      <c r="O93" s="13">
        <f>N93*VLOOKUP('Données projet'!$B$9,Paramètres!$A$1:$I$89,3,0)*VLOOKUP('Données projet'!$B$9,Paramètres!$A$1:$I$89,5,0)</f>
        <v>3.3992364478763198E-14</v>
      </c>
      <c r="P93" s="13">
        <f t="shared" si="87"/>
        <v>5.790027782444094E-13</v>
      </c>
      <c r="Q93" s="20">
        <f t="shared" si="54"/>
        <v>1.0676332069095257E-12</v>
      </c>
      <c r="R93" s="59">
        <f t="shared" si="55"/>
        <v>293.33333333333439</v>
      </c>
      <c r="S93" s="59">
        <f ca="1">AVERAGE(OFFSET($R$3,0,0,'Données projet'!$E$9+1,1))-AVERAGE(OFFSET($H$3,0,0,'Données projet'!$E$9+1,1))</f>
        <v>153.00981126776304</v>
      </c>
      <c r="T93" s="59">
        <f t="shared" si="88"/>
        <v>309.90400623462932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34.430001157795083</v>
      </c>
      <c r="AA93" s="21">
        <f>EXP(-LN(2)/25)*AA92+(1-EXP(-LN(2)/25))/(LN(2)/25)*Calculateur!V93*Calculateur!X93*VLOOKUP('Données projet'!$B$9,Paramètres!$A$1:$I$89,3,0)*0.475*44/12</f>
        <v>3.9893407732156994</v>
      </c>
      <c r="AB93" s="21">
        <f>EXP(-LN(2)/2)*AB92+(1-EXP(-LN(2)/2))/(LN(2)/2)*V93*Y93*VLOOKUP('Données projet'!$B$9,Paramètres!$A$1:$I$89,3,0)*0.475*44/12</f>
        <v>7.2694508216567213E-10</v>
      </c>
      <c r="AC93" s="22">
        <f t="shared" si="57"/>
        <v>38.419341931737726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1.1368683772161603E-13</v>
      </c>
      <c r="AJ93" s="13">
        <f>AI93*VLOOKUP('Données projet'!$B$10,Paramètres!$A$1:$I$89,3,0)*VLOOKUP('Données projet'!$B$10,Paramètres!$A$1:$I$89,5,0)</f>
        <v>6.7984728957526396E-14</v>
      </c>
      <c r="AK93" s="13">
        <f t="shared" si="89"/>
        <v>1.0682447123141398E-12</v>
      </c>
      <c r="AL93" s="20">
        <f t="shared" si="58"/>
        <v>1.978932943548152E-12</v>
      </c>
      <c r="AM93" s="59">
        <f t="shared" si="59"/>
        <v>293.3333333333353</v>
      </c>
      <c r="AN93" s="59">
        <f ca="1">AVERAGE(OFFSET($AM$3,0,0,'Données projet'!$E$10+1,1))-AVERAGE(OFFSET($H$3,0,0,'Données projet'!$E$10+1,1))</f>
        <v>149.5086927376081</v>
      </c>
      <c r="AO93" s="59">
        <f t="shared" si="90"/>
        <v>364.59164590134498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30.916804633020888</v>
      </c>
      <c r="AV93" s="21">
        <f>EXP(-LN(2)/25)*AV92+(1-EXP(-LN(2)/25))/(LN(2)/25)*Calculateur!AQ93*Calculateur!AS93*VLOOKUP('Données projet'!$B$10,Paramètres!$A$1:$I$89,3,0)*0.475*44/12</f>
        <v>3.6962034333271849</v>
      </c>
      <c r="AW93" s="21">
        <f>EXP(-LN(2)/2)*AW92+(1-EXP(-LN(2)/2))/(LN(2)/2)*AQ93*AT93*VLOOKUP('Données projet'!$B$10,Paramètres!$A$1:$I$89,3,0)*0.475*44/12</f>
        <v>5.5817131004175876E-10</v>
      </c>
      <c r="AX93" s="21">
        <f t="shared" si="60"/>
        <v>34.613008066906247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1.1368683772161603E-13</v>
      </c>
      <c r="BE93" s="13">
        <f>BD93*VLOOKUP('Données projet'!$B$11,Paramètres!$A$1:$I$89,3,0)*VLOOKUP('Données projet'!$B$11,Paramètres!$A$1:$I$89,5,0)</f>
        <v>6.7984728957526396E-14</v>
      </c>
      <c r="BF93" s="13">
        <f t="shared" si="91"/>
        <v>1.0682447123141398E-12</v>
      </c>
      <c r="BG93" s="20">
        <f t="shared" si="61"/>
        <v>1.978932943548152E-12</v>
      </c>
      <c r="BH93" s="59">
        <f t="shared" si="62"/>
        <v>293.3333333333353</v>
      </c>
      <c r="BI93" s="59">
        <f ca="1">AVERAGE(OFFSET($BH$3,0,0,'Données projet'!$E$11+1,1))-AVERAGE(OFFSET($H$3,0,0,'Données projet'!$E$11+1,1))</f>
        <v>149.5086927376081</v>
      </c>
      <c r="BJ93" s="59">
        <f t="shared" si="92"/>
        <v>364.59164590134498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30.916804633020888</v>
      </c>
      <c r="BQ93" s="21">
        <f>EXP(-LN(2)/25)*BQ92+(1-EXP(-LN(2)/25))/(LN(2)/25)*Calculateur!BL93*Calculateur!BN93*VLOOKUP('Données projet'!$B$11,Paramètres!$A$1:$I$89,3,0)*0.475*44/12</f>
        <v>3.6962034333271849</v>
      </c>
      <c r="BR93" s="21">
        <f>EXP(-LN(2)/2)*BR92+(1-EXP(-LN(2)/2))/(LN(2)/2)*BL93*BO93*VLOOKUP('Données projet'!$B$11,Paramètres!$A$1:$I$89,3,0)*0.475*44/12</f>
        <v>5.5817131004175876E-10</v>
      </c>
      <c r="BS93" s="22">
        <f t="shared" si="63"/>
        <v>34.613008066906247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405.18079466631161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5.6843418860808015E-14</v>
      </c>
      <c r="O94" s="13">
        <f>N94*VLOOKUP('Données projet'!$B$9,Paramètres!$A$1:$I$89,3,0)*VLOOKUP('Données projet'!$B$9,Paramètres!$A$1:$I$89,5,0)</f>
        <v>3.3992364478763198E-14</v>
      </c>
      <c r="P94" s="13">
        <f t="shared" si="87"/>
        <v>5.790027782444094E-13</v>
      </c>
      <c r="Q94" s="20">
        <f t="shared" si="54"/>
        <v>1.0676332069095257E-12</v>
      </c>
      <c r="R94" s="59">
        <f t="shared" si="55"/>
        <v>293.33333333333439</v>
      </c>
      <c r="S94" s="59">
        <f ca="1">AVERAGE(OFFSET($R$3,0,0,'Données projet'!$E$9+1,1))-AVERAGE(OFFSET($H$3,0,0,'Données projet'!$E$9+1,1))</f>
        <v>153.00981126776304</v>
      </c>
      <c r="T94" s="59">
        <f t="shared" si="88"/>
        <v>309.90400623462932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33.754849835317827</v>
      </c>
      <c r="AA94" s="21">
        <f>EXP(-LN(2)/25)*AA93+(1-EXP(-LN(2)/25))/(LN(2)/25)*Calculateur!V94*Calculateur!X94*VLOOKUP('Données projet'!$B$9,Paramètres!$A$1:$I$89,3,0)*0.475*44/12</f>
        <v>3.8802520399818023</v>
      </c>
      <c r="AB94" s="21">
        <f>EXP(-LN(2)/2)*AB93+(1-EXP(-LN(2)/2))/(LN(2)/2)*V94*Y94*VLOOKUP('Données projet'!$B$9,Paramètres!$A$1:$I$89,3,0)*0.475*44/12</f>
        <v>5.1402779714955872E-10</v>
      </c>
      <c r="AC94" s="22">
        <f t="shared" si="57"/>
        <v>37.63510187581366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1.1368683772161603E-13</v>
      </c>
      <c r="AJ94" s="13">
        <f>AI94*VLOOKUP('Données projet'!$B$10,Paramètres!$A$1:$I$89,3,0)*VLOOKUP('Données projet'!$B$10,Paramètres!$A$1:$I$89,5,0)</f>
        <v>6.7984728957526396E-14</v>
      </c>
      <c r="AK94" s="13">
        <f t="shared" si="89"/>
        <v>1.0682447123141398E-12</v>
      </c>
      <c r="AL94" s="20">
        <f t="shared" si="58"/>
        <v>1.978932943548152E-12</v>
      </c>
      <c r="AM94" s="59">
        <f t="shared" si="59"/>
        <v>293.3333333333353</v>
      </c>
      <c r="AN94" s="59">
        <f ca="1">AVERAGE(OFFSET($AM$3,0,0,'Données projet'!$E$10+1,1))-AVERAGE(OFFSET($H$3,0,0,'Données projet'!$E$10+1,1))</f>
        <v>149.5086927376081</v>
      </c>
      <c r="AO94" s="59">
        <f t="shared" si="90"/>
        <v>364.59164590134498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30.310544951556164</v>
      </c>
      <c r="AV94" s="21">
        <f>EXP(-LN(2)/25)*AV93+(1-EXP(-LN(2)/25))/(LN(2)/25)*Calculateur!AQ94*Calculateur!AS94*VLOOKUP('Données projet'!$B$10,Paramètres!$A$1:$I$89,3,0)*0.475*44/12</f>
        <v>3.5951305560679625</v>
      </c>
      <c r="AW94" s="21">
        <f>EXP(-LN(2)/2)*AW93+(1-EXP(-LN(2)/2))/(LN(2)/2)*AQ94*AT94*VLOOKUP('Données projet'!$B$10,Paramètres!$A$1:$I$89,3,0)*0.475*44/12</f>
        <v>3.9468671839430649E-10</v>
      </c>
      <c r="AX94" s="21">
        <f t="shared" si="60"/>
        <v>33.90567550801881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1.1368683772161603E-13</v>
      </c>
      <c r="BE94" s="13">
        <f>BD94*VLOOKUP('Données projet'!$B$11,Paramètres!$A$1:$I$89,3,0)*VLOOKUP('Données projet'!$B$11,Paramètres!$A$1:$I$89,5,0)</f>
        <v>6.7984728957526396E-14</v>
      </c>
      <c r="BF94" s="13">
        <f t="shared" si="91"/>
        <v>1.0682447123141398E-12</v>
      </c>
      <c r="BG94" s="20">
        <f t="shared" si="61"/>
        <v>1.978932943548152E-12</v>
      </c>
      <c r="BH94" s="59">
        <f t="shared" si="62"/>
        <v>293.3333333333353</v>
      </c>
      <c r="BI94" s="59">
        <f ca="1">AVERAGE(OFFSET($BH$3,0,0,'Données projet'!$E$11+1,1))-AVERAGE(OFFSET($H$3,0,0,'Données projet'!$E$11+1,1))</f>
        <v>149.5086927376081</v>
      </c>
      <c r="BJ94" s="59">
        <f t="shared" si="92"/>
        <v>364.59164590134498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30.310544951556164</v>
      </c>
      <c r="BQ94" s="21">
        <f>EXP(-LN(2)/25)*BQ93+(1-EXP(-LN(2)/25))/(LN(2)/25)*Calculateur!BL94*Calculateur!BN94*VLOOKUP('Données projet'!$B$11,Paramètres!$A$1:$I$89,3,0)*0.475*44/12</f>
        <v>3.5951305560679625</v>
      </c>
      <c r="BR94" s="21">
        <f>EXP(-LN(2)/2)*BR93+(1-EXP(-LN(2)/2))/(LN(2)/2)*BL94*BO94*VLOOKUP('Données projet'!$B$11,Paramètres!$A$1:$I$89,3,0)*0.475*44/12</f>
        <v>3.9468671839430649E-10</v>
      </c>
      <c r="BS94" s="22">
        <f t="shared" si="63"/>
        <v>33.90567550801881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406.37735526105428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5.6843418860808015E-14</v>
      </c>
      <c r="O95" s="13">
        <f>N95*VLOOKUP('Données projet'!$B$9,Paramètres!$A$1:$I$89,3,0)*VLOOKUP('Données projet'!$B$9,Paramètres!$A$1:$I$89,5,0)</f>
        <v>3.3992364478763198E-14</v>
      </c>
      <c r="P95" s="13">
        <f t="shared" si="87"/>
        <v>5.790027782444094E-13</v>
      </c>
      <c r="Q95" s="20">
        <f t="shared" si="54"/>
        <v>1.0676332069095257E-12</v>
      </c>
      <c r="R95" s="59">
        <f t="shared" si="55"/>
        <v>293.33333333333439</v>
      </c>
      <c r="S95" s="59">
        <f ca="1">AVERAGE(OFFSET($R$3,0,0,'Données projet'!$E$9+1,1))-AVERAGE(OFFSET($H$3,0,0,'Données projet'!$E$9+1,1))</f>
        <v>153.00981126776304</v>
      </c>
      <c r="T95" s="59">
        <f t="shared" si="88"/>
        <v>309.90400623462932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33.092937818472706</v>
      </c>
      <c r="AA95" s="21">
        <f>EXP(-LN(2)/25)*AA94+(1-EXP(-LN(2)/25))/(LN(2)/25)*Calculateur!V95*Calculateur!X95*VLOOKUP('Données projet'!$B$9,Paramètres!$A$1:$I$89,3,0)*0.475*44/12</f>
        <v>3.7741463438949134</v>
      </c>
      <c r="AB95" s="21">
        <f>EXP(-LN(2)/2)*AB94+(1-EXP(-LN(2)/2))/(LN(2)/2)*V95*Y95*VLOOKUP('Données projet'!$B$9,Paramètres!$A$1:$I$89,3,0)*0.475*44/12</f>
        <v>3.6347254108283606E-10</v>
      </c>
      <c r="AC95" s="22">
        <f t="shared" si="57"/>
        <v>36.867084162731089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1.1368683772161603E-13</v>
      </c>
      <c r="AJ95" s="13">
        <f>AI95*VLOOKUP('Données projet'!$B$10,Paramètres!$A$1:$I$89,3,0)*VLOOKUP('Données projet'!$B$10,Paramètres!$A$1:$I$89,5,0)</f>
        <v>6.7984728957526396E-14</v>
      </c>
      <c r="AK95" s="13">
        <f t="shared" si="89"/>
        <v>1.0682447123141398E-12</v>
      </c>
      <c r="AL95" s="20">
        <f t="shared" si="58"/>
        <v>1.978932943548152E-12</v>
      </c>
      <c r="AM95" s="59">
        <f t="shared" si="59"/>
        <v>293.3333333333353</v>
      </c>
      <c r="AN95" s="59">
        <f ca="1">AVERAGE(OFFSET($AM$3,0,0,'Données projet'!$E$10+1,1))-AVERAGE(OFFSET($H$3,0,0,'Données projet'!$E$10+1,1))</f>
        <v>149.5086927376081</v>
      </c>
      <c r="AO95" s="59">
        <f t="shared" si="90"/>
        <v>364.59164590134498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29.71617365266307</v>
      </c>
      <c r="AV95" s="21">
        <f>EXP(-LN(2)/25)*AV94+(1-EXP(-LN(2)/25))/(LN(2)/25)*Calculateur!AQ95*Calculateur!AS95*VLOOKUP('Données projet'!$B$10,Paramètres!$A$1:$I$89,3,0)*0.475*44/12</f>
        <v>3.4968215219525849</v>
      </c>
      <c r="AW95" s="21">
        <f>EXP(-LN(2)/2)*AW94+(1-EXP(-LN(2)/2))/(LN(2)/2)*AQ95*AT95*VLOOKUP('Données projet'!$B$10,Paramètres!$A$1:$I$89,3,0)*0.475*44/12</f>
        <v>2.7908565502087938E-10</v>
      </c>
      <c r="AX95" s="21">
        <f t="shared" si="60"/>
        <v>33.212995174894743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1.1368683772161603E-13</v>
      </c>
      <c r="BE95" s="13">
        <f>BD95*VLOOKUP('Données projet'!$B$11,Paramètres!$A$1:$I$89,3,0)*VLOOKUP('Données projet'!$B$11,Paramètres!$A$1:$I$89,5,0)</f>
        <v>6.7984728957526396E-14</v>
      </c>
      <c r="BF95" s="13">
        <f t="shared" si="91"/>
        <v>1.0682447123141398E-12</v>
      </c>
      <c r="BG95" s="20">
        <f t="shared" si="61"/>
        <v>1.978932943548152E-12</v>
      </c>
      <c r="BH95" s="59">
        <f t="shared" si="62"/>
        <v>293.3333333333353</v>
      </c>
      <c r="BI95" s="59">
        <f ca="1">AVERAGE(OFFSET($BH$3,0,0,'Données projet'!$E$11+1,1))-AVERAGE(OFFSET($H$3,0,0,'Données projet'!$E$11+1,1))</f>
        <v>149.5086927376081</v>
      </c>
      <c r="BJ95" s="59">
        <f t="shared" si="92"/>
        <v>364.59164590134498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29.71617365266307</v>
      </c>
      <c r="BQ95" s="21">
        <f>EXP(-LN(2)/25)*BQ94+(1-EXP(-LN(2)/25))/(LN(2)/25)*Calculateur!BL95*Calculateur!BN95*VLOOKUP('Données projet'!$B$11,Paramètres!$A$1:$I$89,3,0)*0.475*44/12</f>
        <v>3.4968215219525849</v>
      </c>
      <c r="BR95" s="21">
        <f>EXP(-LN(2)/2)*BR94+(1-EXP(-LN(2)/2))/(LN(2)/2)*BL95*BO95*VLOOKUP('Données projet'!$B$11,Paramètres!$A$1:$I$89,3,0)*0.475*44/12</f>
        <v>2.7908565502087938E-10</v>
      </c>
      <c r="BS95" s="22">
        <f t="shared" si="63"/>
        <v>33.212995174894743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407.57360529503438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5.6843418860808015E-14</v>
      </c>
      <c r="O96" s="13">
        <f>N96*VLOOKUP('Données projet'!$B$9,Paramètres!$A$1:$I$89,3,0)*VLOOKUP('Données projet'!$B$9,Paramètres!$A$1:$I$89,5,0)</f>
        <v>3.3992364478763198E-14</v>
      </c>
      <c r="P96" s="13">
        <f t="shared" si="87"/>
        <v>5.790027782444094E-13</v>
      </c>
      <c r="Q96" s="20">
        <f t="shared" si="54"/>
        <v>1.0676332069095257E-12</v>
      </c>
      <c r="R96" s="59">
        <f t="shared" si="55"/>
        <v>293.33333333333439</v>
      </c>
      <c r="S96" s="59">
        <f ca="1">AVERAGE(OFFSET($R$3,0,0,'Données projet'!$E$9+1,1))-AVERAGE(OFFSET($H$3,0,0,'Données projet'!$E$9+1,1))</f>
        <v>153.00981126776304</v>
      </c>
      <c r="T96" s="59">
        <f t="shared" si="88"/>
        <v>309.90400623462932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32.444005492551454</v>
      </c>
      <c r="AA96" s="21">
        <f>EXP(-LN(2)/25)*AA95+(1-EXP(-LN(2)/25))/(LN(2)/25)*Calculateur!V96*Calculateur!X96*VLOOKUP('Données projet'!$B$9,Paramètres!$A$1:$I$89,3,0)*0.475*44/12</f>
        <v>3.6709421136473765</v>
      </c>
      <c r="AB96" s="21">
        <f>EXP(-LN(2)/2)*AB95+(1-EXP(-LN(2)/2))/(LN(2)/2)*V96*Y96*VLOOKUP('Données projet'!$B$9,Paramètres!$A$1:$I$89,3,0)*0.475*44/12</f>
        <v>2.5701389857477936E-10</v>
      </c>
      <c r="AC96" s="22">
        <f t="shared" si="57"/>
        <v>36.114947606455843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1.1368683772161603E-13</v>
      </c>
      <c r="AJ96" s="13">
        <f>AI96*VLOOKUP('Données projet'!$B$10,Paramètres!$A$1:$I$89,3,0)*VLOOKUP('Données projet'!$B$10,Paramètres!$A$1:$I$89,5,0)</f>
        <v>6.7984728957526396E-14</v>
      </c>
      <c r="AK96" s="13">
        <f t="shared" si="89"/>
        <v>1.0682447123141398E-12</v>
      </c>
      <c r="AL96" s="20">
        <f t="shared" si="58"/>
        <v>1.978932943548152E-12</v>
      </c>
      <c r="AM96" s="59">
        <f t="shared" si="59"/>
        <v>293.3333333333353</v>
      </c>
      <c r="AN96" s="59">
        <f ca="1">AVERAGE(OFFSET($AM$3,0,0,'Données projet'!$E$10+1,1))-AVERAGE(OFFSET($H$3,0,0,'Données projet'!$E$10+1,1))</f>
        <v>149.5086927376081</v>
      </c>
      <c r="AO96" s="59">
        <f t="shared" si="90"/>
        <v>364.59164590134498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29.133457612410574</v>
      </c>
      <c r="AV96" s="21">
        <f>EXP(-LN(2)/25)*AV95+(1-EXP(-LN(2)/25))/(LN(2)/25)*Calculateur!AQ96*Calculateur!AS96*VLOOKUP('Données projet'!$B$10,Paramètres!$A$1:$I$89,3,0)*0.475*44/12</f>
        <v>3.4012007535449396</v>
      </c>
      <c r="AW96" s="21">
        <f>EXP(-LN(2)/2)*AW95+(1-EXP(-LN(2)/2))/(LN(2)/2)*AQ96*AT96*VLOOKUP('Données projet'!$B$10,Paramètres!$A$1:$I$89,3,0)*0.475*44/12</f>
        <v>1.9734335919715325E-10</v>
      </c>
      <c r="AX96" s="21">
        <f t="shared" si="60"/>
        <v>32.534658366152861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1.1368683772161603E-13</v>
      </c>
      <c r="BE96" s="13">
        <f>BD96*VLOOKUP('Données projet'!$B$11,Paramètres!$A$1:$I$89,3,0)*VLOOKUP('Données projet'!$B$11,Paramètres!$A$1:$I$89,5,0)</f>
        <v>6.7984728957526396E-14</v>
      </c>
      <c r="BF96" s="13">
        <f t="shared" si="91"/>
        <v>1.0682447123141398E-12</v>
      </c>
      <c r="BG96" s="20">
        <f t="shared" si="61"/>
        <v>1.978932943548152E-12</v>
      </c>
      <c r="BH96" s="59">
        <f t="shared" si="62"/>
        <v>293.3333333333353</v>
      </c>
      <c r="BI96" s="59">
        <f ca="1">AVERAGE(OFFSET($BH$3,0,0,'Données projet'!$E$11+1,1))-AVERAGE(OFFSET($H$3,0,0,'Données projet'!$E$11+1,1))</f>
        <v>149.5086927376081</v>
      </c>
      <c r="BJ96" s="59">
        <f t="shared" si="92"/>
        <v>364.59164590134498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29.133457612410574</v>
      </c>
      <c r="BQ96" s="21">
        <f>EXP(-LN(2)/25)*BQ95+(1-EXP(-LN(2)/25))/(LN(2)/25)*Calculateur!BL96*Calculateur!BN96*VLOOKUP('Données projet'!$B$11,Paramètres!$A$1:$I$89,3,0)*0.475*44/12</f>
        <v>3.4012007535449396</v>
      </c>
      <c r="BR96" s="21">
        <f>EXP(-LN(2)/2)*BR95+(1-EXP(-LN(2)/2))/(LN(2)/2)*BL96*BO96*VLOOKUP('Données projet'!$B$11,Paramètres!$A$1:$I$89,3,0)*0.475*44/12</f>
        <v>1.9734335919715325E-10</v>
      </c>
      <c r="BS96" s="22">
        <f t="shared" si="63"/>
        <v>32.534658366152861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408.76954849412908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5.6843418860808015E-14</v>
      </c>
      <c r="O97" s="13">
        <f>N97*VLOOKUP('Données projet'!$B$9,Paramètres!$A$1:$I$89,3,0)*VLOOKUP('Données projet'!$B$9,Paramètres!$A$1:$I$89,5,0)</f>
        <v>3.3992364478763198E-14</v>
      </c>
      <c r="P97" s="13">
        <f t="shared" si="87"/>
        <v>5.790027782444094E-13</v>
      </c>
      <c r="Q97" s="20">
        <f t="shared" si="54"/>
        <v>1.0676332069095257E-12</v>
      </c>
      <c r="R97" s="59">
        <f t="shared" si="55"/>
        <v>293.33333333333439</v>
      </c>
      <c r="S97" s="59">
        <f ca="1">AVERAGE(OFFSET($R$3,0,0,'Données projet'!$E$9+1,1))-AVERAGE(OFFSET($H$3,0,0,'Données projet'!$E$9+1,1))</f>
        <v>153.00981126776304</v>
      </c>
      <c r="T97" s="59">
        <f t="shared" si="88"/>
        <v>309.90400623462932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31.807798333731881</v>
      </c>
      <c r="AA97" s="21">
        <f>EXP(-LN(2)/25)*AA96+(1-EXP(-LN(2)/25))/(LN(2)/25)*Calculateur!V97*Calculateur!X97*VLOOKUP('Données projet'!$B$9,Paramètres!$A$1:$I$89,3,0)*0.475*44/12</f>
        <v>3.5705600085032332</v>
      </c>
      <c r="AB97" s="21">
        <f>EXP(-LN(2)/2)*AB96+(1-EXP(-LN(2)/2))/(LN(2)/2)*V97*Y97*VLOOKUP('Données projet'!$B$9,Paramètres!$A$1:$I$89,3,0)*0.475*44/12</f>
        <v>1.8173627054141803E-10</v>
      </c>
      <c r="AC97" s="22">
        <f t="shared" si="57"/>
        <v>35.378358342416853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1.1368683772161603E-13</v>
      </c>
      <c r="AJ97" s="13">
        <f>AI97*VLOOKUP('Données projet'!$B$10,Paramètres!$A$1:$I$89,3,0)*VLOOKUP('Données projet'!$B$10,Paramètres!$A$1:$I$89,5,0)</f>
        <v>6.7984728957526396E-14</v>
      </c>
      <c r="AK97" s="13">
        <f t="shared" si="89"/>
        <v>1.0682447123141398E-12</v>
      </c>
      <c r="AL97" s="20">
        <f t="shared" si="58"/>
        <v>1.978932943548152E-12</v>
      </c>
      <c r="AM97" s="59">
        <f t="shared" si="59"/>
        <v>293.3333333333353</v>
      </c>
      <c r="AN97" s="59">
        <f ca="1">AVERAGE(OFFSET($AM$3,0,0,'Données projet'!$E$10+1,1))-AVERAGE(OFFSET($H$3,0,0,'Données projet'!$E$10+1,1))</f>
        <v>149.5086927376081</v>
      </c>
      <c r="AO97" s="59">
        <f t="shared" si="90"/>
        <v>364.59164590134498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28.562168278285739</v>
      </c>
      <c r="AV97" s="21">
        <f>EXP(-LN(2)/25)*AV96+(1-EXP(-LN(2)/25))/(LN(2)/25)*Calculateur!AQ97*Calculateur!AS97*VLOOKUP('Données projet'!$B$10,Paramètres!$A$1:$I$89,3,0)*0.475*44/12</f>
        <v>3.3081947400778793</v>
      </c>
      <c r="AW97" s="21">
        <f>EXP(-LN(2)/2)*AW96+(1-EXP(-LN(2)/2))/(LN(2)/2)*AQ97*AT97*VLOOKUP('Données projet'!$B$10,Paramètres!$A$1:$I$89,3,0)*0.475*44/12</f>
        <v>1.3954282751043969E-10</v>
      </c>
      <c r="AX97" s="21">
        <f t="shared" si="60"/>
        <v>31.870363018503163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1.1368683772161603E-13</v>
      </c>
      <c r="BE97" s="13">
        <f>BD97*VLOOKUP('Données projet'!$B$11,Paramètres!$A$1:$I$89,3,0)*VLOOKUP('Données projet'!$B$11,Paramètres!$A$1:$I$89,5,0)</f>
        <v>6.7984728957526396E-14</v>
      </c>
      <c r="BF97" s="13">
        <f t="shared" si="91"/>
        <v>1.0682447123141398E-12</v>
      </c>
      <c r="BG97" s="20">
        <f t="shared" si="61"/>
        <v>1.978932943548152E-12</v>
      </c>
      <c r="BH97" s="59">
        <f t="shared" si="62"/>
        <v>293.3333333333353</v>
      </c>
      <c r="BI97" s="59">
        <f ca="1">AVERAGE(OFFSET($BH$3,0,0,'Données projet'!$E$11+1,1))-AVERAGE(OFFSET($H$3,0,0,'Données projet'!$E$11+1,1))</f>
        <v>149.5086927376081</v>
      </c>
      <c r="BJ97" s="59">
        <f t="shared" si="92"/>
        <v>364.59164590134498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28.562168278285739</v>
      </c>
      <c r="BQ97" s="21">
        <f>EXP(-LN(2)/25)*BQ96+(1-EXP(-LN(2)/25))/(LN(2)/25)*Calculateur!BL97*Calculateur!BN97*VLOOKUP('Données projet'!$B$11,Paramètres!$A$1:$I$89,3,0)*0.475*44/12</f>
        <v>3.3081947400778793</v>
      </c>
      <c r="BR97" s="21">
        <f>EXP(-LN(2)/2)*BR96+(1-EXP(-LN(2)/2))/(LN(2)/2)*BL97*BO97*VLOOKUP('Données projet'!$B$11,Paramètres!$A$1:$I$89,3,0)*0.475*44/12</f>
        <v>1.3954282751043969E-10</v>
      </c>
      <c r="BS97" s="22">
        <f t="shared" si="63"/>
        <v>31.870363018503163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409.96518850037501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5.6843418860808015E-14</v>
      </c>
      <c r="O98" s="13">
        <f>N98*VLOOKUP('Données projet'!$B$9,Paramètres!$A$1:$I$89,3,0)*VLOOKUP('Données projet'!$B$9,Paramètres!$A$1:$I$89,5,0)</f>
        <v>3.3992364478763198E-14</v>
      </c>
      <c r="P98" s="13">
        <f t="shared" si="87"/>
        <v>5.790027782444094E-13</v>
      </c>
      <c r="Q98" s="20">
        <f t="shared" si="54"/>
        <v>1.0676332069095257E-12</v>
      </c>
      <c r="R98" s="59">
        <f t="shared" si="55"/>
        <v>293.33333333333439</v>
      </c>
      <c r="S98" s="59">
        <f ca="1">AVERAGE(OFFSET($R$3,0,0,'Données projet'!$E$9+1,1))-AVERAGE(OFFSET($H$3,0,0,'Données projet'!$E$9+1,1))</f>
        <v>153.00981126776304</v>
      </c>
      <c r="T98" s="59">
        <f t="shared" si="88"/>
        <v>309.90400623462932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31.184066809248709</v>
      </c>
      <c r="AA98" s="21">
        <f>EXP(-LN(2)/25)*AA97+(1-EXP(-LN(2)/25))/(LN(2)/25)*Calculateur!V98*Calculateur!X98*VLOOKUP('Données projet'!$B$9,Paramètres!$A$1:$I$89,3,0)*0.475*44/12</f>
        <v>3.4729228573031219</v>
      </c>
      <c r="AB98" s="21">
        <f>EXP(-LN(2)/2)*AB97+(1-EXP(-LN(2)/2))/(LN(2)/2)*V98*Y98*VLOOKUP('Données projet'!$B$9,Paramètres!$A$1:$I$89,3,0)*0.475*44/12</f>
        <v>1.2850694928738968E-10</v>
      </c>
      <c r="AC98" s="22">
        <f t="shared" si="57"/>
        <v>34.656989666680339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1.1368683772161603E-13</v>
      </c>
      <c r="AJ98" s="13">
        <f>AI98*VLOOKUP('Données projet'!$B$10,Paramètres!$A$1:$I$89,3,0)*VLOOKUP('Données projet'!$B$10,Paramètres!$A$1:$I$89,5,0)</f>
        <v>6.7984728957526396E-14</v>
      </c>
      <c r="AK98" s="13">
        <f t="shared" si="89"/>
        <v>1.0682447123141398E-12</v>
      </c>
      <c r="AL98" s="20">
        <f t="shared" si="58"/>
        <v>1.978932943548152E-12</v>
      </c>
      <c r="AM98" s="59">
        <f t="shared" si="59"/>
        <v>293.3333333333353</v>
      </c>
      <c r="AN98" s="59">
        <f ca="1">AVERAGE(OFFSET($AM$3,0,0,'Données projet'!$E$10+1,1))-AVERAGE(OFFSET($H$3,0,0,'Données projet'!$E$10+1,1))</f>
        <v>149.5086927376081</v>
      </c>
      <c r="AO98" s="59">
        <f t="shared" si="90"/>
        <v>364.59164590134498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28.002081579551003</v>
      </c>
      <c r="AV98" s="21">
        <f>EXP(-LN(2)/25)*AV97+(1-EXP(-LN(2)/25))/(LN(2)/25)*Calculateur!AQ98*Calculateur!AS98*VLOOKUP('Données projet'!$B$10,Paramètres!$A$1:$I$89,3,0)*0.475*44/12</f>
        <v>3.2177319809400493</v>
      </c>
      <c r="AW98" s="21">
        <f>EXP(-LN(2)/2)*AW97+(1-EXP(-LN(2)/2))/(LN(2)/2)*AQ98*AT98*VLOOKUP('Données projet'!$B$10,Paramètres!$A$1:$I$89,3,0)*0.475*44/12</f>
        <v>9.8671679598576623E-11</v>
      </c>
      <c r="AX98" s="21">
        <f t="shared" si="60"/>
        <v>31.219813560589724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1.1368683772161603E-13</v>
      </c>
      <c r="BE98" s="13">
        <f>BD98*VLOOKUP('Données projet'!$B$11,Paramètres!$A$1:$I$89,3,0)*VLOOKUP('Données projet'!$B$11,Paramètres!$A$1:$I$89,5,0)</f>
        <v>6.7984728957526396E-14</v>
      </c>
      <c r="BF98" s="13">
        <f t="shared" si="91"/>
        <v>1.0682447123141398E-12</v>
      </c>
      <c r="BG98" s="20">
        <f t="shared" si="61"/>
        <v>1.978932943548152E-12</v>
      </c>
      <c r="BH98" s="59">
        <f t="shared" si="62"/>
        <v>293.3333333333353</v>
      </c>
      <c r="BI98" s="59">
        <f ca="1">AVERAGE(OFFSET($BH$3,0,0,'Données projet'!$E$11+1,1))-AVERAGE(OFFSET($H$3,0,0,'Données projet'!$E$11+1,1))</f>
        <v>149.5086927376081</v>
      </c>
      <c r="BJ98" s="59">
        <f t="shared" si="92"/>
        <v>364.59164590134498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28.002081579551003</v>
      </c>
      <c r="BQ98" s="21">
        <f>EXP(-LN(2)/25)*BQ97+(1-EXP(-LN(2)/25))/(LN(2)/25)*Calculateur!BL98*Calculateur!BN98*VLOOKUP('Données projet'!$B$11,Paramètres!$A$1:$I$89,3,0)*0.475*44/12</f>
        <v>3.2177319809400493</v>
      </c>
      <c r="BR98" s="21">
        <f>EXP(-LN(2)/2)*BR97+(1-EXP(-LN(2)/2))/(LN(2)/2)*BL98*BO98*VLOOKUP('Données projet'!$B$11,Paramètres!$A$1:$I$89,3,0)*0.475*44/12</f>
        <v>9.8671679598576623E-11</v>
      </c>
      <c r="BS98" s="22">
        <f t="shared" si="63"/>
        <v>31.219813560589724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411.1605288747171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5.6843418860808015E-14</v>
      </c>
      <c r="O99" s="13">
        <f>N99*VLOOKUP('Données projet'!$B$9,Paramètres!$A$1:$I$89,3,0)*VLOOKUP('Données projet'!$B$9,Paramètres!$A$1:$I$89,5,0)</f>
        <v>3.3992364478763198E-14</v>
      </c>
      <c r="P99" s="13">
        <f t="shared" si="87"/>
        <v>5.790027782444094E-13</v>
      </c>
      <c r="Q99" s="20">
        <f t="shared" ref="Q99:Q130" si="107">(O99+P99)*0.475*44/12</f>
        <v>1.0676332069095257E-12</v>
      </c>
      <c r="R99" s="59">
        <f t="shared" si="55"/>
        <v>293.33333333333439</v>
      </c>
      <c r="S99" s="59">
        <f ca="1">AVERAGE(OFFSET($R$3,0,0,'Données projet'!$E$9+1,1))-AVERAGE(OFFSET($H$3,0,0,'Données projet'!$E$9+1,1))</f>
        <v>153.00981126776304</v>
      </c>
      <c r="T99" s="59">
        <f t="shared" si="88"/>
        <v>309.90400623462932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30.572566279521986</v>
      </c>
      <c r="AA99" s="21">
        <f>EXP(-LN(2)/25)*AA98+(1-EXP(-LN(2)/25))/(LN(2)/25)*Calculateur!V99*Calculateur!X99*VLOOKUP('Données projet'!$B$9,Paramètres!$A$1:$I$89,3,0)*0.475*44/12</f>
        <v>3.3779555991370924</v>
      </c>
      <c r="AB99" s="21">
        <f>EXP(-LN(2)/2)*AB98+(1-EXP(-LN(2)/2))/(LN(2)/2)*V99*Y99*VLOOKUP('Données projet'!$B$9,Paramètres!$A$1:$I$89,3,0)*0.475*44/12</f>
        <v>9.0868135270709016E-11</v>
      </c>
      <c r="AC99" s="22">
        <f t="shared" si="57"/>
        <v>33.950521878749953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1.1368683772161603E-13</v>
      </c>
      <c r="AJ99" s="13">
        <f>AI99*VLOOKUP('Données projet'!$B$10,Paramètres!$A$1:$I$89,3,0)*VLOOKUP('Données projet'!$B$10,Paramètres!$A$1:$I$89,5,0)</f>
        <v>6.7984728957526396E-14</v>
      </c>
      <c r="AK99" s="13">
        <f t="shared" si="89"/>
        <v>1.0682447123141398E-12</v>
      </c>
      <c r="AL99" s="20">
        <f t="shared" si="58"/>
        <v>1.978932943548152E-12</v>
      </c>
      <c r="AM99" s="59">
        <f t="shared" si="59"/>
        <v>293.3333333333353</v>
      </c>
      <c r="AN99" s="59">
        <f ca="1">AVERAGE(OFFSET($AM$3,0,0,'Données projet'!$E$10+1,1))-AVERAGE(OFFSET($H$3,0,0,'Données projet'!$E$10+1,1))</f>
        <v>149.5086927376081</v>
      </c>
      <c r="AO99" s="59">
        <f t="shared" si="90"/>
        <v>364.59164590134498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27.452977839359303</v>
      </c>
      <c r="AV99" s="21">
        <f>EXP(-LN(2)/25)*AV98+(1-EXP(-LN(2)/25))/(LN(2)/25)*Calculateur!AQ99*Calculateur!AS99*VLOOKUP('Données projet'!$B$10,Paramètres!$A$1:$I$89,3,0)*0.475*44/12</f>
        <v>3.1297429307080731</v>
      </c>
      <c r="AW99" s="21">
        <f>EXP(-LN(2)/2)*AW98+(1-EXP(-LN(2)/2))/(LN(2)/2)*AQ99*AT99*VLOOKUP('Données projet'!$B$10,Paramètres!$A$1:$I$89,3,0)*0.475*44/12</f>
        <v>6.9771413755219845E-11</v>
      </c>
      <c r="AX99" s="21">
        <f t="shared" si="60"/>
        <v>30.582720770137147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1.1368683772161603E-13</v>
      </c>
      <c r="BE99" s="13">
        <f>BD99*VLOOKUP('Données projet'!$B$11,Paramètres!$A$1:$I$89,3,0)*VLOOKUP('Données projet'!$B$11,Paramètres!$A$1:$I$89,5,0)</f>
        <v>6.7984728957526396E-14</v>
      </c>
      <c r="BF99" s="13">
        <f t="shared" si="91"/>
        <v>1.0682447123141398E-12</v>
      </c>
      <c r="BG99" s="20">
        <f t="shared" si="61"/>
        <v>1.978932943548152E-12</v>
      </c>
      <c r="BH99" s="59">
        <f t="shared" si="62"/>
        <v>293.3333333333353</v>
      </c>
      <c r="BI99" s="59">
        <f ca="1">AVERAGE(OFFSET($BH$3,0,0,'Données projet'!$E$11+1,1))-AVERAGE(OFFSET($H$3,0,0,'Données projet'!$E$11+1,1))</f>
        <v>149.5086927376081</v>
      </c>
      <c r="BJ99" s="59">
        <f t="shared" si="92"/>
        <v>364.59164590134498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27.452977839359303</v>
      </c>
      <c r="BQ99" s="21">
        <f>EXP(-LN(2)/25)*BQ98+(1-EXP(-LN(2)/25))/(LN(2)/25)*Calculateur!BL99*Calculateur!BN99*VLOOKUP('Données projet'!$B$11,Paramètres!$A$1:$I$89,3,0)*0.475*44/12</f>
        <v>3.1297429307080731</v>
      </c>
      <c r="BR99" s="21">
        <f>EXP(-LN(2)/2)*BR98+(1-EXP(-LN(2)/2))/(LN(2)/2)*BL99*BO99*VLOOKUP('Données projet'!$B$11,Paramètres!$A$1:$I$89,3,0)*0.475*44/12</f>
        <v>6.9771413755219845E-11</v>
      </c>
      <c r="BS99" s="22">
        <f t="shared" si="63"/>
        <v>30.582720770137147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412.35557309963951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5.6843418860808015E-14</v>
      </c>
      <c r="O100" s="13">
        <f>N100*VLOOKUP('Données projet'!$B$9,Paramètres!$A$1:$I$89,3,0)*VLOOKUP('Données projet'!$B$9,Paramètres!$A$1:$I$89,5,0)</f>
        <v>3.3992364478763198E-14</v>
      </c>
      <c r="P100" s="13">
        <f t="shared" si="87"/>
        <v>5.790027782444094E-13</v>
      </c>
      <c r="Q100" s="20">
        <f t="shared" si="107"/>
        <v>1.0676332069095257E-12</v>
      </c>
      <c r="R100" s="59">
        <f t="shared" si="55"/>
        <v>293.33333333333439</v>
      </c>
      <c r="S100" s="59">
        <f ca="1">AVERAGE(OFFSET($R$3,0,0,'Données projet'!$E$9+1,1))-AVERAGE(OFFSET($H$3,0,0,'Données projet'!$E$9+1,1))</f>
        <v>153.00981126776304</v>
      </c>
      <c r="T100" s="59">
        <f t="shared" si="88"/>
        <v>309.90400623462932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29.973056902204711</v>
      </c>
      <c r="AA100" s="21">
        <f>EXP(-LN(2)/25)*AA99+(1-EXP(-LN(2)/25))/(LN(2)/25)*Calculateur!V100*Calculateur!X100*VLOOKUP('Données projet'!$B$9,Paramètres!$A$1:$I$89,3,0)*0.475*44/12</f>
        <v>3.285585225639724</v>
      </c>
      <c r="AB100" s="21">
        <f>EXP(-LN(2)/2)*AB99+(1-EXP(-LN(2)/2))/(LN(2)/2)*V100*Y100*VLOOKUP('Données projet'!$B$9,Paramètres!$A$1:$I$89,3,0)*0.475*44/12</f>
        <v>6.425347464369484E-11</v>
      </c>
      <c r="AC100" s="22">
        <f t="shared" si="57"/>
        <v>33.258642127908686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1.1368683772161603E-13</v>
      </c>
      <c r="AJ100" s="13">
        <f>AI100*VLOOKUP('Données projet'!$B$10,Paramètres!$A$1:$I$89,3,0)*VLOOKUP('Données projet'!$B$10,Paramètres!$A$1:$I$89,5,0)</f>
        <v>6.7984728957526396E-14</v>
      </c>
      <c r="AK100" s="13">
        <f t="shared" si="89"/>
        <v>1.0682447123141398E-12</v>
      </c>
      <c r="AL100" s="20">
        <f t="shared" si="58"/>
        <v>1.978932943548152E-12</v>
      </c>
      <c r="AM100" s="59">
        <f t="shared" si="59"/>
        <v>293.3333333333353</v>
      </c>
      <c r="AN100" s="59">
        <f ca="1">AVERAGE(OFFSET($AM$3,0,0,'Données projet'!$E$10+1,1))-AVERAGE(OFFSET($H$3,0,0,'Données projet'!$E$10+1,1))</f>
        <v>149.5086927376081</v>
      </c>
      <c r="AO100" s="59">
        <f t="shared" si="90"/>
        <v>364.59164590134498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26.91464168859255</v>
      </c>
      <c r="AV100" s="21">
        <f>EXP(-LN(2)/25)*AV99+(1-EXP(-LN(2)/25))/(LN(2)/25)*Calculateur!AQ100*Calculateur!AS100*VLOOKUP('Données projet'!$B$10,Paramètres!$A$1:$I$89,3,0)*0.475*44/12</f>
        <v>3.0441599456818333</v>
      </c>
      <c r="AW100" s="21">
        <f>EXP(-LN(2)/2)*AW99+(1-EXP(-LN(2)/2))/(LN(2)/2)*AQ100*AT100*VLOOKUP('Données projet'!$B$10,Paramètres!$A$1:$I$89,3,0)*0.475*44/12</f>
        <v>4.9335839799288311E-11</v>
      </c>
      <c r="AX100" s="21">
        <f t="shared" si="60"/>
        <v>29.95880163432372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1.1368683772161603E-13</v>
      </c>
      <c r="BE100" s="13">
        <f>BD100*VLOOKUP('Données projet'!$B$11,Paramètres!$A$1:$I$89,3,0)*VLOOKUP('Données projet'!$B$11,Paramètres!$A$1:$I$89,5,0)</f>
        <v>6.7984728957526396E-14</v>
      </c>
      <c r="BF100" s="13">
        <f t="shared" si="91"/>
        <v>1.0682447123141398E-12</v>
      </c>
      <c r="BG100" s="20">
        <f t="shared" si="61"/>
        <v>1.978932943548152E-12</v>
      </c>
      <c r="BH100" s="59">
        <f t="shared" si="62"/>
        <v>293.3333333333353</v>
      </c>
      <c r="BI100" s="59">
        <f ca="1">AVERAGE(OFFSET($BH$3,0,0,'Données projet'!$E$11+1,1))-AVERAGE(OFFSET($H$3,0,0,'Données projet'!$E$11+1,1))</f>
        <v>149.5086927376081</v>
      </c>
      <c r="BJ100" s="59">
        <f t="shared" si="92"/>
        <v>364.59164590134498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26.91464168859255</v>
      </c>
      <c r="BQ100" s="21">
        <f>EXP(-LN(2)/25)*BQ99+(1-EXP(-LN(2)/25))/(LN(2)/25)*Calculateur!BL100*Calculateur!BN100*VLOOKUP('Données projet'!$B$11,Paramètres!$A$1:$I$89,3,0)*0.475*44/12</f>
        <v>3.0441599456818333</v>
      </c>
      <c r="BR100" s="21">
        <f>EXP(-LN(2)/2)*BR99+(1-EXP(-LN(2)/2))/(LN(2)/2)*BL100*BO100*VLOOKUP('Données projet'!$B$11,Paramètres!$A$1:$I$89,3,0)*0.475*44/12</f>
        <v>4.9335839799288311E-11</v>
      </c>
      <c r="BS100" s="22">
        <f t="shared" si="63"/>
        <v>29.95880163432372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413.55032458168552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5.6843418860808015E-14</v>
      </c>
      <c r="O101" s="13">
        <f>N101*VLOOKUP('Données projet'!$B$9,Paramètres!$A$1:$I$89,3,0)*VLOOKUP('Données projet'!$B$9,Paramètres!$A$1:$I$89,5,0)</f>
        <v>3.3992364478763198E-14</v>
      </c>
      <c r="P101" s="13">
        <f t="shared" si="87"/>
        <v>5.790027782444094E-13</v>
      </c>
      <c r="Q101" s="20">
        <f t="shared" si="107"/>
        <v>1.0676332069095257E-12</v>
      </c>
      <c r="R101" s="59">
        <f t="shared" si="55"/>
        <v>293.33333333333439</v>
      </c>
      <c r="S101" s="59">
        <f ca="1">AVERAGE(OFFSET($R$3,0,0,'Données projet'!$E$9+1,1))-AVERAGE(OFFSET($H$3,0,0,'Données projet'!$E$9+1,1))</f>
        <v>153.00981126776304</v>
      </c>
      <c r="T101" s="59">
        <f t="shared" si="88"/>
        <v>309.90400623462932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29.385303538112012</v>
      </c>
      <c r="AA101" s="21">
        <f>EXP(-LN(2)/25)*AA100+(1-EXP(-LN(2)/25))/(LN(2)/25)*Calculateur!V101*Calculateur!X101*VLOOKUP('Données projet'!$B$9,Paramètres!$A$1:$I$89,3,0)*0.475*44/12</f>
        <v>3.1957407248631879</v>
      </c>
      <c r="AB101" s="21">
        <f>EXP(-LN(2)/2)*AB100+(1-EXP(-LN(2)/2))/(LN(2)/2)*V101*Y101*VLOOKUP('Données projet'!$B$9,Paramètres!$A$1:$I$89,3,0)*0.475*44/12</f>
        <v>4.5434067635354508E-11</v>
      </c>
      <c r="AC101" s="22">
        <f t="shared" si="57"/>
        <v>32.58104426302063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1.1368683772161603E-13</v>
      </c>
      <c r="AJ101" s="13">
        <f>AI101*VLOOKUP('Données projet'!$B$10,Paramètres!$A$1:$I$89,3,0)*VLOOKUP('Données projet'!$B$10,Paramètres!$A$1:$I$89,5,0)</f>
        <v>6.7984728957526396E-14</v>
      </c>
      <c r="AK101" s="13">
        <f t="shared" si="89"/>
        <v>1.0682447123141398E-12</v>
      </c>
      <c r="AL101" s="20">
        <f t="shared" si="58"/>
        <v>1.978932943548152E-12</v>
      </c>
      <c r="AM101" s="59">
        <f t="shared" si="59"/>
        <v>293.3333333333353</v>
      </c>
      <c r="AN101" s="59">
        <f ca="1">AVERAGE(OFFSET($AM$3,0,0,'Données projet'!$E$10+1,1))-AVERAGE(OFFSET($H$3,0,0,'Données projet'!$E$10+1,1))</f>
        <v>149.5086927376081</v>
      </c>
      <c r="AO101" s="59">
        <f t="shared" si="90"/>
        <v>364.59164590134498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26.386861981389703</v>
      </c>
      <c r="AV101" s="21">
        <f>EXP(-LN(2)/25)*AV100+(1-EXP(-LN(2)/25))/(LN(2)/25)*Calculateur!AQ101*Calculateur!AS101*VLOOKUP('Données projet'!$B$10,Paramètres!$A$1:$I$89,3,0)*0.475*44/12</f>
        <v>2.9609172318817496</v>
      </c>
      <c r="AW101" s="21">
        <f>EXP(-LN(2)/2)*AW100+(1-EXP(-LN(2)/2))/(LN(2)/2)*AQ101*AT101*VLOOKUP('Données projet'!$B$10,Paramètres!$A$1:$I$89,3,0)*0.475*44/12</f>
        <v>3.4885706877609922E-11</v>
      </c>
      <c r="AX101" s="21">
        <f t="shared" si="60"/>
        <v>29.347779213306335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1.1368683772161603E-13</v>
      </c>
      <c r="BE101" s="13">
        <f>BD101*VLOOKUP('Données projet'!$B$11,Paramètres!$A$1:$I$89,3,0)*VLOOKUP('Données projet'!$B$11,Paramètres!$A$1:$I$89,5,0)</f>
        <v>6.7984728957526396E-14</v>
      </c>
      <c r="BF101" s="13">
        <f t="shared" si="91"/>
        <v>1.0682447123141398E-12</v>
      </c>
      <c r="BG101" s="20">
        <f t="shared" si="61"/>
        <v>1.978932943548152E-12</v>
      </c>
      <c r="BH101" s="59">
        <f t="shared" si="62"/>
        <v>293.3333333333353</v>
      </c>
      <c r="BI101" s="59">
        <f ca="1">AVERAGE(OFFSET($BH$3,0,0,'Données projet'!$E$11+1,1))-AVERAGE(OFFSET($H$3,0,0,'Données projet'!$E$11+1,1))</f>
        <v>149.5086927376081</v>
      </c>
      <c r="BJ101" s="59">
        <f t="shared" si="92"/>
        <v>364.59164590134498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26.386861981389703</v>
      </c>
      <c r="BQ101" s="21">
        <f>EXP(-LN(2)/25)*BQ100+(1-EXP(-LN(2)/25))/(LN(2)/25)*Calculateur!BL101*Calculateur!BN101*VLOOKUP('Données projet'!$B$11,Paramètres!$A$1:$I$89,3,0)*0.475*44/12</f>
        <v>2.9609172318817496</v>
      </c>
      <c r="BR101" s="21">
        <f>EXP(-LN(2)/2)*BR100+(1-EXP(-LN(2)/2))/(LN(2)/2)*BL101*BO101*VLOOKUP('Données projet'!$B$11,Paramètres!$A$1:$I$89,3,0)*0.475*44/12</f>
        <v>3.4885706877609922E-11</v>
      </c>
      <c r="BS101" s="22">
        <f t="shared" si="63"/>
        <v>29.347779213306335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414.74478665387051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5.6843418860808015E-14</v>
      </c>
      <c r="O102" s="13">
        <f>N102*VLOOKUP('Données projet'!$B$9,Paramètres!$A$1:$I$89,3,0)*VLOOKUP('Données projet'!$B$9,Paramètres!$A$1:$I$89,5,0)</f>
        <v>3.3992364478763198E-14</v>
      </c>
      <c r="P102" s="13">
        <f t="shared" si="87"/>
        <v>5.790027782444094E-13</v>
      </c>
      <c r="Q102" s="20">
        <f t="shared" si="107"/>
        <v>1.0676332069095257E-12</v>
      </c>
      <c r="R102" s="59">
        <f t="shared" si="55"/>
        <v>293.33333333333439</v>
      </c>
      <c r="S102" s="59">
        <f ca="1">AVERAGE(OFFSET($R$3,0,0,'Données projet'!$E$9+1,1))-AVERAGE(OFFSET($H$3,0,0,'Données projet'!$E$9+1,1))</f>
        <v>153.00981126776304</v>
      </c>
      <c r="T102" s="59">
        <f t="shared" si="88"/>
        <v>309.90400623462932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28.809075658995017</v>
      </c>
      <c r="AA102" s="21">
        <f>EXP(-LN(2)/25)*AA101+(1-EXP(-LN(2)/25))/(LN(2)/25)*Calculateur!V102*Calculateur!X102*VLOOKUP('Données projet'!$B$9,Paramètres!$A$1:$I$89,3,0)*0.475*44/12</f>
        <v>3.1083530266851032</v>
      </c>
      <c r="AB102" s="21">
        <f>EXP(-LN(2)/2)*AB101+(1-EXP(-LN(2)/2))/(LN(2)/2)*V102*Y102*VLOOKUP('Données projet'!$B$9,Paramètres!$A$1:$I$89,3,0)*0.475*44/12</f>
        <v>3.212673732184742E-11</v>
      </c>
      <c r="AC102" s="22">
        <f t="shared" si="57"/>
        <v>31.917428685712249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1.1368683772161603E-13</v>
      </c>
      <c r="AJ102" s="13">
        <f>AI102*VLOOKUP('Données projet'!$B$10,Paramètres!$A$1:$I$89,3,0)*VLOOKUP('Données projet'!$B$10,Paramètres!$A$1:$I$89,5,0)</f>
        <v>6.7984728957526396E-14</v>
      </c>
      <c r="AK102" s="13">
        <f t="shared" si="89"/>
        <v>1.0682447123141398E-12</v>
      </c>
      <c r="AL102" s="20">
        <f t="shared" si="58"/>
        <v>1.978932943548152E-12</v>
      </c>
      <c r="AM102" s="59">
        <f t="shared" si="59"/>
        <v>293.3333333333353</v>
      </c>
      <c r="AN102" s="59">
        <f ca="1">AVERAGE(OFFSET($AM$3,0,0,'Données projet'!$E$10+1,1))-AVERAGE(OFFSET($H$3,0,0,'Données projet'!$E$10+1,1))</f>
        <v>149.5086927376081</v>
      </c>
      <c r="AO102" s="59">
        <f t="shared" si="90"/>
        <v>364.59164590134498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25.86943171233127</v>
      </c>
      <c r="AV102" s="21">
        <f>EXP(-LN(2)/25)*AV101+(1-EXP(-LN(2)/25))/(LN(2)/25)*Calculateur!AQ102*Calculateur!AS102*VLOOKUP('Données projet'!$B$10,Paramètres!$A$1:$I$89,3,0)*0.475*44/12</f>
        <v>2.8799507944680731</v>
      </c>
      <c r="AW102" s="21">
        <f>EXP(-LN(2)/2)*AW101+(1-EXP(-LN(2)/2))/(LN(2)/2)*AQ102*AT102*VLOOKUP('Données projet'!$B$10,Paramètres!$A$1:$I$89,3,0)*0.475*44/12</f>
        <v>2.4667919899644156E-11</v>
      </c>
      <c r="AX102" s="21">
        <f t="shared" si="60"/>
        <v>28.749382506824009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1.1368683772161603E-13</v>
      </c>
      <c r="BE102" s="13">
        <f>BD102*VLOOKUP('Données projet'!$B$11,Paramètres!$A$1:$I$89,3,0)*VLOOKUP('Données projet'!$B$11,Paramètres!$A$1:$I$89,5,0)</f>
        <v>6.7984728957526396E-14</v>
      </c>
      <c r="BF102" s="13">
        <f t="shared" si="91"/>
        <v>1.0682447123141398E-12</v>
      </c>
      <c r="BG102" s="20">
        <f t="shared" si="61"/>
        <v>1.978932943548152E-12</v>
      </c>
      <c r="BH102" s="59">
        <f t="shared" si="62"/>
        <v>293.3333333333353</v>
      </c>
      <c r="BI102" s="59">
        <f ca="1">AVERAGE(OFFSET($BH$3,0,0,'Données projet'!$E$11+1,1))-AVERAGE(OFFSET($H$3,0,0,'Données projet'!$E$11+1,1))</f>
        <v>149.5086927376081</v>
      </c>
      <c r="BJ102" s="59">
        <f t="shared" si="92"/>
        <v>364.59164590134498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25.86943171233127</v>
      </c>
      <c r="BQ102" s="21">
        <f>EXP(-LN(2)/25)*BQ101+(1-EXP(-LN(2)/25))/(LN(2)/25)*Calculateur!BL102*Calculateur!BN102*VLOOKUP('Données projet'!$B$11,Paramètres!$A$1:$I$89,3,0)*0.475*44/12</f>
        <v>2.8799507944680731</v>
      </c>
      <c r="BR102" s="21">
        <f>EXP(-LN(2)/2)*BR101+(1-EXP(-LN(2)/2))/(LN(2)/2)*BL102*BO102*VLOOKUP('Données projet'!$B$11,Paramètres!$A$1:$I$89,3,0)*0.475*44/12</f>
        <v>2.4667919899644156E-11</v>
      </c>
      <c r="BS102" s="22">
        <f t="shared" si="63"/>
        <v>28.749382506824009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415.93896257799588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5.6843418860808015E-14</v>
      </c>
      <c r="O103" s="13">
        <f>N103*VLOOKUP('Données projet'!$B$9,Paramètres!$A$1:$I$89,3,0)*VLOOKUP('Données projet'!$B$9,Paramètres!$A$1:$I$89,5,0)</f>
        <v>3.3992364478763198E-14</v>
      </c>
      <c r="P103" s="13">
        <f t="shared" si="87"/>
        <v>5.790027782444094E-13</v>
      </c>
      <c r="Q103" s="20">
        <f t="shared" si="107"/>
        <v>1.0676332069095257E-12</v>
      </c>
      <c r="R103" s="59">
        <f t="shared" si="55"/>
        <v>293.33333333333439</v>
      </c>
      <c r="S103" s="59">
        <f ca="1">AVERAGE(OFFSET($R$3,0,0,'Données projet'!$E$9+1,1))-AVERAGE(OFFSET($H$3,0,0,'Données projet'!$E$9+1,1))</f>
        <v>153.00981126776304</v>
      </c>
      <c r="T103" s="59">
        <f t="shared" si="88"/>
        <v>309.90400623462932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28.244147257123206</v>
      </c>
      <c r="AA103" s="21">
        <f>EXP(-LN(2)/25)*AA102+(1-EXP(-LN(2)/25))/(LN(2)/25)*Calculateur!V103*Calculateur!X103*VLOOKUP('Données projet'!$B$9,Paramètres!$A$1:$I$89,3,0)*0.475*44/12</f>
        <v>3.0233549497092174</v>
      </c>
      <c r="AB103" s="21">
        <f>EXP(-LN(2)/2)*AB102+(1-EXP(-LN(2)/2))/(LN(2)/2)*V103*Y103*VLOOKUP('Données projet'!$B$9,Paramètres!$A$1:$I$89,3,0)*0.475*44/12</f>
        <v>2.2717033817677254E-11</v>
      </c>
      <c r="AC103" s="22">
        <f t="shared" si="57"/>
        <v>31.267502206855141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1.1368683772161603E-13</v>
      </c>
      <c r="AJ103" s="13">
        <f>AI103*VLOOKUP('Données projet'!$B$10,Paramètres!$A$1:$I$89,3,0)*VLOOKUP('Données projet'!$B$10,Paramètres!$A$1:$I$89,5,0)</f>
        <v>6.7984728957526396E-14</v>
      </c>
      <c r="AK103" s="13">
        <f t="shared" si="89"/>
        <v>1.0682447123141398E-12</v>
      </c>
      <c r="AL103" s="20">
        <f t="shared" si="58"/>
        <v>1.978932943548152E-12</v>
      </c>
      <c r="AM103" s="59">
        <f t="shared" si="59"/>
        <v>293.3333333333353</v>
      </c>
      <c r="AN103" s="59">
        <f ca="1">AVERAGE(OFFSET($AM$3,0,0,'Données projet'!$E$10+1,1))-AVERAGE(OFFSET($H$3,0,0,'Données projet'!$E$10+1,1))</f>
        <v>149.5086927376081</v>
      </c>
      <c r="AO103" s="59">
        <f t="shared" si="90"/>
        <v>364.59164590134498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25.362147935247773</v>
      </c>
      <c r="AV103" s="21">
        <f>EXP(-LN(2)/25)*AV102+(1-EXP(-LN(2)/25))/(LN(2)/25)*Calculateur!AQ103*Calculateur!AS103*VLOOKUP('Données projet'!$B$10,Paramètres!$A$1:$I$89,3,0)*0.475*44/12</f>
        <v>2.8011983885433134</v>
      </c>
      <c r="AW103" s="21">
        <f>EXP(-LN(2)/2)*AW102+(1-EXP(-LN(2)/2))/(LN(2)/2)*AQ103*AT103*VLOOKUP('Données projet'!$B$10,Paramètres!$A$1:$I$89,3,0)*0.475*44/12</f>
        <v>1.7442853438804961E-11</v>
      </c>
      <c r="AX103" s="21">
        <f t="shared" si="60"/>
        <v>28.163346323808529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1.1368683772161603E-13</v>
      </c>
      <c r="BE103" s="13">
        <f>BD103*VLOOKUP('Données projet'!$B$11,Paramètres!$A$1:$I$89,3,0)*VLOOKUP('Données projet'!$B$11,Paramètres!$A$1:$I$89,5,0)</f>
        <v>6.7984728957526396E-14</v>
      </c>
      <c r="BF103" s="13">
        <f t="shared" si="91"/>
        <v>1.0682447123141398E-12</v>
      </c>
      <c r="BG103" s="20">
        <f t="shared" si="61"/>
        <v>1.978932943548152E-12</v>
      </c>
      <c r="BH103" s="59">
        <f t="shared" si="62"/>
        <v>293.3333333333353</v>
      </c>
      <c r="BI103" s="59">
        <f ca="1">AVERAGE(OFFSET($BH$3,0,0,'Données projet'!$E$11+1,1))-AVERAGE(OFFSET($H$3,0,0,'Données projet'!$E$11+1,1))</f>
        <v>149.5086927376081</v>
      </c>
      <c r="BJ103" s="59">
        <f t="shared" si="92"/>
        <v>364.59164590134498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25.362147935247773</v>
      </c>
      <c r="BQ103" s="21">
        <f>EXP(-LN(2)/25)*BQ102+(1-EXP(-LN(2)/25))/(LN(2)/25)*Calculateur!BL103*Calculateur!BN103*VLOOKUP('Données projet'!$B$11,Paramètres!$A$1:$I$89,3,0)*0.475*44/12</f>
        <v>2.8011983885433134</v>
      </c>
      <c r="BR103" s="21">
        <f>EXP(-LN(2)/2)*BR102+(1-EXP(-LN(2)/2))/(LN(2)/2)*BL103*BO103*VLOOKUP('Données projet'!$B$11,Paramètres!$A$1:$I$89,3,0)*0.475*44/12</f>
        <v>1.7442853438804961E-11</v>
      </c>
      <c r="BS103" s="22">
        <f t="shared" si="63"/>
        <v>28.163346323808529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417.13285554686695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5.6843418860808015E-14</v>
      </c>
      <c r="O104" s="13">
        <f>N104*VLOOKUP('Données projet'!$B$9,Paramètres!$A$1:$I$89,3,0)*VLOOKUP('Données projet'!$B$9,Paramètres!$A$1:$I$89,5,0)</f>
        <v>3.3992364478763198E-14</v>
      </c>
      <c r="P104" s="13">
        <f t="shared" si="87"/>
        <v>5.790027782444094E-13</v>
      </c>
      <c r="Q104" s="20">
        <f t="shared" si="107"/>
        <v>1.0676332069095257E-12</v>
      </c>
      <c r="R104" s="59">
        <f t="shared" si="55"/>
        <v>293.33333333333439</v>
      </c>
      <c r="S104" s="59">
        <f ca="1">AVERAGE(OFFSET($R$3,0,0,'Données projet'!$E$9+1,1))-AVERAGE(OFFSET($H$3,0,0,'Données projet'!$E$9+1,1))</f>
        <v>153.00981126776304</v>
      </c>
      <c r="T104" s="59">
        <f t="shared" si="88"/>
        <v>309.90400623462932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27.6902967566398</v>
      </c>
      <c r="AA104" s="21">
        <f>EXP(-LN(2)/25)*AA103+(1-EXP(-LN(2)/25))/(LN(2)/25)*Calculateur!V104*Calculateur!X104*VLOOKUP('Données projet'!$B$9,Paramètres!$A$1:$I$89,3,0)*0.475*44/12</f>
        <v>2.9406811496180918</v>
      </c>
      <c r="AB104" s="21">
        <f>EXP(-LN(2)/2)*AB103+(1-EXP(-LN(2)/2))/(LN(2)/2)*V104*Y104*VLOOKUP('Données projet'!$B$9,Paramètres!$A$1:$I$89,3,0)*0.475*44/12</f>
        <v>1.606336866092371E-11</v>
      </c>
      <c r="AC104" s="22">
        <f t="shared" si="57"/>
        <v>30.630977906273952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1.1368683772161603E-13</v>
      </c>
      <c r="AJ104" s="13">
        <f>AI104*VLOOKUP('Données projet'!$B$10,Paramètres!$A$1:$I$89,3,0)*VLOOKUP('Données projet'!$B$10,Paramètres!$A$1:$I$89,5,0)</f>
        <v>6.7984728957526396E-14</v>
      </c>
      <c r="AK104" s="13">
        <f t="shared" si="89"/>
        <v>1.0682447123141398E-12</v>
      </c>
      <c r="AL104" s="20">
        <f t="shared" si="58"/>
        <v>1.978932943548152E-12</v>
      </c>
      <c r="AM104" s="59">
        <f t="shared" si="59"/>
        <v>293.3333333333353</v>
      </c>
      <c r="AN104" s="59">
        <f ca="1">AVERAGE(OFFSET($AM$3,0,0,'Données projet'!$E$10+1,1))-AVERAGE(OFFSET($H$3,0,0,'Données projet'!$E$10+1,1))</f>
        <v>149.5086927376081</v>
      </c>
      <c r="AO104" s="59">
        <f t="shared" si="90"/>
        <v>364.59164590134498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24.864811683620331</v>
      </c>
      <c r="AV104" s="21">
        <f>EXP(-LN(2)/25)*AV103+(1-EXP(-LN(2)/25))/(LN(2)/25)*Calculateur!AQ104*Calculateur!AS104*VLOOKUP('Données projet'!$B$10,Paramètres!$A$1:$I$89,3,0)*0.475*44/12</f>
        <v>2.7245994712999755</v>
      </c>
      <c r="AW104" s="21">
        <f>EXP(-LN(2)/2)*AW103+(1-EXP(-LN(2)/2))/(LN(2)/2)*AQ104*AT104*VLOOKUP('Données projet'!$B$10,Paramètres!$A$1:$I$89,3,0)*0.475*44/12</f>
        <v>1.2333959949822078E-11</v>
      </c>
      <c r="AX104" s="21">
        <f t="shared" si="60"/>
        <v>27.589411154932641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1.1368683772161603E-13</v>
      </c>
      <c r="BE104" s="13">
        <f>BD104*VLOOKUP('Données projet'!$B$11,Paramètres!$A$1:$I$89,3,0)*VLOOKUP('Données projet'!$B$11,Paramètres!$A$1:$I$89,5,0)</f>
        <v>6.7984728957526396E-14</v>
      </c>
      <c r="BF104" s="13">
        <f t="shared" si="91"/>
        <v>1.0682447123141398E-12</v>
      </c>
      <c r="BG104" s="20">
        <f t="shared" si="61"/>
        <v>1.978932943548152E-12</v>
      </c>
      <c r="BH104" s="59">
        <f t="shared" si="62"/>
        <v>293.3333333333353</v>
      </c>
      <c r="BI104" s="59">
        <f ca="1">AVERAGE(OFFSET($BH$3,0,0,'Données projet'!$E$11+1,1))-AVERAGE(OFFSET($H$3,0,0,'Données projet'!$E$11+1,1))</f>
        <v>149.5086927376081</v>
      </c>
      <c r="BJ104" s="59">
        <f t="shared" si="92"/>
        <v>364.59164590134498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24.864811683620331</v>
      </c>
      <c r="BQ104" s="21">
        <f>EXP(-LN(2)/25)*BQ103+(1-EXP(-LN(2)/25))/(LN(2)/25)*Calculateur!BL104*Calculateur!BN104*VLOOKUP('Données projet'!$B$11,Paramètres!$A$1:$I$89,3,0)*0.475*44/12</f>
        <v>2.7245994712999755</v>
      </c>
      <c r="BR104" s="21">
        <f>EXP(-LN(2)/2)*BR103+(1-EXP(-LN(2)/2))/(LN(2)/2)*BL104*BO104*VLOOKUP('Données projet'!$B$11,Paramètres!$A$1:$I$89,3,0)*0.475*44/12</f>
        <v>1.2333959949822078E-11</v>
      </c>
      <c r="BS104" s="22">
        <f t="shared" si="63"/>
        <v>27.589411154932641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418.32646868642092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5.6843418860808015E-14</v>
      </c>
      <c r="O105" s="13">
        <f>N105*VLOOKUP('Données projet'!$B$9,Paramètres!$A$1:$I$89,3,0)*VLOOKUP('Données projet'!$B$9,Paramètres!$A$1:$I$89,5,0)</f>
        <v>3.3992364478763198E-14</v>
      </c>
      <c r="P105" s="13">
        <f t="shared" si="87"/>
        <v>5.790027782444094E-13</v>
      </c>
      <c r="Q105" s="20">
        <f t="shared" si="107"/>
        <v>1.0676332069095257E-12</v>
      </c>
      <c r="R105" s="59">
        <f t="shared" si="55"/>
        <v>293.33333333333439</v>
      </c>
      <c r="S105" s="59">
        <f ca="1">AVERAGE(OFFSET($R$3,0,0,'Données projet'!$E$9+1,1))-AVERAGE(OFFSET($H$3,0,0,'Données projet'!$E$9+1,1))</f>
        <v>153.00981126776304</v>
      </c>
      <c r="T105" s="59">
        <f t="shared" si="88"/>
        <v>309.90400623462932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27.147306926655425</v>
      </c>
      <c r="AA105" s="21">
        <f>EXP(-LN(2)/25)*AA104+(1-EXP(-LN(2)/25))/(LN(2)/25)*Calculateur!V105*Calculateur!X105*VLOOKUP('Données projet'!$B$9,Paramètres!$A$1:$I$89,3,0)*0.475*44/12</f>
        <v>2.8602680689380846</v>
      </c>
      <c r="AB105" s="21">
        <f>EXP(-LN(2)/2)*AB104+(1-EXP(-LN(2)/2))/(LN(2)/2)*V105*Y105*VLOOKUP('Données projet'!$B$9,Paramètres!$A$1:$I$89,3,0)*0.475*44/12</f>
        <v>1.1358516908838627E-11</v>
      </c>
      <c r="AC105" s="22">
        <f t="shared" si="57"/>
        <v>30.007574995604866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1.1368683772161603E-13</v>
      </c>
      <c r="AJ105" s="13">
        <f>AI105*VLOOKUP('Données projet'!$B$10,Paramètres!$A$1:$I$89,3,0)*VLOOKUP('Données projet'!$B$10,Paramètres!$A$1:$I$89,5,0)</f>
        <v>6.7984728957526396E-14</v>
      </c>
      <c r="AK105" s="13">
        <f t="shared" si="89"/>
        <v>1.0682447123141398E-12</v>
      </c>
      <c r="AL105" s="20">
        <f t="shared" si="58"/>
        <v>1.978932943548152E-12</v>
      </c>
      <c r="AM105" s="59">
        <f t="shared" si="59"/>
        <v>293.3333333333353</v>
      </c>
      <c r="AN105" s="59">
        <f ca="1">AVERAGE(OFFSET($AM$3,0,0,'Données projet'!$E$10+1,1))-AVERAGE(OFFSET($H$3,0,0,'Données projet'!$E$10+1,1))</f>
        <v>149.5086927376081</v>
      </c>
      <c r="AO105" s="59">
        <f t="shared" si="90"/>
        <v>364.59164590134498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24.377227892542141</v>
      </c>
      <c r="AV105" s="21">
        <f>EXP(-LN(2)/25)*AV104+(1-EXP(-LN(2)/25))/(LN(2)/25)*Calculateur!AQ105*Calculateur!AS105*VLOOKUP('Données projet'!$B$10,Paramètres!$A$1:$I$89,3,0)*0.475*44/12</f>
        <v>2.6500951554768184</v>
      </c>
      <c r="AW105" s="21">
        <f>EXP(-LN(2)/2)*AW104+(1-EXP(-LN(2)/2))/(LN(2)/2)*AQ105*AT105*VLOOKUP('Données projet'!$B$10,Paramètres!$A$1:$I$89,3,0)*0.475*44/12</f>
        <v>8.7214267194024806E-12</v>
      </c>
      <c r="AX105" s="21">
        <f t="shared" si="60"/>
        <v>27.027323048027682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1.1368683772161603E-13</v>
      </c>
      <c r="BE105" s="13">
        <f>BD105*VLOOKUP('Données projet'!$B$11,Paramètres!$A$1:$I$89,3,0)*VLOOKUP('Données projet'!$B$11,Paramètres!$A$1:$I$89,5,0)</f>
        <v>6.7984728957526396E-14</v>
      </c>
      <c r="BF105" s="13">
        <f t="shared" si="91"/>
        <v>1.0682447123141398E-12</v>
      </c>
      <c r="BG105" s="20">
        <f t="shared" si="61"/>
        <v>1.978932943548152E-12</v>
      </c>
      <c r="BH105" s="59">
        <f t="shared" si="62"/>
        <v>293.3333333333353</v>
      </c>
      <c r="BI105" s="59">
        <f ca="1">AVERAGE(OFFSET($BH$3,0,0,'Données projet'!$E$11+1,1))-AVERAGE(OFFSET($H$3,0,0,'Données projet'!$E$11+1,1))</f>
        <v>149.5086927376081</v>
      </c>
      <c r="BJ105" s="59">
        <f t="shared" si="92"/>
        <v>364.59164590134498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24.377227892542141</v>
      </c>
      <c r="BQ105" s="21">
        <f>EXP(-LN(2)/25)*BQ104+(1-EXP(-LN(2)/25))/(LN(2)/25)*Calculateur!BL105*Calculateur!BN105*VLOOKUP('Données projet'!$B$11,Paramètres!$A$1:$I$89,3,0)*0.475*44/12</f>
        <v>2.6500951554768184</v>
      </c>
      <c r="BR105" s="21">
        <f>EXP(-LN(2)/2)*BR104+(1-EXP(-LN(2)/2))/(LN(2)/2)*BL105*BO105*VLOOKUP('Données projet'!$B$11,Paramètres!$A$1:$I$89,3,0)*0.475*44/12</f>
        <v>8.7214267194024806E-12</v>
      </c>
      <c r="BS105" s="22">
        <f t="shared" si="63"/>
        <v>27.027323048027682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419.51980505776862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5.6843418860808015E-14</v>
      </c>
      <c r="O106" s="13">
        <f>N106*VLOOKUP('Données projet'!$B$9,Paramètres!$A$1:$I$89,3,0)*VLOOKUP('Données projet'!$B$9,Paramètres!$A$1:$I$89,5,0)</f>
        <v>3.3992364478763198E-14</v>
      </c>
      <c r="P106" s="13">
        <f t="shared" si="87"/>
        <v>5.790027782444094E-13</v>
      </c>
      <c r="Q106" s="20">
        <f t="shared" si="107"/>
        <v>1.0676332069095257E-12</v>
      </c>
      <c r="R106" s="59">
        <f t="shared" si="55"/>
        <v>293.33333333333439</v>
      </c>
      <c r="S106" s="59">
        <f ca="1">AVERAGE(OFFSET($R$3,0,0,'Données projet'!$E$9+1,1))-AVERAGE(OFFSET($H$3,0,0,'Données projet'!$E$9+1,1))</f>
        <v>153.00981126776304</v>
      </c>
      <c r="T106" s="59">
        <f t="shared" si="88"/>
        <v>309.90400623462932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26.61496479604595</v>
      </c>
      <c r="AA106" s="21">
        <f>EXP(-LN(2)/25)*AA105+(1-EXP(-LN(2)/25))/(LN(2)/25)*Calculateur!V106*Calculateur!X106*VLOOKUP('Données projet'!$B$9,Paramètres!$A$1:$I$89,3,0)*0.475*44/12</f>
        <v>2.7820538881780124</v>
      </c>
      <c r="AB106" s="21">
        <f>EXP(-LN(2)/2)*AB105+(1-EXP(-LN(2)/2))/(LN(2)/2)*V106*Y106*VLOOKUP('Données projet'!$B$9,Paramètres!$A$1:$I$89,3,0)*0.475*44/12</f>
        <v>8.031684330461855E-12</v>
      </c>
      <c r="AC106" s="22">
        <f t="shared" si="57"/>
        <v>29.397018684231995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1.1368683772161603E-13</v>
      </c>
      <c r="AJ106" s="13">
        <f>AI106*VLOOKUP('Données projet'!$B$10,Paramètres!$A$1:$I$89,3,0)*VLOOKUP('Données projet'!$B$10,Paramètres!$A$1:$I$89,5,0)</f>
        <v>6.7984728957526396E-14</v>
      </c>
      <c r="AK106" s="13">
        <f t="shared" si="89"/>
        <v>1.0682447123141398E-12</v>
      </c>
      <c r="AL106" s="20">
        <f t="shared" si="58"/>
        <v>1.978932943548152E-12</v>
      </c>
      <c r="AM106" s="59">
        <f t="shared" si="59"/>
        <v>293.3333333333353</v>
      </c>
      <c r="AN106" s="59">
        <f ca="1">AVERAGE(OFFSET($AM$3,0,0,'Données projet'!$E$10+1,1))-AVERAGE(OFFSET($H$3,0,0,'Données projet'!$E$10+1,1))</f>
        <v>149.5086927376081</v>
      </c>
      <c r="AO106" s="59">
        <f t="shared" si="90"/>
        <v>364.59164590134498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23.899205322210246</v>
      </c>
      <c r="AV106" s="21">
        <f>EXP(-LN(2)/25)*AV105+(1-EXP(-LN(2)/25))/(LN(2)/25)*Calculateur!AQ106*Calculateur!AS106*VLOOKUP('Données projet'!$B$10,Paramètres!$A$1:$I$89,3,0)*0.475*44/12</f>
        <v>2.5776281640878573</v>
      </c>
      <c r="AW106" s="21">
        <f>EXP(-LN(2)/2)*AW105+(1-EXP(-LN(2)/2))/(LN(2)/2)*AQ106*AT106*VLOOKUP('Données projet'!$B$10,Paramètres!$A$1:$I$89,3,0)*0.475*44/12</f>
        <v>6.1669799749110389E-12</v>
      </c>
      <c r="AX106" s="21">
        <f t="shared" si="60"/>
        <v>26.476833486304272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1.1368683772161603E-13</v>
      </c>
      <c r="BE106" s="13">
        <f>BD106*VLOOKUP('Données projet'!$B$11,Paramètres!$A$1:$I$89,3,0)*VLOOKUP('Données projet'!$B$11,Paramètres!$A$1:$I$89,5,0)</f>
        <v>6.7984728957526396E-14</v>
      </c>
      <c r="BF106" s="13">
        <f t="shared" si="91"/>
        <v>1.0682447123141398E-12</v>
      </c>
      <c r="BG106" s="20">
        <f t="shared" si="61"/>
        <v>1.978932943548152E-12</v>
      </c>
      <c r="BH106" s="59">
        <f t="shared" si="62"/>
        <v>293.3333333333353</v>
      </c>
      <c r="BI106" s="59">
        <f ca="1">AVERAGE(OFFSET($BH$3,0,0,'Données projet'!$E$11+1,1))-AVERAGE(OFFSET($H$3,0,0,'Données projet'!$E$11+1,1))</f>
        <v>149.5086927376081</v>
      </c>
      <c r="BJ106" s="59">
        <f t="shared" si="92"/>
        <v>364.59164590134498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23.899205322210246</v>
      </c>
      <c r="BQ106" s="21">
        <f>EXP(-LN(2)/25)*BQ105+(1-EXP(-LN(2)/25))/(LN(2)/25)*Calculateur!BL106*Calculateur!BN106*VLOOKUP('Données projet'!$B$11,Paramètres!$A$1:$I$89,3,0)*0.475*44/12</f>
        <v>2.5776281640878573</v>
      </c>
      <c r="BR106" s="21">
        <f>EXP(-LN(2)/2)*BR105+(1-EXP(-LN(2)/2))/(LN(2)/2)*BL106*BO106*VLOOKUP('Données projet'!$B$11,Paramètres!$A$1:$I$89,3,0)*0.475*44/12</f>
        <v>6.1669799749110389E-12</v>
      </c>
      <c r="BS106" s="22">
        <f t="shared" si="63"/>
        <v>26.476833486304272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420.71286765915517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5.6843418860808015E-14</v>
      </c>
      <c r="O107" s="13">
        <f>N107*VLOOKUP('Données projet'!$B$9,Paramètres!$A$1:$I$89,3,0)*VLOOKUP('Données projet'!$B$9,Paramètres!$A$1:$I$89,5,0)</f>
        <v>3.3992364478763198E-14</v>
      </c>
      <c r="P107" s="13">
        <f t="shared" si="87"/>
        <v>5.790027782444094E-13</v>
      </c>
      <c r="Q107" s="20">
        <f t="shared" si="107"/>
        <v>1.0676332069095257E-12</v>
      </c>
      <c r="R107" s="59">
        <f t="shared" si="55"/>
        <v>293.33333333333439</v>
      </c>
      <c r="S107" s="59">
        <f ca="1">AVERAGE(OFFSET($R$3,0,0,'Données projet'!$E$9+1,1))-AVERAGE(OFFSET($H$3,0,0,'Données projet'!$E$9+1,1))</f>
        <v>153.00981126776304</v>
      </c>
      <c r="T107" s="59">
        <f t="shared" si="88"/>
        <v>309.90400623462932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26.093061569921087</v>
      </c>
      <c r="AA107" s="21">
        <f>EXP(-LN(2)/25)*AA106+(1-EXP(-LN(2)/25))/(LN(2)/25)*Calculateur!V107*Calculateur!X107*VLOOKUP('Données projet'!$B$9,Paramètres!$A$1:$I$89,3,0)*0.475*44/12</f>
        <v>2.7059784783039289</v>
      </c>
      <c r="AB107" s="21">
        <f>EXP(-LN(2)/2)*AB106+(1-EXP(-LN(2)/2))/(LN(2)/2)*V107*Y107*VLOOKUP('Données projet'!$B$9,Paramètres!$A$1:$I$89,3,0)*0.475*44/12</f>
        <v>5.6792584544193135E-12</v>
      </c>
      <c r="AC107" s="22">
        <f t="shared" si="57"/>
        <v>28.799040048230697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1.1368683772161603E-13</v>
      </c>
      <c r="AJ107" s="13">
        <f>AI107*VLOOKUP('Données projet'!$B$10,Paramètres!$A$1:$I$89,3,0)*VLOOKUP('Données projet'!$B$10,Paramètres!$A$1:$I$89,5,0)</f>
        <v>6.7984728957526396E-14</v>
      </c>
      <c r="AK107" s="13">
        <f t="shared" si="89"/>
        <v>1.0682447123141398E-12</v>
      </c>
      <c r="AL107" s="20">
        <f t="shared" si="58"/>
        <v>1.978932943548152E-12</v>
      </c>
      <c r="AM107" s="59">
        <f t="shared" si="59"/>
        <v>293.3333333333353</v>
      </c>
      <c r="AN107" s="59">
        <f ca="1">AVERAGE(OFFSET($AM$3,0,0,'Données projet'!$E$10+1,1))-AVERAGE(OFFSET($H$3,0,0,'Données projet'!$E$10+1,1))</f>
        <v>149.5086927376081</v>
      </c>
      <c r="AO107" s="59">
        <f t="shared" si="90"/>
        <v>364.59164590134498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23.430556482917584</v>
      </c>
      <c r="AV107" s="21">
        <f>EXP(-LN(2)/25)*AV106+(1-EXP(-LN(2)/25))/(LN(2)/25)*Calculateur!AQ107*Calculateur!AS107*VLOOKUP('Données projet'!$B$10,Paramètres!$A$1:$I$89,3,0)*0.475*44/12</f>
        <v>2.5071427863893008</v>
      </c>
      <c r="AW107" s="21">
        <f>EXP(-LN(2)/2)*AW106+(1-EXP(-LN(2)/2))/(LN(2)/2)*AQ107*AT107*VLOOKUP('Données projet'!$B$10,Paramètres!$A$1:$I$89,3,0)*0.475*44/12</f>
        <v>4.3607133597012403E-12</v>
      </c>
      <c r="AX107" s="21">
        <f t="shared" si="60"/>
        <v>25.937699269311246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1.1368683772161603E-13</v>
      </c>
      <c r="BE107" s="13">
        <f>BD107*VLOOKUP('Données projet'!$B$11,Paramètres!$A$1:$I$89,3,0)*VLOOKUP('Données projet'!$B$11,Paramètres!$A$1:$I$89,5,0)</f>
        <v>6.7984728957526396E-14</v>
      </c>
      <c r="BF107" s="13">
        <f t="shared" si="91"/>
        <v>1.0682447123141398E-12</v>
      </c>
      <c r="BG107" s="20">
        <f t="shared" si="61"/>
        <v>1.978932943548152E-12</v>
      </c>
      <c r="BH107" s="59">
        <f t="shared" si="62"/>
        <v>293.3333333333353</v>
      </c>
      <c r="BI107" s="59">
        <f ca="1">AVERAGE(OFFSET($BH$3,0,0,'Données projet'!$E$11+1,1))-AVERAGE(OFFSET($H$3,0,0,'Données projet'!$E$11+1,1))</f>
        <v>149.5086927376081</v>
      </c>
      <c r="BJ107" s="59">
        <f t="shared" si="92"/>
        <v>364.59164590134498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23.430556482917584</v>
      </c>
      <c r="BQ107" s="21">
        <f>EXP(-LN(2)/25)*BQ106+(1-EXP(-LN(2)/25))/(LN(2)/25)*Calculateur!BL107*Calculateur!BN107*VLOOKUP('Données projet'!$B$11,Paramètres!$A$1:$I$89,3,0)*0.475*44/12</f>
        <v>2.5071427863893008</v>
      </c>
      <c r="BR107" s="21">
        <f>EXP(-LN(2)/2)*BR106+(1-EXP(-LN(2)/2))/(LN(2)/2)*BL107*BO107*VLOOKUP('Données projet'!$B$11,Paramètres!$A$1:$I$89,3,0)*0.475*44/12</f>
        <v>4.3607133597012403E-12</v>
      </c>
      <c r="BS107" s="22">
        <f t="shared" si="63"/>
        <v>25.937699269311246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421.90565942784269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5.6843418860808015E-14</v>
      </c>
      <c r="O108" s="13">
        <f>N108*VLOOKUP('Données projet'!$B$9,Paramètres!$A$1:$I$89,3,0)*VLOOKUP('Données projet'!$B$9,Paramètres!$A$1:$I$89,5,0)</f>
        <v>3.3992364478763198E-14</v>
      </c>
      <c r="P108" s="13">
        <f t="shared" si="87"/>
        <v>5.790027782444094E-13</v>
      </c>
      <c r="Q108" s="20">
        <f t="shared" si="107"/>
        <v>1.0676332069095257E-12</v>
      </c>
      <c r="R108" s="59">
        <f t="shared" si="55"/>
        <v>293.33333333333439</v>
      </c>
      <c r="S108" s="59">
        <f ca="1">AVERAGE(OFFSET($R$3,0,0,'Données projet'!$E$9+1,1))-AVERAGE(OFFSET($H$3,0,0,'Données projet'!$E$9+1,1))</f>
        <v>153.00981126776304</v>
      </c>
      <c r="T108" s="59">
        <f t="shared" si="88"/>
        <v>309.90400623462932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25.581392547730996</v>
      </c>
      <c r="AA108" s="21">
        <f>EXP(-LN(2)/25)*AA107+(1-EXP(-LN(2)/25))/(LN(2)/25)*Calculateur!V108*Calculateur!X108*VLOOKUP('Données projet'!$B$9,Paramètres!$A$1:$I$89,3,0)*0.475*44/12</f>
        <v>2.6319833545134843</v>
      </c>
      <c r="AB108" s="21">
        <f>EXP(-LN(2)/2)*AB107+(1-EXP(-LN(2)/2))/(LN(2)/2)*V108*Y108*VLOOKUP('Données projet'!$B$9,Paramètres!$A$1:$I$89,3,0)*0.475*44/12</f>
        <v>4.0158421652309275E-12</v>
      </c>
      <c r="AC108" s="22">
        <f t="shared" si="57"/>
        <v>28.213375902248494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1.1368683772161603E-13</v>
      </c>
      <c r="AJ108" s="13">
        <f>AI108*VLOOKUP('Données projet'!$B$10,Paramètres!$A$1:$I$89,3,0)*VLOOKUP('Données projet'!$B$10,Paramètres!$A$1:$I$89,5,0)</f>
        <v>6.7984728957526396E-14</v>
      </c>
      <c r="AK108" s="13">
        <f t="shared" si="89"/>
        <v>1.0682447123141398E-12</v>
      </c>
      <c r="AL108" s="20">
        <f t="shared" si="58"/>
        <v>1.978932943548152E-12</v>
      </c>
      <c r="AM108" s="59">
        <f t="shared" si="59"/>
        <v>293.3333333333353</v>
      </c>
      <c r="AN108" s="59">
        <f ca="1">AVERAGE(OFFSET($AM$3,0,0,'Données projet'!$E$10+1,1))-AVERAGE(OFFSET($H$3,0,0,'Données projet'!$E$10+1,1))</f>
        <v>149.5086927376081</v>
      </c>
      <c r="AO108" s="59">
        <f t="shared" si="90"/>
        <v>364.59164590134498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22.971097561515883</v>
      </c>
      <c r="AV108" s="21">
        <f>EXP(-LN(2)/25)*AV107+(1-EXP(-LN(2)/25))/(LN(2)/25)*Calculateur!AQ108*Calculateur!AS108*VLOOKUP('Données projet'!$B$10,Paramètres!$A$1:$I$89,3,0)*0.475*44/12</f>
        <v>2.4385848350505763</v>
      </c>
      <c r="AW108" s="21">
        <f>EXP(-LN(2)/2)*AW107+(1-EXP(-LN(2)/2))/(LN(2)/2)*AQ108*AT108*VLOOKUP('Données projet'!$B$10,Paramètres!$A$1:$I$89,3,0)*0.475*44/12</f>
        <v>3.0834899874555195E-12</v>
      </c>
      <c r="AX108" s="21">
        <f t="shared" si="60"/>
        <v>25.409682396569544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1.1368683772161603E-13</v>
      </c>
      <c r="BE108" s="13">
        <f>BD108*VLOOKUP('Données projet'!$B$11,Paramètres!$A$1:$I$89,3,0)*VLOOKUP('Données projet'!$B$11,Paramètres!$A$1:$I$89,5,0)</f>
        <v>6.7984728957526396E-14</v>
      </c>
      <c r="BF108" s="13">
        <f t="shared" si="91"/>
        <v>1.0682447123141398E-12</v>
      </c>
      <c r="BG108" s="20">
        <f t="shared" si="61"/>
        <v>1.978932943548152E-12</v>
      </c>
      <c r="BH108" s="59">
        <f t="shared" si="62"/>
        <v>293.3333333333353</v>
      </c>
      <c r="BI108" s="59">
        <f ca="1">AVERAGE(OFFSET($BH$3,0,0,'Données projet'!$E$11+1,1))-AVERAGE(OFFSET($H$3,0,0,'Données projet'!$E$11+1,1))</f>
        <v>149.5086927376081</v>
      </c>
      <c r="BJ108" s="59">
        <f t="shared" si="92"/>
        <v>364.59164590134498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22.971097561515883</v>
      </c>
      <c r="BQ108" s="21">
        <f>EXP(-LN(2)/25)*BQ107+(1-EXP(-LN(2)/25))/(LN(2)/25)*Calculateur!BL108*Calculateur!BN108*VLOOKUP('Données projet'!$B$11,Paramètres!$A$1:$I$89,3,0)*0.475*44/12</f>
        <v>2.4385848350505763</v>
      </c>
      <c r="BR108" s="21">
        <f>EXP(-LN(2)/2)*BR107+(1-EXP(-LN(2)/2))/(LN(2)/2)*BL108*BO108*VLOOKUP('Données projet'!$B$11,Paramètres!$A$1:$I$89,3,0)*0.475*44/12</f>
        <v>3.0834899874555195E-12</v>
      </c>
      <c r="BS108" s="22">
        <f t="shared" si="63"/>
        <v>25.409682396569544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423.09818324191957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5.6843418860808015E-14</v>
      </c>
      <c r="O109" s="13">
        <f>N109*VLOOKUP('Données projet'!$B$9,Paramètres!$A$1:$I$89,3,0)*VLOOKUP('Données projet'!$B$9,Paramètres!$A$1:$I$89,5,0)</f>
        <v>3.3992364478763198E-14</v>
      </c>
      <c r="P109" s="13">
        <f t="shared" si="87"/>
        <v>5.790027782444094E-13</v>
      </c>
      <c r="Q109" s="20">
        <f t="shared" si="107"/>
        <v>1.0676332069095257E-12</v>
      </c>
      <c r="R109" s="59">
        <f t="shared" si="55"/>
        <v>293.33333333333439</v>
      </c>
      <c r="S109" s="59">
        <f ca="1">AVERAGE(OFFSET($R$3,0,0,'Données projet'!$E$9+1,1))-AVERAGE(OFFSET($H$3,0,0,'Données projet'!$E$9+1,1))</f>
        <v>153.00981126776304</v>
      </c>
      <c r="T109" s="59">
        <f t="shared" si="88"/>
        <v>309.90400623462932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25.079757042978766</v>
      </c>
      <c r="AA109" s="21">
        <f>EXP(-LN(2)/25)*AA108+(1-EXP(-LN(2)/25))/(LN(2)/25)*Calculateur!V109*Calculateur!X109*VLOOKUP('Données projet'!$B$9,Paramètres!$A$1:$I$89,3,0)*0.475*44/12</f>
        <v>2.5600116312743237</v>
      </c>
      <c r="AB109" s="21">
        <f>EXP(-LN(2)/2)*AB108+(1-EXP(-LN(2)/2))/(LN(2)/2)*V109*Y109*VLOOKUP('Données projet'!$B$9,Paramètres!$A$1:$I$89,3,0)*0.475*44/12</f>
        <v>2.8396292272096567E-12</v>
      </c>
      <c r="AC109" s="22">
        <f t="shared" si="57"/>
        <v>27.639768674255929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1.1368683772161603E-13</v>
      </c>
      <c r="AJ109" s="13">
        <f>AI109*VLOOKUP('Données projet'!$B$10,Paramètres!$A$1:$I$89,3,0)*VLOOKUP('Données projet'!$B$10,Paramètres!$A$1:$I$89,5,0)</f>
        <v>6.7984728957526396E-14</v>
      </c>
      <c r="AK109" s="13">
        <f t="shared" si="89"/>
        <v>1.0682447123141398E-12</v>
      </c>
      <c r="AL109" s="20">
        <f t="shared" si="58"/>
        <v>1.978932943548152E-12</v>
      </c>
      <c r="AM109" s="59">
        <f t="shared" si="59"/>
        <v>293.3333333333353</v>
      </c>
      <c r="AN109" s="59">
        <f ca="1">AVERAGE(OFFSET($AM$3,0,0,'Données projet'!$E$10+1,1))-AVERAGE(OFFSET($H$3,0,0,'Données projet'!$E$10+1,1))</f>
        <v>149.5086927376081</v>
      </c>
      <c r="AO109" s="59">
        <f t="shared" si="90"/>
        <v>364.59164590134498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22.520648349320599</v>
      </c>
      <c r="AV109" s="21">
        <f>EXP(-LN(2)/25)*AV108+(1-EXP(-LN(2)/25))/(LN(2)/25)*Calculateur!AQ109*Calculateur!AS109*VLOOKUP('Données projet'!$B$10,Paramètres!$A$1:$I$89,3,0)*0.475*44/12</f>
        <v>2.3719016044965153</v>
      </c>
      <c r="AW109" s="21">
        <f>EXP(-LN(2)/2)*AW108+(1-EXP(-LN(2)/2))/(LN(2)/2)*AQ109*AT109*VLOOKUP('Données projet'!$B$10,Paramètres!$A$1:$I$89,3,0)*0.475*44/12</f>
        <v>2.1803566798506201E-12</v>
      </c>
      <c r="AX109" s="21">
        <f t="shared" si="60"/>
        <v>24.892549953819294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1.1368683772161603E-13</v>
      </c>
      <c r="BE109" s="13">
        <f>BD109*VLOOKUP('Données projet'!$B$11,Paramètres!$A$1:$I$89,3,0)*VLOOKUP('Données projet'!$B$11,Paramètres!$A$1:$I$89,5,0)</f>
        <v>6.7984728957526396E-14</v>
      </c>
      <c r="BF109" s="13">
        <f t="shared" si="91"/>
        <v>1.0682447123141398E-12</v>
      </c>
      <c r="BG109" s="20">
        <f t="shared" si="61"/>
        <v>1.978932943548152E-12</v>
      </c>
      <c r="BH109" s="59">
        <f t="shared" si="62"/>
        <v>293.3333333333353</v>
      </c>
      <c r="BI109" s="59">
        <f ca="1">AVERAGE(OFFSET($BH$3,0,0,'Données projet'!$E$11+1,1))-AVERAGE(OFFSET($H$3,0,0,'Données projet'!$E$11+1,1))</f>
        <v>149.5086927376081</v>
      </c>
      <c r="BJ109" s="59">
        <f t="shared" si="92"/>
        <v>364.59164590134498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22.520648349320599</v>
      </c>
      <c r="BQ109" s="21">
        <f>EXP(-LN(2)/25)*BQ108+(1-EXP(-LN(2)/25))/(LN(2)/25)*Calculateur!BL109*Calculateur!BN109*VLOOKUP('Données projet'!$B$11,Paramètres!$A$1:$I$89,3,0)*0.475*44/12</f>
        <v>2.3719016044965153</v>
      </c>
      <c r="BR109" s="21">
        <f>EXP(-LN(2)/2)*BR108+(1-EXP(-LN(2)/2))/(LN(2)/2)*BL109*BO109*VLOOKUP('Données projet'!$B$11,Paramètres!$A$1:$I$89,3,0)*0.475*44/12</f>
        <v>2.1803566798506201E-12</v>
      </c>
      <c r="BS109" s="22">
        <f t="shared" si="63"/>
        <v>24.892549953819294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424.29044192203901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5.6843418860808015E-14</v>
      </c>
      <c r="O110" s="13">
        <f>N110*VLOOKUP('Données projet'!$B$9,Paramètres!$A$1:$I$89,3,0)*VLOOKUP('Données projet'!$B$9,Paramètres!$A$1:$I$89,5,0)</f>
        <v>3.3992364478763198E-14</v>
      </c>
      <c r="P110" s="13">
        <f t="shared" si="87"/>
        <v>5.790027782444094E-13</v>
      </c>
      <c r="Q110" s="20">
        <f t="shared" si="107"/>
        <v>1.0676332069095257E-12</v>
      </c>
      <c r="R110" s="59">
        <f t="shared" si="55"/>
        <v>293.33333333333439</v>
      </c>
      <c r="S110" s="59">
        <f ca="1">AVERAGE(OFFSET($R$3,0,0,'Données projet'!$E$9+1,1))-AVERAGE(OFFSET($H$3,0,0,'Données projet'!$E$9+1,1))</f>
        <v>153.00981126776304</v>
      </c>
      <c r="T110" s="59">
        <f t="shared" si="88"/>
        <v>309.90400623462932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24.587958304507282</v>
      </c>
      <c r="AA110" s="21">
        <f>EXP(-LN(2)/25)*AA109+(1-EXP(-LN(2)/25))/(LN(2)/25)*Calculateur!V110*Calculateur!X110*VLOOKUP('Données projet'!$B$9,Paramètres!$A$1:$I$89,3,0)*0.475*44/12</f>
        <v>2.4900079785919669</v>
      </c>
      <c r="AB110" s="21">
        <f>EXP(-LN(2)/2)*AB109+(1-EXP(-LN(2)/2))/(LN(2)/2)*V110*Y110*VLOOKUP('Données projet'!$B$9,Paramètres!$A$1:$I$89,3,0)*0.475*44/12</f>
        <v>2.0079210826154638E-12</v>
      </c>
      <c r="AC110" s="22">
        <f t="shared" si="57"/>
        <v>27.077966283101258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1.1368683772161603E-13</v>
      </c>
      <c r="AJ110" s="13">
        <f>AI110*VLOOKUP('Données projet'!$B$10,Paramètres!$A$1:$I$89,3,0)*VLOOKUP('Données projet'!$B$10,Paramètres!$A$1:$I$89,5,0)</f>
        <v>6.7984728957526396E-14</v>
      </c>
      <c r="AK110" s="13">
        <f t="shared" si="89"/>
        <v>1.0682447123141398E-12</v>
      </c>
      <c r="AL110" s="20">
        <f t="shared" si="58"/>
        <v>1.978932943548152E-12</v>
      </c>
      <c r="AM110" s="59">
        <f t="shared" si="59"/>
        <v>293.3333333333353</v>
      </c>
      <c r="AN110" s="59">
        <f ca="1">AVERAGE(OFFSET($AM$3,0,0,'Données projet'!$E$10+1,1))-AVERAGE(OFFSET($H$3,0,0,'Données projet'!$E$10+1,1))</f>
        <v>149.5086927376081</v>
      </c>
      <c r="AO110" s="59">
        <f t="shared" si="90"/>
        <v>364.59164590134498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22.079032171429574</v>
      </c>
      <c r="AV110" s="21">
        <f>EXP(-LN(2)/25)*AV109+(1-EXP(-LN(2)/25))/(LN(2)/25)*Calculateur!AQ110*Calculateur!AS110*VLOOKUP('Données projet'!$B$10,Paramètres!$A$1:$I$89,3,0)*0.475*44/12</f>
        <v>2.3070418303886737</v>
      </c>
      <c r="AW110" s="21">
        <f>EXP(-LN(2)/2)*AW109+(1-EXP(-LN(2)/2))/(LN(2)/2)*AQ110*AT110*VLOOKUP('Données projet'!$B$10,Paramètres!$A$1:$I$89,3,0)*0.475*44/12</f>
        <v>1.5417449937277597E-12</v>
      </c>
      <c r="AX110" s="21">
        <f t="shared" si="60"/>
        <v>24.386074001819789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1.1368683772161603E-13</v>
      </c>
      <c r="BE110" s="13">
        <f>BD110*VLOOKUP('Données projet'!$B$11,Paramètres!$A$1:$I$89,3,0)*VLOOKUP('Données projet'!$B$11,Paramètres!$A$1:$I$89,5,0)</f>
        <v>6.7984728957526396E-14</v>
      </c>
      <c r="BF110" s="13">
        <f t="shared" si="91"/>
        <v>1.0682447123141398E-12</v>
      </c>
      <c r="BG110" s="20">
        <f t="shared" si="61"/>
        <v>1.978932943548152E-12</v>
      </c>
      <c r="BH110" s="59">
        <f t="shared" si="62"/>
        <v>293.3333333333353</v>
      </c>
      <c r="BI110" s="59">
        <f ca="1">AVERAGE(OFFSET($BH$3,0,0,'Données projet'!$E$11+1,1))-AVERAGE(OFFSET($H$3,0,0,'Données projet'!$E$11+1,1))</f>
        <v>149.5086927376081</v>
      </c>
      <c r="BJ110" s="59">
        <f t="shared" si="92"/>
        <v>364.59164590134498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22.079032171429574</v>
      </c>
      <c r="BQ110" s="21">
        <f>EXP(-LN(2)/25)*BQ109+(1-EXP(-LN(2)/25))/(LN(2)/25)*Calculateur!BL110*Calculateur!BN110*VLOOKUP('Données projet'!$B$11,Paramètres!$A$1:$I$89,3,0)*0.475*44/12</f>
        <v>2.3070418303886737</v>
      </c>
      <c r="BR110" s="21">
        <f>EXP(-LN(2)/2)*BR109+(1-EXP(-LN(2)/2))/(LN(2)/2)*BL110*BO110*VLOOKUP('Données projet'!$B$11,Paramètres!$A$1:$I$89,3,0)*0.475*44/12</f>
        <v>1.5417449937277597E-12</v>
      </c>
      <c r="BS110" s="22">
        <f t="shared" si="63"/>
        <v>24.386074001819789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425.48243823309122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5.6843418860808015E-14</v>
      </c>
      <c r="O111" s="13">
        <f>N111*VLOOKUP('Données projet'!$B$9,Paramètres!$A$1:$I$89,3,0)*VLOOKUP('Données projet'!$B$9,Paramètres!$A$1:$I$89,5,0)</f>
        <v>3.3992364478763198E-14</v>
      </c>
      <c r="P111" s="13">
        <f t="shared" si="87"/>
        <v>5.790027782444094E-13</v>
      </c>
      <c r="Q111" s="20">
        <f t="shared" si="107"/>
        <v>1.0676332069095257E-12</v>
      </c>
      <c r="R111" s="59">
        <f t="shared" si="55"/>
        <v>293.33333333333439</v>
      </c>
      <c r="S111" s="59">
        <f ca="1">AVERAGE(OFFSET($R$3,0,0,'Données projet'!$E$9+1,1))-AVERAGE(OFFSET($H$3,0,0,'Données projet'!$E$9+1,1))</f>
        <v>153.00981126776304</v>
      </c>
      <c r="T111" s="59">
        <f t="shared" si="88"/>
        <v>309.90400623462932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24.105803439329613</v>
      </c>
      <c r="AA111" s="21">
        <f>EXP(-LN(2)/25)*AA110+(1-EXP(-LN(2)/25))/(LN(2)/25)*Calculateur!V111*Calculateur!X111*VLOOKUP('Données projet'!$B$9,Paramètres!$A$1:$I$89,3,0)*0.475*44/12</f>
        <v>2.4219185794735409</v>
      </c>
      <c r="AB111" s="21">
        <f>EXP(-LN(2)/2)*AB110+(1-EXP(-LN(2)/2))/(LN(2)/2)*V111*Y111*VLOOKUP('Données projet'!$B$9,Paramètres!$A$1:$I$89,3,0)*0.475*44/12</f>
        <v>1.4198146136048284E-12</v>
      </c>
      <c r="AC111" s="22">
        <f t="shared" si="57"/>
        <v>26.527722018804575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1.1368683772161603E-13</v>
      </c>
      <c r="AJ111" s="13">
        <f>AI111*VLOOKUP('Données projet'!$B$10,Paramètres!$A$1:$I$89,3,0)*VLOOKUP('Données projet'!$B$10,Paramètres!$A$1:$I$89,5,0)</f>
        <v>6.7984728957526396E-14</v>
      </c>
      <c r="AK111" s="13">
        <f t="shared" si="89"/>
        <v>1.0682447123141398E-12</v>
      </c>
      <c r="AL111" s="20">
        <f t="shared" si="58"/>
        <v>1.978932943548152E-12</v>
      </c>
      <c r="AM111" s="59">
        <f t="shared" si="59"/>
        <v>293.3333333333353</v>
      </c>
      <c r="AN111" s="59">
        <f ca="1">AVERAGE(OFFSET($AM$3,0,0,'Données projet'!$E$10+1,1))-AVERAGE(OFFSET($H$3,0,0,'Données projet'!$E$10+1,1))</f>
        <v>149.5086927376081</v>
      </c>
      <c r="AO111" s="59">
        <f t="shared" si="90"/>
        <v>364.59164590134498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21.646075817427722</v>
      </c>
      <c r="AV111" s="21">
        <f>EXP(-LN(2)/25)*AV110+(1-EXP(-LN(2)/25))/(LN(2)/25)*Calculateur!AQ111*Calculateur!AS111*VLOOKUP('Données projet'!$B$10,Paramètres!$A$1:$I$89,3,0)*0.475*44/12</f>
        <v>2.2439556502146383</v>
      </c>
      <c r="AW111" s="21">
        <f>EXP(-LN(2)/2)*AW110+(1-EXP(-LN(2)/2))/(LN(2)/2)*AQ111*AT111*VLOOKUP('Données projet'!$B$10,Paramètres!$A$1:$I$89,3,0)*0.475*44/12</f>
        <v>1.0901783399253101E-12</v>
      </c>
      <c r="AX111" s="21">
        <f t="shared" si="60"/>
        <v>23.89003146764345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1.1368683772161603E-13</v>
      </c>
      <c r="BE111" s="13">
        <f>BD111*VLOOKUP('Données projet'!$B$11,Paramètres!$A$1:$I$89,3,0)*VLOOKUP('Données projet'!$B$11,Paramètres!$A$1:$I$89,5,0)</f>
        <v>6.7984728957526396E-14</v>
      </c>
      <c r="BF111" s="13">
        <f t="shared" si="91"/>
        <v>1.0682447123141398E-12</v>
      </c>
      <c r="BG111" s="20">
        <f t="shared" si="61"/>
        <v>1.978932943548152E-12</v>
      </c>
      <c r="BH111" s="59">
        <f t="shared" si="62"/>
        <v>293.3333333333353</v>
      </c>
      <c r="BI111" s="59">
        <f ca="1">AVERAGE(OFFSET($BH$3,0,0,'Données projet'!$E$11+1,1))-AVERAGE(OFFSET($H$3,0,0,'Données projet'!$E$11+1,1))</f>
        <v>149.5086927376081</v>
      </c>
      <c r="BJ111" s="59">
        <f t="shared" si="92"/>
        <v>364.59164590134498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21.646075817427722</v>
      </c>
      <c r="BQ111" s="21">
        <f>EXP(-LN(2)/25)*BQ110+(1-EXP(-LN(2)/25))/(LN(2)/25)*Calculateur!BL111*Calculateur!BN111*VLOOKUP('Données projet'!$B$11,Paramètres!$A$1:$I$89,3,0)*0.475*44/12</f>
        <v>2.2439556502146383</v>
      </c>
      <c r="BR111" s="21">
        <f>EXP(-LN(2)/2)*BR110+(1-EXP(-LN(2)/2))/(LN(2)/2)*BL111*BO111*VLOOKUP('Données projet'!$B$11,Paramètres!$A$1:$I$89,3,0)*0.475*44/12</f>
        <v>1.0901783399253101E-12</v>
      </c>
      <c r="BS111" s="22">
        <f t="shared" si="63"/>
        <v>23.89003146764345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426.67417488581191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5.6843418860808015E-14</v>
      </c>
      <c r="O112" s="13">
        <f>N112*VLOOKUP('Données projet'!$B$9,Paramètres!$A$1:$I$89,3,0)*VLOOKUP('Données projet'!$B$9,Paramètres!$A$1:$I$89,5,0)</f>
        <v>3.3992364478763198E-14</v>
      </c>
      <c r="P112" s="13">
        <f t="shared" si="87"/>
        <v>5.790027782444094E-13</v>
      </c>
      <c r="Q112" s="20">
        <f t="shared" si="107"/>
        <v>1.0676332069095257E-12</v>
      </c>
      <c r="R112" s="59">
        <f t="shared" si="55"/>
        <v>293.33333333333439</v>
      </c>
      <c r="S112" s="59">
        <f ca="1">AVERAGE(OFFSET($R$3,0,0,'Données projet'!$E$9+1,1))-AVERAGE(OFFSET($H$3,0,0,'Données projet'!$E$9+1,1))</f>
        <v>153.00981126776304</v>
      </c>
      <c r="T112" s="59">
        <f t="shared" si="88"/>
        <v>309.90400623462932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23.633103336972649</v>
      </c>
      <c r="AA112" s="21">
        <f>EXP(-LN(2)/25)*AA111+(1-EXP(-LN(2)/25))/(LN(2)/25)*Calculateur!V112*Calculateur!X112*VLOOKUP('Données projet'!$B$9,Paramètres!$A$1:$I$89,3,0)*0.475*44/12</f>
        <v>2.3556910885546745</v>
      </c>
      <c r="AB112" s="21">
        <f>EXP(-LN(2)/2)*AB111+(1-EXP(-LN(2)/2))/(LN(2)/2)*V112*Y112*VLOOKUP('Données projet'!$B$9,Paramètres!$A$1:$I$89,3,0)*0.475*44/12</f>
        <v>1.0039605413077319E-12</v>
      </c>
      <c r="AC112" s="22">
        <f t="shared" si="57"/>
        <v>25.988794425528329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1.1368683772161603E-13</v>
      </c>
      <c r="AJ112" s="13">
        <f>AI112*VLOOKUP('Données projet'!$B$10,Paramètres!$A$1:$I$89,3,0)*VLOOKUP('Données projet'!$B$10,Paramètres!$A$1:$I$89,5,0)</f>
        <v>6.7984728957526396E-14</v>
      </c>
      <c r="AK112" s="13">
        <f t="shared" si="89"/>
        <v>1.0682447123141398E-12</v>
      </c>
      <c r="AL112" s="20">
        <f t="shared" si="58"/>
        <v>1.978932943548152E-12</v>
      </c>
      <c r="AM112" s="59">
        <f t="shared" si="59"/>
        <v>293.3333333333353</v>
      </c>
      <c r="AN112" s="59">
        <f ca="1">AVERAGE(OFFSET($AM$3,0,0,'Données projet'!$E$10+1,1))-AVERAGE(OFFSET($H$3,0,0,'Données projet'!$E$10+1,1))</f>
        <v>149.5086927376081</v>
      </c>
      <c r="AO112" s="59">
        <f t="shared" si="90"/>
        <v>364.59164590134498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21.221609473450545</v>
      </c>
      <c r="AV112" s="21">
        <f>EXP(-LN(2)/25)*AV111+(1-EXP(-LN(2)/25))/(LN(2)/25)*Calculateur!AQ112*Calculateur!AS112*VLOOKUP('Données projet'!$B$10,Paramètres!$A$1:$I$89,3,0)*0.475*44/12</f>
        <v>2.18259456495502</v>
      </c>
      <c r="AW112" s="21">
        <f>EXP(-LN(2)/2)*AW111+(1-EXP(-LN(2)/2))/(LN(2)/2)*AQ112*AT112*VLOOKUP('Données projet'!$B$10,Paramètres!$A$1:$I$89,3,0)*0.475*44/12</f>
        <v>7.7087249686387987E-13</v>
      </c>
      <c r="AX112" s="21">
        <f t="shared" si="60"/>
        <v>23.404204038406338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1.1368683772161603E-13</v>
      </c>
      <c r="BE112" s="13">
        <f>BD112*VLOOKUP('Données projet'!$B$11,Paramètres!$A$1:$I$89,3,0)*VLOOKUP('Données projet'!$B$11,Paramètres!$A$1:$I$89,5,0)</f>
        <v>6.7984728957526396E-14</v>
      </c>
      <c r="BF112" s="13">
        <f t="shared" si="91"/>
        <v>1.0682447123141398E-12</v>
      </c>
      <c r="BG112" s="20">
        <f t="shared" si="61"/>
        <v>1.978932943548152E-12</v>
      </c>
      <c r="BH112" s="59">
        <f t="shared" si="62"/>
        <v>293.3333333333353</v>
      </c>
      <c r="BI112" s="59">
        <f ca="1">AVERAGE(OFFSET($BH$3,0,0,'Données projet'!$E$11+1,1))-AVERAGE(OFFSET($H$3,0,0,'Données projet'!$E$11+1,1))</f>
        <v>149.5086927376081</v>
      </c>
      <c r="BJ112" s="59">
        <f t="shared" si="92"/>
        <v>364.59164590134498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21.221609473450545</v>
      </c>
      <c r="BQ112" s="21">
        <f>EXP(-LN(2)/25)*BQ111+(1-EXP(-LN(2)/25))/(LN(2)/25)*Calculateur!BL112*Calculateur!BN112*VLOOKUP('Données projet'!$B$11,Paramètres!$A$1:$I$89,3,0)*0.475*44/12</f>
        <v>2.18259456495502</v>
      </c>
      <c r="BR112" s="21">
        <f>EXP(-LN(2)/2)*BR111+(1-EXP(-LN(2)/2))/(LN(2)/2)*BL112*BO112*VLOOKUP('Données projet'!$B$11,Paramètres!$A$1:$I$89,3,0)*0.475*44/12</f>
        <v>7.7087249686387987E-13</v>
      </c>
      <c r="BS112" s="22">
        <f t="shared" si="63"/>
        <v>23.404204038406338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427.8656545383293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5.6843418860808015E-14</v>
      </c>
      <c r="O113" s="13">
        <f>N113*VLOOKUP('Données projet'!$B$9,Paramètres!$A$1:$I$89,3,0)*VLOOKUP('Données projet'!$B$9,Paramètres!$A$1:$I$89,5,0)</f>
        <v>3.3992364478763198E-14</v>
      </c>
      <c r="P113" s="13">
        <f t="shared" si="87"/>
        <v>5.790027782444094E-13</v>
      </c>
      <c r="Q113" s="20">
        <f t="shared" si="107"/>
        <v>1.0676332069095257E-12</v>
      </c>
      <c r="R113" s="59">
        <f t="shared" si="55"/>
        <v>293.33333333333439</v>
      </c>
      <c r="S113" s="59">
        <f ca="1">AVERAGE(OFFSET($R$3,0,0,'Données projet'!$E$9+1,1))-AVERAGE(OFFSET($H$3,0,0,'Données projet'!$E$9+1,1))</f>
        <v>153.00981126776304</v>
      </c>
      <c r="T113" s="59">
        <f t="shared" si="88"/>
        <v>309.90400623462932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23.169672595304309</v>
      </c>
      <c r="AA113" s="21">
        <f>EXP(-LN(2)/25)*AA112+(1-EXP(-LN(2)/25))/(LN(2)/25)*Calculateur!V113*Calculateur!X113*VLOOKUP('Données projet'!$B$9,Paramètres!$A$1:$I$89,3,0)*0.475*44/12</f>
        <v>2.2912745918577366</v>
      </c>
      <c r="AB113" s="21">
        <f>EXP(-LN(2)/2)*AB112+(1-EXP(-LN(2)/2))/(LN(2)/2)*V113*Y113*VLOOKUP('Données projet'!$B$9,Paramètres!$A$1:$I$89,3,0)*0.475*44/12</f>
        <v>7.0990730680241419E-13</v>
      </c>
      <c r="AC113" s="22">
        <f t="shared" si="57"/>
        <v>25.460947187162756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1.1368683772161603E-13</v>
      </c>
      <c r="AJ113" s="13">
        <f>AI113*VLOOKUP('Données projet'!$B$10,Paramètres!$A$1:$I$89,3,0)*VLOOKUP('Données projet'!$B$10,Paramètres!$A$1:$I$89,5,0)</f>
        <v>6.7984728957526396E-14</v>
      </c>
      <c r="AK113" s="13">
        <f t="shared" si="89"/>
        <v>1.0682447123141398E-12</v>
      </c>
      <c r="AL113" s="20">
        <f t="shared" si="58"/>
        <v>1.978932943548152E-12</v>
      </c>
      <c r="AM113" s="59">
        <f t="shared" si="59"/>
        <v>293.3333333333353</v>
      </c>
      <c r="AN113" s="59">
        <f ca="1">AVERAGE(OFFSET($AM$3,0,0,'Données projet'!$E$10+1,1))-AVERAGE(OFFSET($H$3,0,0,'Données projet'!$E$10+1,1))</f>
        <v>149.5086927376081</v>
      </c>
      <c r="AO113" s="59">
        <f t="shared" si="90"/>
        <v>364.59164590134498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20.805466655579856</v>
      </c>
      <c r="AV113" s="21">
        <f>EXP(-LN(2)/25)*AV112+(1-EXP(-LN(2)/25))/(LN(2)/25)*Calculateur!AQ113*Calculateur!AS113*VLOOKUP('Données projet'!$B$10,Paramètres!$A$1:$I$89,3,0)*0.475*44/12</f>
        <v>2.1229114017986652</v>
      </c>
      <c r="AW113" s="21">
        <f>EXP(-LN(2)/2)*AW112+(1-EXP(-LN(2)/2))/(LN(2)/2)*AQ113*AT113*VLOOKUP('Données projet'!$B$10,Paramètres!$A$1:$I$89,3,0)*0.475*44/12</f>
        <v>5.4508916996265504E-13</v>
      </c>
      <c r="AX113" s="21">
        <f t="shared" si="60"/>
        <v>22.928378057379064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1.1368683772161603E-13</v>
      </c>
      <c r="BE113" s="13">
        <f>BD113*VLOOKUP('Données projet'!$B$11,Paramètres!$A$1:$I$89,3,0)*VLOOKUP('Données projet'!$B$11,Paramètres!$A$1:$I$89,5,0)</f>
        <v>6.7984728957526396E-14</v>
      </c>
      <c r="BF113" s="13">
        <f t="shared" si="91"/>
        <v>1.0682447123141398E-12</v>
      </c>
      <c r="BG113" s="20">
        <f t="shared" si="61"/>
        <v>1.978932943548152E-12</v>
      </c>
      <c r="BH113" s="59">
        <f t="shared" si="62"/>
        <v>293.3333333333353</v>
      </c>
      <c r="BI113" s="59">
        <f ca="1">AVERAGE(OFFSET($BH$3,0,0,'Données projet'!$E$11+1,1))-AVERAGE(OFFSET($H$3,0,0,'Données projet'!$E$11+1,1))</f>
        <v>149.5086927376081</v>
      </c>
      <c r="BJ113" s="59">
        <f t="shared" si="92"/>
        <v>364.59164590134498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20.805466655579856</v>
      </c>
      <c r="BQ113" s="21">
        <f>EXP(-LN(2)/25)*BQ112+(1-EXP(-LN(2)/25))/(LN(2)/25)*Calculateur!BL113*Calculateur!BN113*VLOOKUP('Données projet'!$B$11,Paramètres!$A$1:$I$89,3,0)*0.475*44/12</f>
        <v>2.1229114017986652</v>
      </c>
      <c r="BR113" s="21">
        <f>EXP(-LN(2)/2)*BR112+(1-EXP(-LN(2)/2))/(LN(2)/2)*BL113*BO113*VLOOKUP('Données projet'!$B$11,Paramètres!$A$1:$I$89,3,0)*0.475*44/12</f>
        <v>5.4508916996265504E-13</v>
      </c>
      <c r="BS113" s="22">
        <f t="shared" si="63"/>
        <v>22.928378057379064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429.05687979765457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5.6843418860808015E-14</v>
      </c>
      <c r="O114" s="13">
        <f>N114*VLOOKUP('Données projet'!$B$9,Paramètres!$A$1:$I$89,3,0)*VLOOKUP('Données projet'!$B$9,Paramètres!$A$1:$I$89,5,0)</f>
        <v>3.3992364478763198E-14</v>
      </c>
      <c r="P114" s="13">
        <f t="shared" si="87"/>
        <v>5.790027782444094E-13</v>
      </c>
      <c r="Q114" s="20">
        <f t="shared" si="107"/>
        <v>1.0676332069095257E-12</v>
      </c>
      <c r="R114" s="59">
        <f t="shared" si="55"/>
        <v>293.33333333333439</v>
      </c>
      <c r="S114" s="59">
        <f ca="1">AVERAGE(OFFSET($R$3,0,0,'Données projet'!$E$9+1,1))-AVERAGE(OFFSET($H$3,0,0,'Données projet'!$E$9+1,1))</f>
        <v>153.00981126776304</v>
      </c>
      <c r="T114" s="59">
        <f t="shared" si="88"/>
        <v>309.90400623462932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22.715329447815247</v>
      </c>
      <c r="AA114" s="21">
        <f>EXP(-LN(2)/25)*AA113+(1-EXP(-LN(2)/25))/(LN(2)/25)*Calculateur!V114*Calculateur!X114*VLOOKUP('Données projet'!$B$9,Paramètres!$A$1:$I$89,3,0)*0.475*44/12</f>
        <v>2.228619567650493</v>
      </c>
      <c r="AB114" s="21">
        <f>EXP(-LN(2)/2)*AB113+(1-EXP(-LN(2)/2))/(LN(2)/2)*V114*Y114*VLOOKUP('Données projet'!$B$9,Paramètres!$A$1:$I$89,3,0)*0.475*44/12</f>
        <v>5.0198027065386594E-13</v>
      </c>
      <c r="AC114" s="22">
        <f t="shared" si="57"/>
        <v>24.943949015466242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1.1368683772161603E-13</v>
      </c>
      <c r="AJ114" s="13">
        <f>AI114*VLOOKUP('Données projet'!$B$10,Paramètres!$A$1:$I$89,3,0)*VLOOKUP('Données projet'!$B$10,Paramètres!$A$1:$I$89,5,0)</f>
        <v>6.7984728957526396E-14</v>
      </c>
      <c r="AK114" s="13">
        <f t="shared" si="89"/>
        <v>1.0682447123141398E-12</v>
      </c>
      <c r="AL114" s="20">
        <f t="shared" si="58"/>
        <v>1.978932943548152E-12</v>
      </c>
      <c r="AM114" s="59">
        <f t="shared" si="59"/>
        <v>293.3333333333353</v>
      </c>
      <c r="AN114" s="59">
        <f ca="1">AVERAGE(OFFSET($AM$3,0,0,'Données projet'!$E$10+1,1))-AVERAGE(OFFSET($H$3,0,0,'Données projet'!$E$10+1,1))</f>
        <v>149.5086927376081</v>
      </c>
      <c r="AO114" s="59">
        <f t="shared" si="90"/>
        <v>364.59164590134498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20.397484144545555</v>
      </c>
      <c r="AV114" s="21">
        <f>EXP(-LN(2)/25)*AV113+(1-EXP(-LN(2)/25))/(LN(2)/25)*Calculateur!AQ114*Calculateur!AS114*VLOOKUP('Données projet'!$B$10,Paramètres!$A$1:$I$89,3,0)*0.475*44/12</f>
        <v>2.0648602778774219</v>
      </c>
      <c r="AW114" s="21">
        <f>EXP(-LN(2)/2)*AW113+(1-EXP(-LN(2)/2))/(LN(2)/2)*AQ114*AT114*VLOOKUP('Données projet'!$B$10,Paramètres!$A$1:$I$89,3,0)*0.475*44/12</f>
        <v>3.8543624843193993E-13</v>
      </c>
      <c r="AX114" s="21">
        <f t="shared" si="60"/>
        <v>22.46234442242336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1.1368683772161603E-13</v>
      </c>
      <c r="BE114" s="13">
        <f>BD114*VLOOKUP('Données projet'!$B$11,Paramètres!$A$1:$I$89,3,0)*VLOOKUP('Données projet'!$B$11,Paramètres!$A$1:$I$89,5,0)</f>
        <v>6.7984728957526396E-14</v>
      </c>
      <c r="BF114" s="13">
        <f t="shared" si="91"/>
        <v>1.0682447123141398E-12</v>
      </c>
      <c r="BG114" s="20">
        <f t="shared" si="61"/>
        <v>1.978932943548152E-12</v>
      </c>
      <c r="BH114" s="59">
        <f t="shared" si="62"/>
        <v>293.3333333333353</v>
      </c>
      <c r="BI114" s="59">
        <f ca="1">AVERAGE(OFFSET($BH$3,0,0,'Données projet'!$E$11+1,1))-AVERAGE(OFFSET($H$3,0,0,'Données projet'!$E$11+1,1))</f>
        <v>149.5086927376081</v>
      </c>
      <c r="BJ114" s="59">
        <f t="shared" si="92"/>
        <v>364.59164590134498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20.397484144545555</v>
      </c>
      <c r="BQ114" s="21">
        <f>EXP(-LN(2)/25)*BQ113+(1-EXP(-LN(2)/25))/(LN(2)/25)*Calculateur!BL114*Calculateur!BN114*VLOOKUP('Données projet'!$B$11,Paramètres!$A$1:$I$89,3,0)*0.475*44/12</f>
        <v>2.0648602778774219</v>
      </c>
      <c r="BR114" s="21">
        <f>EXP(-LN(2)/2)*BR113+(1-EXP(-LN(2)/2))/(LN(2)/2)*BL114*BO114*VLOOKUP('Données projet'!$B$11,Paramètres!$A$1:$I$89,3,0)*0.475*44/12</f>
        <v>3.8543624843193993E-13</v>
      </c>
      <c r="BS114" s="22">
        <f t="shared" si="63"/>
        <v>22.46234442242336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430.24785322111563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5.6843418860808015E-14</v>
      </c>
      <c r="O115" s="13">
        <f>N115*VLOOKUP('Données projet'!$B$9,Paramètres!$A$1:$I$89,3,0)*VLOOKUP('Données projet'!$B$9,Paramètres!$A$1:$I$89,5,0)</f>
        <v>3.3992364478763198E-14</v>
      </c>
      <c r="P115" s="13">
        <f t="shared" si="87"/>
        <v>5.790027782444094E-13</v>
      </c>
      <c r="Q115" s="20">
        <f t="shared" si="107"/>
        <v>1.0676332069095257E-12</v>
      </c>
      <c r="R115" s="59">
        <f t="shared" si="55"/>
        <v>293.33333333333439</v>
      </c>
      <c r="S115" s="59">
        <f ca="1">AVERAGE(OFFSET($R$3,0,0,'Données projet'!$E$9+1,1))-AVERAGE(OFFSET($H$3,0,0,'Données projet'!$E$9+1,1))</f>
        <v>153.00981126776304</v>
      </c>
      <c r="T115" s="59">
        <f t="shared" si="88"/>
        <v>309.90400623462932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22.269895692326486</v>
      </c>
      <c r="AA115" s="21">
        <f>EXP(-LN(2)/25)*AA114+(1-EXP(-LN(2)/25))/(LN(2)/25)*Calculateur!V115*Calculateur!X115*VLOOKUP('Données projet'!$B$9,Paramètres!$A$1:$I$89,3,0)*0.475*44/12</f>
        <v>2.1676778483750807</v>
      </c>
      <c r="AB115" s="21">
        <f>EXP(-LN(2)/2)*AB114+(1-EXP(-LN(2)/2))/(LN(2)/2)*V115*Y115*VLOOKUP('Données projet'!$B$9,Paramètres!$A$1:$I$89,3,0)*0.475*44/12</f>
        <v>3.5495365340120709E-13</v>
      </c>
      <c r="AC115" s="22">
        <f t="shared" si="57"/>
        <v>24.437573540701923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1.1368683772161603E-13</v>
      </c>
      <c r="AJ115" s="13">
        <f>AI115*VLOOKUP('Données projet'!$B$10,Paramètres!$A$1:$I$89,3,0)*VLOOKUP('Données projet'!$B$10,Paramètres!$A$1:$I$89,5,0)</f>
        <v>6.7984728957526396E-14</v>
      </c>
      <c r="AK115" s="13">
        <f t="shared" si="89"/>
        <v>1.0682447123141398E-12</v>
      </c>
      <c r="AL115" s="20">
        <f t="shared" si="58"/>
        <v>1.978932943548152E-12</v>
      </c>
      <c r="AM115" s="59">
        <f t="shared" si="59"/>
        <v>293.3333333333353</v>
      </c>
      <c r="AN115" s="59">
        <f ca="1">AVERAGE(OFFSET($AM$3,0,0,'Données projet'!$E$10+1,1))-AVERAGE(OFFSET($H$3,0,0,'Données projet'!$E$10+1,1))</f>
        <v>149.5086927376081</v>
      </c>
      <c r="AO115" s="59">
        <f t="shared" si="90"/>
        <v>364.59164590134498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19.997501921707876</v>
      </c>
      <c r="AV115" s="21">
        <f>EXP(-LN(2)/25)*AV114+(1-EXP(-LN(2)/25))/(LN(2)/25)*Calculateur!AQ115*Calculateur!AS115*VLOOKUP('Données projet'!$B$10,Paramètres!$A$1:$I$89,3,0)*0.475*44/12</f>
        <v>2.008396564992581</v>
      </c>
      <c r="AW115" s="21">
        <f>EXP(-LN(2)/2)*AW114+(1-EXP(-LN(2)/2))/(LN(2)/2)*AQ115*AT115*VLOOKUP('Données projet'!$B$10,Paramètres!$A$1:$I$89,3,0)*0.475*44/12</f>
        <v>2.7254458498132752E-13</v>
      </c>
      <c r="AX115" s="21">
        <f t="shared" si="60"/>
        <v>22.00589848670073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1.1368683772161603E-13</v>
      </c>
      <c r="BE115" s="13">
        <f>BD115*VLOOKUP('Données projet'!$B$11,Paramètres!$A$1:$I$89,3,0)*VLOOKUP('Données projet'!$B$11,Paramètres!$A$1:$I$89,5,0)</f>
        <v>6.7984728957526396E-14</v>
      </c>
      <c r="BF115" s="13">
        <f t="shared" si="91"/>
        <v>1.0682447123141398E-12</v>
      </c>
      <c r="BG115" s="20">
        <f t="shared" si="61"/>
        <v>1.978932943548152E-12</v>
      </c>
      <c r="BH115" s="59">
        <f t="shared" si="62"/>
        <v>293.3333333333353</v>
      </c>
      <c r="BI115" s="59">
        <f ca="1">AVERAGE(OFFSET($BH$3,0,0,'Données projet'!$E$11+1,1))-AVERAGE(OFFSET($H$3,0,0,'Données projet'!$E$11+1,1))</f>
        <v>149.5086927376081</v>
      </c>
      <c r="BJ115" s="59">
        <f t="shared" si="92"/>
        <v>364.59164590134498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19.997501921707876</v>
      </c>
      <c r="BQ115" s="21">
        <f>EXP(-LN(2)/25)*BQ114+(1-EXP(-LN(2)/25))/(LN(2)/25)*Calculateur!BL115*Calculateur!BN115*VLOOKUP('Données projet'!$B$11,Paramètres!$A$1:$I$89,3,0)*0.475*44/12</f>
        <v>2.008396564992581</v>
      </c>
      <c r="BR115" s="21">
        <f>EXP(-LN(2)/2)*BR114+(1-EXP(-LN(2)/2))/(LN(2)/2)*BL115*BO115*VLOOKUP('Données projet'!$B$11,Paramètres!$A$1:$I$89,3,0)*0.475*44/12</f>
        <v>2.7254458498132752E-13</v>
      </c>
      <c r="BS115" s="22">
        <f t="shared" si="63"/>
        <v>22.00589848670073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431.43857731773937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5.6843418860808015E-14</v>
      </c>
      <c r="O116" s="13">
        <f>N116*VLOOKUP('Données projet'!$B$9,Paramètres!$A$1:$I$89,3,0)*VLOOKUP('Données projet'!$B$9,Paramètres!$A$1:$I$89,5,0)</f>
        <v>3.3992364478763198E-14</v>
      </c>
      <c r="P116" s="13">
        <f t="shared" si="87"/>
        <v>5.790027782444094E-13</v>
      </c>
      <c r="Q116" s="20">
        <f t="shared" si="107"/>
        <v>1.0676332069095257E-12</v>
      </c>
      <c r="R116" s="59">
        <f t="shared" si="55"/>
        <v>293.33333333333439</v>
      </c>
      <c r="S116" s="59">
        <f ca="1">AVERAGE(OFFSET($R$3,0,0,'Données projet'!$E$9+1,1))-AVERAGE(OFFSET($H$3,0,0,'Données projet'!$E$9+1,1))</f>
        <v>153.00981126776304</v>
      </c>
      <c r="T116" s="59">
        <f t="shared" si="88"/>
        <v>309.90400623462932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21.833196621095098</v>
      </c>
      <c r="AA116" s="21">
        <f>EXP(-LN(2)/25)*AA115+(1-EXP(-LN(2)/25))/(LN(2)/25)*Calculateur!V116*Calculateur!X116*VLOOKUP('Données projet'!$B$9,Paramètres!$A$1:$I$89,3,0)*0.475*44/12</f>
        <v>2.1084025836180404</v>
      </c>
      <c r="AB116" s="21">
        <f>EXP(-LN(2)/2)*AB115+(1-EXP(-LN(2)/2))/(LN(2)/2)*V116*Y116*VLOOKUP('Données projet'!$B$9,Paramètres!$A$1:$I$89,3,0)*0.475*44/12</f>
        <v>2.5099013532693297E-13</v>
      </c>
      <c r="AC116" s="22">
        <f t="shared" si="57"/>
        <v>23.941599204713391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1.1368683772161603E-13</v>
      </c>
      <c r="AJ116" s="13">
        <f>AI116*VLOOKUP('Données projet'!$B$10,Paramètres!$A$1:$I$89,3,0)*VLOOKUP('Données projet'!$B$10,Paramètres!$A$1:$I$89,5,0)</f>
        <v>6.7984728957526396E-14</v>
      </c>
      <c r="AK116" s="13">
        <f t="shared" si="89"/>
        <v>1.0682447123141398E-12</v>
      </c>
      <c r="AL116" s="20">
        <f t="shared" si="58"/>
        <v>1.978932943548152E-12</v>
      </c>
      <c r="AM116" s="59">
        <f t="shared" si="59"/>
        <v>293.3333333333353</v>
      </c>
      <c r="AN116" s="59">
        <f ca="1">AVERAGE(OFFSET($AM$3,0,0,'Données projet'!$E$10+1,1))-AVERAGE(OFFSET($H$3,0,0,'Données projet'!$E$10+1,1))</f>
        <v>149.5086927376081</v>
      </c>
      <c r="AO116" s="59">
        <f t="shared" si="90"/>
        <v>364.59164590134498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19.605363106294977</v>
      </c>
      <c r="AV116" s="21">
        <f>EXP(-LN(2)/25)*AV115+(1-EXP(-LN(2)/25))/(LN(2)/25)*Calculateur!AQ116*Calculateur!AS116*VLOOKUP('Données projet'!$B$10,Paramètres!$A$1:$I$89,3,0)*0.475*44/12</f>
        <v>1.9534768553058739</v>
      </c>
      <c r="AW116" s="21">
        <f>EXP(-LN(2)/2)*AW115+(1-EXP(-LN(2)/2))/(LN(2)/2)*AQ116*AT116*VLOOKUP('Données projet'!$B$10,Paramètres!$A$1:$I$89,3,0)*0.475*44/12</f>
        <v>1.9271812421596997E-13</v>
      </c>
      <c r="AX116" s="21">
        <f t="shared" si="60"/>
        <v>21.558839961601041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1.1368683772161603E-13</v>
      </c>
      <c r="BE116" s="13">
        <f>BD116*VLOOKUP('Données projet'!$B$11,Paramètres!$A$1:$I$89,3,0)*VLOOKUP('Données projet'!$B$11,Paramètres!$A$1:$I$89,5,0)</f>
        <v>6.7984728957526396E-14</v>
      </c>
      <c r="BF116" s="13">
        <f t="shared" si="91"/>
        <v>1.0682447123141398E-12</v>
      </c>
      <c r="BG116" s="20">
        <f t="shared" si="61"/>
        <v>1.978932943548152E-12</v>
      </c>
      <c r="BH116" s="59">
        <f t="shared" si="62"/>
        <v>293.3333333333353</v>
      </c>
      <c r="BI116" s="59">
        <f ca="1">AVERAGE(OFFSET($BH$3,0,0,'Données projet'!$E$11+1,1))-AVERAGE(OFFSET($H$3,0,0,'Données projet'!$E$11+1,1))</f>
        <v>149.5086927376081</v>
      </c>
      <c r="BJ116" s="59">
        <f t="shared" si="92"/>
        <v>364.59164590134498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19.605363106294977</v>
      </c>
      <c r="BQ116" s="21">
        <f>EXP(-LN(2)/25)*BQ115+(1-EXP(-LN(2)/25))/(LN(2)/25)*Calculateur!BL116*Calculateur!BN116*VLOOKUP('Données projet'!$B$11,Paramètres!$A$1:$I$89,3,0)*0.475*44/12</f>
        <v>1.9534768553058739</v>
      </c>
      <c r="BR116" s="21">
        <f>EXP(-LN(2)/2)*BR115+(1-EXP(-LN(2)/2))/(LN(2)/2)*BL116*BO116*VLOOKUP('Données projet'!$B$11,Paramètres!$A$1:$I$89,3,0)*0.475*44/12</f>
        <v>1.9271812421596997E-13</v>
      </c>
      <c r="BS116" s="22">
        <f t="shared" si="63"/>
        <v>21.558839961601041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432.62905454958297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5.6843418860808015E-14</v>
      </c>
      <c r="O117" s="13">
        <f>N117*VLOOKUP('Données projet'!$B$9,Paramètres!$A$1:$I$89,3,0)*VLOOKUP('Données projet'!$B$9,Paramètres!$A$1:$I$89,5,0)</f>
        <v>3.3992364478763198E-14</v>
      </c>
      <c r="P117" s="13">
        <f t="shared" si="87"/>
        <v>5.790027782444094E-13</v>
      </c>
      <c r="Q117" s="20">
        <f t="shared" si="107"/>
        <v>1.0676332069095257E-12</v>
      </c>
      <c r="R117" s="59">
        <f t="shared" si="55"/>
        <v>293.33333333333439</v>
      </c>
      <c r="S117" s="59">
        <f ca="1">AVERAGE(OFFSET($R$3,0,0,'Données projet'!$E$9+1,1))-AVERAGE(OFFSET($H$3,0,0,'Données projet'!$E$9+1,1))</f>
        <v>153.00981126776304</v>
      </c>
      <c r="T117" s="59">
        <f t="shared" si="88"/>
        <v>309.90400623462932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21.405060952290423</v>
      </c>
      <c r="AA117" s="21">
        <f>EXP(-LN(2)/25)*AA116+(1-EXP(-LN(2)/25))/(LN(2)/25)*Calculateur!V117*Calculateur!X117*VLOOKUP('Données projet'!$B$9,Paramètres!$A$1:$I$89,3,0)*0.475*44/12</f>
        <v>2.0507482040929319</v>
      </c>
      <c r="AB117" s="21">
        <f>EXP(-LN(2)/2)*AB116+(1-EXP(-LN(2)/2))/(LN(2)/2)*V117*Y117*VLOOKUP('Données projet'!$B$9,Paramètres!$A$1:$I$89,3,0)*0.475*44/12</f>
        <v>1.7747682670060355E-13</v>
      </c>
      <c r="AC117" s="22">
        <f t="shared" si="57"/>
        <v>23.455809156383534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1.1368683772161603E-13</v>
      </c>
      <c r="AJ117" s="13">
        <f>AI117*VLOOKUP('Données projet'!$B$10,Paramètres!$A$1:$I$89,3,0)*VLOOKUP('Données projet'!$B$10,Paramètres!$A$1:$I$89,5,0)</f>
        <v>6.7984728957526396E-14</v>
      </c>
      <c r="AK117" s="13">
        <f t="shared" si="89"/>
        <v>1.0682447123141398E-12</v>
      </c>
      <c r="AL117" s="20">
        <f t="shared" si="58"/>
        <v>1.978932943548152E-12</v>
      </c>
      <c r="AM117" s="59">
        <f t="shared" si="59"/>
        <v>293.3333333333353</v>
      </c>
      <c r="AN117" s="59">
        <f ca="1">AVERAGE(OFFSET($AM$3,0,0,'Données projet'!$E$10+1,1))-AVERAGE(OFFSET($H$3,0,0,'Données projet'!$E$10+1,1))</f>
        <v>149.5086927376081</v>
      </c>
      <c r="AO117" s="59">
        <f t="shared" si="90"/>
        <v>364.59164590134498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19.220913893871263</v>
      </c>
      <c r="AV117" s="21">
        <f>EXP(-LN(2)/25)*AV116+(1-EXP(-LN(2)/25))/(LN(2)/25)*Calculateur!AQ117*Calculateur!AS117*VLOOKUP('Données projet'!$B$10,Paramètres!$A$1:$I$89,3,0)*0.475*44/12</f>
        <v>1.9000589279686517</v>
      </c>
      <c r="AW117" s="21">
        <f>EXP(-LN(2)/2)*AW116+(1-EXP(-LN(2)/2))/(LN(2)/2)*AQ117*AT117*VLOOKUP('Données projet'!$B$10,Paramètres!$A$1:$I$89,3,0)*0.475*44/12</f>
        <v>1.3627229249066376E-13</v>
      </c>
      <c r="AX117" s="21">
        <f t="shared" si="60"/>
        <v>21.120972821840049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1.1368683772161603E-13</v>
      </c>
      <c r="BE117" s="13">
        <f>BD117*VLOOKUP('Données projet'!$B$11,Paramètres!$A$1:$I$89,3,0)*VLOOKUP('Données projet'!$B$11,Paramètres!$A$1:$I$89,5,0)</f>
        <v>6.7984728957526396E-14</v>
      </c>
      <c r="BF117" s="13">
        <f t="shared" si="91"/>
        <v>1.0682447123141398E-12</v>
      </c>
      <c r="BG117" s="20">
        <f t="shared" si="61"/>
        <v>1.978932943548152E-12</v>
      </c>
      <c r="BH117" s="59">
        <f t="shared" si="62"/>
        <v>293.3333333333353</v>
      </c>
      <c r="BI117" s="59">
        <f ca="1">AVERAGE(OFFSET($BH$3,0,0,'Données projet'!$E$11+1,1))-AVERAGE(OFFSET($H$3,0,0,'Données projet'!$E$11+1,1))</f>
        <v>149.5086927376081</v>
      </c>
      <c r="BJ117" s="59">
        <f t="shared" si="92"/>
        <v>364.59164590134498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19.220913893871263</v>
      </c>
      <c r="BQ117" s="21">
        <f>EXP(-LN(2)/25)*BQ116+(1-EXP(-LN(2)/25))/(LN(2)/25)*Calculateur!BL117*Calculateur!BN117*VLOOKUP('Données projet'!$B$11,Paramètres!$A$1:$I$89,3,0)*0.475*44/12</f>
        <v>1.9000589279686517</v>
      </c>
      <c r="BR117" s="21">
        <f>EXP(-LN(2)/2)*BR116+(1-EXP(-LN(2)/2))/(LN(2)/2)*BL117*BO117*VLOOKUP('Données projet'!$B$11,Paramètres!$A$1:$I$89,3,0)*0.475*44/12</f>
        <v>1.3627229249066376E-13</v>
      </c>
      <c r="BS117" s="22">
        <f t="shared" si="63"/>
        <v>21.120972821840049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433.81928733301731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5.6843418860808015E-14</v>
      </c>
      <c r="O118" s="13">
        <f>N118*VLOOKUP('Données projet'!$B$9,Paramètres!$A$1:$I$89,3,0)*VLOOKUP('Données projet'!$B$9,Paramètres!$A$1:$I$89,5,0)</f>
        <v>3.3992364478763198E-14</v>
      </c>
      <c r="P118" s="13">
        <f t="shared" si="87"/>
        <v>5.790027782444094E-13</v>
      </c>
      <c r="Q118" s="20">
        <f t="shared" si="107"/>
        <v>1.0676332069095257E-12</v>
      </c>
      <c r="R118" s="59">
        <f t="shared" si="55"/>
        <v>293.33333333333439</v>
      </c>
      <c r="S118" s="59">
        <f ca="1">AVERAGE(OFFSET($R$3,0,0,'Données projet'!$E$9+1,1))-AVERAGE(OFFSET($H$3,0,0,'Données projet'!$E$9+1,1))</f>
        <v>153.00981126776304</v>
      </c>
      <c r="T118" s="59">
        <f t="shared" si="88"/>
        <v>309.90400623462932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20.985320762814037</v>
      </c>
      <c r="AA118" s="21">
        <f>EXP(-LN(2)/25)*AA117+(1-EXP(-LN(2)/25))/(LN(2)/25)*Calculateur!V118*Calculateur!X118*VLOOKUP('Données projet'!$B$9,Paramètres!$A$1:$I$89,3,0)*0.475*44/12</f>
        <v>1.9946703866078497</v>
      </c>
      <c r="AB118" s="21">
        <f>EXP(-LN(2)/2)*AB117+(1-EXP(-LN(2)/2))/(LN(2)/2)*V118*Y118*VLOOKUP('Données projet'!$B$9,Paramètres!$A$1:$I$89,3,0)*0.475*44/12</f>
        <v>1.2549506766346649E-13</v>
      </c>
      <c r="AC118" s="22">
        <f t="shared" si="57"/>
        <v>22.979991149422013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1.1368683772161603E-13</v>
      </c>
      <c r="AJ118" s="13">
        <f>AI118*VLOOKUP('Données projet'!$B$10,Paramètres!$A$1:$I$89,3,0)*VLOOKUP('Données projet'!$B$10,Paramètres!$A$1:$I$89,5,0)</f>
        <v>6.7984728957526396E-14</v>
      </c>
      <c r="AK118" s="13">
        <f t="shared" si="89"/>
        <v>1.0682447123141398E-12</v>
      </c>
      <c r="AL118" s="20">
        <f t="shared" si="58"/>
        <v>1.978932943548152E-12</v>
      </c>
      <c r="AM118" s="59">
        <f t="shared" si="59"/>
        <v>293.3333333333353</v>
      </c>
      <c r="AN118" s="59">
        <f ca="1">AVERAGE(OFFSET($AM$3,0,0,'Données projet'!$E$10+1,1))-AVERAGE(OFFSET($H$3,0,0,'Données projet'!$E$10+1,1))</f>
        <v>149.5086927376081</v>
      </c>
      <c r="AO118" s="59">
        <f t="shared" si="90"/>
        <v>364.59164590134498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18.844003496012313</v>
      </c>
      <c r="AV118" s="21">
        <f>EXP(-LN(2)/25)*AV117+(1-EXP(-LN(2)/25))/(LN(2)/25)*Calculateur!AQ118*Calculateur!AS118*VLOOKUP('Données projet'!$B$10,Paramètres!$A$1:$I$89,3,0)*0.475*44/12</f>
        <v>1.8481017166635925</v>
      </c>
      <c r="AW118" s="21">
        <f>EXP(-LN(2)/2)*AW117+(1-EXP(-LN(2)/2))/(LN(2)/2)*AQ118*AT118*VLOOKUP('Données projet'!$B$10,Paramètres!$A$1:$I$89,3,0)*0.475*44/12</f>
        <v>9.6359062107984983E-14</v>
      </c>
      <c r="AX118" s="21">
        <f t="shared" si="60"/>
        <v>20.692105212676001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1.1368683772161603E-13</v>
      </c>
      <c r="BE118" s="13">
        <f>BD118*VLOOKUP('Données projet'!$B$11,Paramètres!$A$1:$I$89,3,0)*VLOOKUP('Données projet'!$B$11,Paramètres!$A$1:$I$89,5,0)</f>
        <v>6.7984728957526396E-14</v>
      </c>
      <c r="BF118" s="13">
        <f t="shared" si="91"/>
        <v>1.0682447123141398E-12</v>
      </c>
      <c r="BG118" s="20">
        <f t="shared" si="61"/>
        <v>1.978932943548152E-12</v>
      </c>
      <c r="BH118" s="59">
        <f t="shared" si="62"/>
        <v>293.3333333333353</v>
      </c>
      <c r="BI118" s="59">
        <f ca="1">AVERAGE(OFFSET($BH$3,0,0,'Données projet'!$E$11+1,1))-AVERAGE(OFFSET($H$3,0,0,'Données projet'!$E$11+1,1))</f>
        <v>149.5086927376081</v>
      </c>
      <c r="BJ118" s="59">
        <f t="shared" si="92"/>
        <v>364.59164590134498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18.844003496012313</v>
      </c>
      <c r="BQ118" s="21">
        <f>EXP(-LN(2)/25)*BQ117+(1-EXP(-LN(2)/25))/(LN(2)/25)*Calculateur!BL118*Calculateur!BN118*VLOOKUP('Données projet'!$B$11,Paramètres!$A$1:$I$89,3,0)*0.475*44/12</f>
        <v>1.8481017166635925</v>
      </c>
      <c r="BR118" s="21">
        <f>EXP(-LN(2)/2)*BR117+(1-EXP(-LN(2)/2))/(LN(2)/2)*BL118*BO118*VLOOKUP('Données projet'!$B$11,Paramètres!$A$1:$I$89,3,0)*0.475*44/12</f>
        <v>9.6359062107984983E-14</v>
      </c>
      <c r="BS118" s="22">
        <f t="shared" si="63"/>
        <v>20.692105212676001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435.00927803996456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5.6843418860808015E-14</v>
      </c>
      <c r="O119" s="13">
        <f>N119*VLOOKUP('Données projet'!$B$9,Paramètres!$A$1:$I$89,3,0)*VLOOKUP('Données projet'!$B$9,Paramètres!$A$1:$I$89,5,0)</f>
        <v>3.3992364478763198E-14</v>
      </c>
      <c r="P119" s="13">
        <f t="shared" si="87"/>
        <v>5.790027782444094E-13</v>
      </c>
      <c r="Q119" s="20">
        <f t="shared" si="107"/>
        <v>1.0676332069095257E-12</v>
      </c>
      <c r="R119" s="59">
        <f t="shared" si="55"/>
        <v>293.33333333333439</v>
      </c>
      <c r="S119" s="59">
        <f ca="1">AVERAGE(OFFSET($R$3,0,0,'Données projet'!$E$9+1,1))-AVERAGE(OFFSET($H$3,0,0,'Données projet'!$E$9+1,1))</f>
        <v>153.00981126776304</v>
      </c>
      <c r="T119" s="59">
        <f t="shared" si="88"/>
        <v>309.90400623462932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20.573811422437046</v>
      </c>
      <c r="AA119" s="21">
        <f>EXP(-LN(2)/25)*AA118+(1-EXP(-LN(2)/25))/(LN(2)/25)*Calculateur!V119*Calculateur!X119*VLOOKUP('Données projet'!$B$9,Paramètres!$A$1:$I$89,3,0)*0.475*44/12</f>
        <v>1.9401260199909012</v>
      </c>
      <c r="AB119" s="21">
        <f>EXP(-LN(2)/2)*AB118+(1-EXP(-LN(2)/2))/(LN(2)/2)*V119*Y119*VLOOKUP('Données projet'!$B$9,Paramètres!$A$1:$I$89,3,0)*0.475*44/12</f>
        <v>8.8738413350301773E-14</v>
      </c>
      <c r="AC119" s="22">
        <f t="shared" si="57"/>
        <v>22.513937442428038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1.1368683772161603E-13</v>
      </c>
      <c r="AJ119" s="13">
        <f>AI119*VLOOKUP('Données projet'!$B$10,Paramètres!$A$1:$I$89,3,0)*VLOOKUP('Données projet'!$B$10,Paramètres!$A$1:$I$89,5,0)</f>
        <v>6.7984728957526396E-14</v>
      </c>
      <c r="AK119" s="13">
        <f t="shared" si="89"/>
        <v>1.0682447123141398E-12</v>
      </c>
      <c r="AL119" s="20">
        <f t="shared" si="58"/>
        <v>1.978932943548152E-12</v>
      </c>
      <c r="AM119" s="59">
        <f t="shared" si="59"/>
        <v>293.3333333333353</v>
      </c>
      <c r="AN119" s="59">
        <f ca="1">AVERAGE(OFFSET($AM$3,0,0,'Données projet'!$E$10+1,1))-AVERAGE(OFFSET($H$3,0,0,'Données projet'!$E$10+1,1))</f>
        <v>149.5086927376081</v>
      </c>
      <c r="AO119" s="59">
        <f t="shared" si="90"/>
        <v>364.59164590134498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18.474484081162736</v>
      </c>
      <c r="AV119" s="21">
        <f>EXP(-LN(2)/25)*AV118+(1-EXP(-LN(2)/25))/(LN(2)/25)*Calculateur!AQ119*Calculateur!AS119*VLOOKUP('Données projet'!$B$10,Paramètres!$A$1:$I$89,3,0)*0.475*44/12</f>
        <v>1.7975652780339813</v>
      </c>
      <c r="AW119" s="21">
        <f>EXP(-LN(2)/2)*AW118+(1-EXP(-LN(2)/2))/(LN(2)/2)*AQ119*AT119*VLOOKUP('Données projet'!$B$10,Paramètres!$A$1:$I$89,3,0)*0.475*44/12</f>
        <v>6.8136146245331879E-14</v>
      </c>
      <c r="AX119" s="21">
        <f t="shared" si="60"/>
        <v>20.272049359196785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1.1368683772161603E-13</v>
      </c>
      <c r="BE119" s="13">
        <f>BD119*VLOOKUP('Données projet'!$B$11,Paramètres!$A$1:$I$89,3,0)*VLOOKUP('Données projet'!$B$11,Paramètres!$A$1:$I$89,5,0)</f>
        <v>6.7984728957526396E-14</v>
      </c>
      <c r="BF119" s="13">
        <f t="shared" si="91"/>
        <v>1.0682447123141398E-12</v>
      </c>
      <c r="BG119" s="20">
        <f t="shared" si="61"/>
        <v>1.978932943548152E-12</v>
      </c>
      <c r="BH119" s="59">
        <f t="shared" si="62"/>
        <v>293.3333333333353</v>
      </c>
      <c r="BI119" s="59">
        <f ca="1">AVERAGE(OFFSET($BH$3,0,0,'Données projet'!$E$11+1,1))-AVERAGE(OFFSET($H$3,0,0,'Données projet'!$E$11+1,1))</f>
        <v>149.5086927376081</v>
      </c>
      <c r="BJ119" s="59">
        <f t="shared" si="92"/>
        <v>364.59164590134498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18.474484081162736</v>
      </c>
      <c r="BQ119" s="21">
        <f>EXP(-LN(2)/25)*BQ118+(1-EXP(-LN(2)/25))/(LN(2)/25)*Calculateur!BL119*Calculateur!BN119*VLOOKUP('Données projet'!$B$11,Paramètres!$A$1:$I$89,3,0)*0.475*44/12</f>
        <v>1.7975652780339813</v>
      </c>
      <c r="BR119" s="21">
        <f>EXP(-LN(2)/2)*BR118+(1-EXP(-LN(2)/2))/(LN(2)/2)*BL119*BO119*VLOOKUP('Données projet'!$B$11,Paramètres!$A$1:$I$89,3,0)*0.475*44/12</f>
        <v>6.8136146245331879E-14</v>
      </c>
      <c r="BS119" s="22">
        <f t="shared" si="63"/>
        <v>20.272049359196785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436.19902899909141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5.6843418860808015E-14</v>
      </c>
      <c r="O120" s="13">
        <f>N120*VLOOKUP('Données projet'!$B$9,Paramètres!$A$1:$I$89,3,0)*VLOOKUP('Données projet'!$B$9,Paramètres!$A$1:$I$89,5,0)</f>
        <v>3.3992364478763198E-14</v>
      </c>
      <c r="P120" s="13">
        <f t="shared" si="87"/>
        <v>5.790027782444094E-13</v>
      </c>
      <c r="Q120" s="20">
        <f t="shared" si="107"/>
        <v>1.0676332069095257E-12</v>
      </c>
      <c r="R120" s="59">
        <f t="shared" si="55"/>
        <v>293.33333333333439</v>
      </c>
      <c r="S120" s="59">
        <f ca="1">AVERAGE(OFFSET($R$3,0,0,'Données projet'!$E$9+1,1))-AVERAGE(OFFSET($H$3,0,0,'Données projet'!$E$9+1,1))</f>
        <v>153.00981126776304</v>
      </c>
      <c r="T120" s="59">
        <f t="shared" si="88"/>
        <v>309.90400623462932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20.170371529228934</v>
      </c>
      <c r="AA120" s="21">
        <f>EXP(-LN(2)/25)*AA119+(1-EXP(-LN(2)/25))/(LN(2)/25)*Calculateur!V120*Calculateur!X120*VLOOKUP('Données projet'!$B$9,Paramètres!$A$1:$I$89,3,0)*0.475*44/12</f>
        <v>1.8870731719474567</v>
      </c>
      <c r="AB120" s="21">
        <f>EXP(-LN(2)/2)*AB119+(1-EXP(-LN(2)/2))/(LN(2)/2)*V120*Y120*VLOOKUP('Données projet'!$B$9,Paramètres!$A$1:$I$89,3,0)*0.475*44/12</f>
        <v>6.2747533831733243E-14</v>
      </c>
      <c r="AC120" s="22">
        <f t="shared" si="57"/>
        <v>22.057444701176454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1.1368683772161603E-13</v>
      </c>
      <c r="AJ120" s="13">
        <f>AI120*VLOOKUP('Données projet'!$B$10,Paramètres!$A$1:$I$89,3,0)*VLOOKUP('Données projet'!$B$10,Paramètres!$A$1:$I$89,5,0)</f>
        <v>6.7984728957526396E-14</v>
      </c>
      <c r="AK120" s="13">
        <f t="shared" si="89"/>
        <v>1.0682447123141398E-12</v>
      </c>
      <c r="AL120" s="20">
        <f t="shared" si="58"/>
        <v>1.978932943548152E-12</v>
      </c>
      <c r="AM120" s="59">
        <f t="shared" si="59"/>
        <v>293.3333333333353</v>
      </c>
      <c r="AN120" s="59">
        <f ca="1">AVERAGE(OFFSET($AM$3,0,0,'Données projet'!$E$10+1,1))-AVERAGE(OFFSET($H$3,0,0,'Données projet'!$E$10+1,1))</f>
        <v>149.5086927376081</v>
      </c>
      <c r="AO120" s="59">
        <f t="shared" si="90"/>
        <v>364.59164590134498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18.11221071665377</v>
      </c>
      <c r="AV120" s="21">
        <f>EXP(-LN(2)/25)*AV119+(1-EXP(-LN(2)/25))/(LN(2)/25)*Calculateur!AQ120*Calculateur!AS120*VLOOKUP('Données projet'!$B$10,Paramètres!$A$1:$I$89,3,0)*0.475*44/12</f>
        <v>1.7484107609762924</v>
      </c>
      <c r="AW120" s="21">
        <f>EXP(-LN(2)/2)*AW119+(1-EXP(-LN(2)/2))/(LN(2)/2)*AQ120*AT120*VLOOKUP('Données projet'!$B$10,Paramètres!$A$1:$I$89,3,0)*0.475*44/12</f>
        <v>4.8179531053992492E-14</v>
      </c>
      <c r="AX120" s="21">
        <f t="shared" si="60"/>
        <v>19.860621477630112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1.1368683772161603E-13</v>
      </c>
      <c r="BE120" s="13">
        <f>BD120*VLOOKUP('Données projet'!$B$11,Paramètres!$A$1:$I$89,3,0)*VLOOKUP('Données projet'!$B$11,Paramètres!$A$1:$I$89,5,0)</f>
        <v>6.7984728957526396E-14</v>
      </c>
      <c r="BF120" s="13">
        <f t="shared" si="91"/>
        <v>1.0682447123141398E-12</v>
      </c>
      <c r="BG120" s="20">
        <f t="shared" si="61"/>
        <v>1.978932943548152E-12</v>
      </c>
      <c r="BH120" s="59">
        <f t="shared" si="62"/>
        <v>293.3333333333353</v>
      </c>
      <c r="BI120" s="59">
        <f ca="1">AVERAGE(OFFSET($BH$3,0,0,'Données projet'!$E$11+1,1))-AVERAGE(OFFSET($H$3,0,0,'Données projet'!$E$11+1,1))</f>
        <v>149.5086927376081</v>
      </c>
      <c r="BJ120" s="59">
        <f t="shared" si="92"/>
        <v>364.59164590134498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18.11221071665377</v>
      </c>
      <c r="BQ120" s="21">
        <f>EXP(-LN(2)/25)*BQ119+(1-EXP(-LN(2)/25))/(LN(2)/25)*Calculateur!BL120*Calculateur!BN120*VLOOKUP('Données projet'!$B$11,Paramètres!$A$1:$I$89,3,0)*0.475*44/12</f>
        <v>1.7484107609762924</v>
      </c>
      <c r="BR120" s="21">
        <f>EXP(-LN(2)/2)*BR119+(1-EXP(-LN(2)/2))/(LN(2)/2)*BL120*BO120*VLOOKUP('Données projet'!$B$11,Paramètres!$A$1:$I$89,3,0)*0.475*44/12</f>
        <v>4.8179531053992492E-14</v>
      </c>
      <c r="BS120" s="22">
        <f t="shared" si="63"/>
        <v>19.860621477630112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437.38854249696135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5.6843418860808015E-14</v>
      </c>
      <c r="O121" s="13">
        <f>N121*VLOOKUP('Données projet'!$B$9,Paramètres!$A$1:$I$89,3,0)*VLOOKUP('Données projet'!$B$9,Paramètres!$A$1:$I$89,5,0)</f>
        <v>3.3992364478763198E-14</v>
      </c>
      <c r="P121" s="13">
        <f t="shared" si="87"/>
        <v>5.790027782444094E-13</v>
      </c>
      <c r="Q121" s="20">
        <f t="shared" si="107"/>
        <v>1.0676332069095257E-12</v>
      </c>
      <c r="R121" s="59">
        <f t="shared" si="55"/>
        <v>293.33333333333439</v>
      </c>
      <c r="S121" s="59">
        <f ca="1">AVERAGE(OFFSET($R$3,0,0,'Données projet'!$E$9+1,1))-AVERAGE(OFFSET($H$3,0,0,'Données projet'!$E$9+1,1))</f>
        <v>153.00981126776304</v>
      </c>
      <c r="T121" s="59">
        <f t="shared" si="88"/>
        <v>309.90400623462932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19.774842846252596</v>
      </c>
      <c r="AA121" s="21">
        <f>EXP(-LN(2)/25)*AA120+(1-EXP(-LN(2)/25))/(LN(2)/25)*Calculateur!V121*Calculateur!X121*VLOOKUP('Données projet'!$B$9,Paramètres!$A$1:$I$89,3,0)*0.475*44/12</f>
        <v>1.8354710568236883</v>
      </c>
      <c r="AB121" s="21">
        <f>EXP(-LN(2)/2)*AB120+(1-EXP(-LN(2)/2))/(LN(2)/2)*V121*Y121*VLOOKUP('Données projet'!$B$9,Paramètres!$A$1:$I$89,3,0)*0.475*44/12</f>
        <v>4.4369206675150887E-14</v>
      </c>
      <c r="AC121" s="22">
        <f t="shared" si="57"/>
        <v>21.610313903076328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1.1368683772161603E-13</v>
      </c>
      <c r="AJ121" s="13">
        <f>AI121*VLOOKUP('Données projet'!$B$10,Paramètres!$A$1:$I$89,3,0)*VLOOKUP('Données projet'!$B$10,Paramètres!$A$1:$I$89,5,0)</f>
        <v>6.7984728957526396E-14</v>
      </c>
      <c r="AK121" s="13">
        <f t="shared" si="89"/>
        <v>1.0682447123141398E-12</v>
      </c>
      <c r="AL121" s="20">
        <f t="shared" si="58"/>
        <v>1.978932943548152E-12</v>
      </c>
      <c r="AM121" s="59">
        <f t="shared" si="59"/>
        <v>293.3333333333353</v>
      </c>
      <c r="AN121" s="59">
        <f ca="1">AVERAGE(OFFSET($AM$3,0,0,'Données projet'!$E$10+1,1))-AVERAGE(OFFSET($H$3,0,0,'Données projet'!$E$10+1,1))</f>
        <v>149.5086927376081</v>
      </c>
      <c r="AO121" s="59">
        <f t="shared" si="90"/>
        <v>364.59164590134498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17.75704131185789</v>
      </c>
      <c r="AV121" s="21">
        <f>EXP(-LN(2)/25)*AV120+(1-EXP(-LN(2)/25))/(LN(2)/25)*Calculateur!AQ121*Calculateur!AS121*VLOOKUP('Données projet'!$B$10,Paramètres!$A$1:$I$89,3,0)*0.475*44/12</f>
        <v>1.7006003767724698</v>
      </c>
      <c r="AW121" s="21">
        <f>EXP(-LN(2)/2)*AW120+(1-EXP(-LN(2)/2))/(LN(2)/2)*AQ121*AT121*VLOOKUP('Données projet'!$B$10,Paramètres!$A$1:$I$89,3,0)*0.475*44/12</f>
        <v>3.406807312266594E-14</v>
      </c>
      <c r="AX121" s="21">
        <f t="shared" si="60"/>
        <v>19.457641688630396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1.1368683772161603E-13</v>
      </c>
      <c r="BE121" s="13">
        <f>BD121*VLOOKUP('Données projet'!$B$11,Paramètres!$A$1:$I$89,3,0)*VLOOKUP('Données projet'!$B$11,Paramètres!$A$1:$I$89,5,0)</f>
        <v>6.7984728957526396E-14</v>
      </c>
      <c r="BF121" s="13">
        <f t="shared" si="91"/>
        <v>1.0682447123141398E-12</v>
      </c>
      <c r="BG121" s="20">
        <f t="shared" si="61"/>
        <v>1.978932943548152E-12</v>
      </c>
      <c r="BH121" s="59">
        <f t="shared" si="62"/>
        <v>293.3333333333353</v>
      </c>
      <c r="BI121" s="59">
        <f ca="1">AVERAGE(OFFSET($BH$3,0,0,'Données projet'!$E$11+1,1))-AVERAGE(OFFSET($H$3,0,0,'Données projet'!$E$11+1,1))</f>
        <v>149.5086927376081</v>
      </c>
      <c r="BJ121" s="59">
        <f t="shared" si="92"/>
        <v>364.59164590134498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17.75704131185789</v>
      </c>
      <c r="BQ121" s="21">
        <f>EXP(-LN(2)/25)*BQ120+(1-EXP(-LN(2)/25))/(LN(2)/25)*Calculateur!BL121*Calculateur!BN121*VLOOKUP('Données projet'!$B$11,Paramètres!$A$1:$I$89,3,0)*0.475*44/12</f>
        <v>1.7006003767724698</v>
      </c>
      <c r="BR121" s="21">
        <f>EXP(-LN(2)/2)*BR120+(1-EXP(-LN(2)/2))/(LN(2)/2)*BL121*BO121*VLOOKUP('Données projet'!$B$11,Paramètres!$A$1:$I$89,3,0)*0.475*44/12</f>
        <v>3.406807312266594E-14</v>
      </c>
      <c r="BS121" s="22">
        <f t="shared" si="63"/>
        <v>19.457641688630396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438.57782077914567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5.6843418860808015E-14</v>
      </c>
      <c r="O122" s="13">
        <f>N122*VLOOKUP('Données projet'!$B$9,Paramètres!$A$1:$I$89,3,0)*VLOOKUP('Données projet'!$B$9,Paramètres!$A$1:$I$89,5,0)</f>
        <v>3.3992364478763198E-14</v>
      </c>
      <c r="P122" s="13">
        <f t="shared" si="87"/>
        <v>5.790027782444094E-13</v>
      </c>
      <c r="Q122" s="20">
        <f t="shared" si="107"/>
        <v>1.0676332069095257E-12</v>
      </c>
      <c r="R122" s="59">
        <f t="shared" si="55"/>
        <v>293.33333333333439</v>
      </c>
      <c r="S122" s="59">
        <f ca="1">AVERAGE(OFFSET($R$3,0,0,'Données projet'!$E$9+1,1))-AVERAGE(OFFSET($H$3,0,0,'Données projet'!$E$9+1,1))</f>
        <v>153.00981126776304</v>
      </c>
      <c r="T122" s="59">
        <f t="shared" si="88"/>
        <v>309.90400623462932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19.387070239500748</v>
      </c>
      <c r="AA122" s="21">
        <f>EXP(-LN(2)/25)*AA121+(1-EXP(-LN(2)/25))/(LN(2)/25)*Calculateur!V122*Calculateur!X122*VLOOKUP('Données projet'!$B$9,Paramètres!$A$1:$I$89,3,0)*0.475*44/12</f>
        <v>1.7852800042516166</v>
      </c>
      <c r="AB122" s="21">
        <f>EXP(-LN(2)/2)*AB121+(1-EXP(-LN(2)/2))/(LN(2)/2)*V122*Y122*VLOOKUP('Données projet'!$B$9,Paramètres!$A$1:$I$89,3,0)*0.475*44/12</f>
        <v>3.1373766915866621E-14</v>
      </c>
      <c r="AC122" s="22">
        <f t="shared" si="57"/>
        <v>21.172350243752398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1.1368683772161603E-13</v>
      </c>
      <c r="AJ122" s="13">
        <f>AI122*VLOOKUP('Données projet'!$B$10,Paramètres!$A$1:$I$89,3,0)*VLOOKUP('Données projet'!$B$10,Paramètres!$A$1:$I$89,5,0)</f>
        <v>6.7984728957526396E-14</v>
      </c>
      <c r="AK122" s="13">
        <f t="shared" si="89"/>
        <v>1.0682447123141398E-12</v>
      </c>
      <c r="AL122" s="20">
        <f t="shared" si="58"/>
        <v>1.978932943548152E-12</v>
      </c>
      <c r="AM122" s="59">
        <f t="shared" si="59"/>
        <v>293.3333333333353</v>
      </c>
      <c r="AN122" s="59">
        <f ca="1">AVERAGE(OFFSET($AM$3,0,0,'Données projet'!$E$10+1,1))-AVERAGE(OFFSET($H$3,0,0,'Données projet'!$E$10+1,1))</f>
        <v>149.5086927376081</v>
      </c>
      <c r="AO122" s="59">
        <f t="shared" si="90"/>
        <v>364.59164590134498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17.408836562458113</v>
      </c>
      <c r="AV122" s="21">
        <f>EXP(-LN(2)/25)*AV121+(1-EXP(-LN(2)/25))/(LN(2)/25)*Calculateur!AQ122*Calculateur!AS122*VLOOKUP('Données projet'!$B$10,Paramètres!$A$1:$I$89,3,0)*0.475*44/12</f>
        <v>1.6540973700389396</v>
      </c>
      <c r="AW122" s="21">
        <f>EXP(-LN(2)/2)*AW121+(1-EXP(-LN(2)/2))/(LN(2)/2)*AQ122*AT122*VLOOKUP('Données projet'!$B$10,Paramètres!$A$1:$I$89,3,0)*0.475*44/12</f>
        <v>2.4089765526996246E-14</v>
      </c>
      <c r="AX122" s="21">
        <f t="shared" si="60"/>
        <v>19.062933932497078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1.1368683772161603E-13</v>
      </c>
      <c r="BE122" s="13">
        <f>BD122*VLOOKUP('Données projet'!$B$11,Paramètres!$A$1:$I$89,3,0)*VLOOKUP('Données projet'!$B$11,Paramètres!$A$1:$I$89,5,0)</f>
        <v>6.7984728957526396E-14</v>
      </c>
      <c r="BF122" s="13">
        <f t="shared" si="91"/>
        <v>1.0682447123141398E-12</v>
      </c>
      <c r="BG122" s="20">
        <f t="shared" si="61"/>
        <v>1.978932943548152E-12</v>
      </c>
      <c r="BH122" s="59">
        <f t="shared" si="62"/>
        <v>293.3333333333353</v>
      </c>
      <c r="BI122" s="59">
        <f ca="1">AVERAGE(OFFSET($BH$3,0,0,'Données projet'!$E$11+1,1))-AVERAGE(OFFSET($H$3,0,0,'Données projet'!$E$11+1,1))</f>
        <v>149.5086927376081</v>
      </c>
      <c r="BJ122" s="59">
        <f t="shared" si="92"/>
        <v>364.59164590134498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17.408836562458113</v>
      </c>
      <c r="BQ122" s="21">
        <f>EXP(-LN(2)/25)*BQ121+(1-EXP(-LN(2)/25))/(LN(2)/25)*Calculateur!BL122*Calculateur!BN122*VLOOKUP('Données projet'!$B$11,Paramètres!$A$1:$I$89,3,0)*0.475*44/12</f>
        <v>1.6540973700389396</v>
      </c>
      <c r="BR122" s="21">
        <f>EXP(-LN(2)/2)*BR121+(1-EXP(-LN(2)/2))/(LN(2)/2)*BL122*BO122*VLOOKUP('Données projet'!$B$11,Paramètres!$A$1:$I$89,3,0)*0.475*44/12</f>
        <v>2.4089765526996246E-14</v>
      </c>
      <c r="BS122" s="22">
        <f t="shared" si="63"/>
        <v>19.062933932497078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439.76686605129635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5.6843418860808015E-14</v>
      </c>
      <c r="O123" s="13">
        <f>N123*VLOOKUP('Données projet'!$B$9,Paramètres!$A$1:$I$89,3,0)*VLOOKUP('Données projet'!$B$9,Paramètres!$A$1:$I$89,5,0)</f>
        <v>3.3992364478763198E-14</v>
      </c>
      <c r="P123" s="13">
        <f t="shared" si="87"/>
        <v>5.790027782444094E-13</v>
      </c>
      <c r="Q123" s="20">
        <f t="shared" si="107"/>
        <v>1.0676332069095257E-12</v>
      </c>
      <c r="R123" s="59">
        <f t="shared" si="55"/>
        <v>293.33333333333439</v>
      </c>
      <c r="S123" s="59">
        <f ca="1">AVERAGE(OFFSET($R$3,0,0,'Données projet'!$E$9+1,1))-AVERAGE(OFFSET($H$3,0,0,'Données projet'!$E$9+1,1))</f>
        <v>153.00981126776304</v>
      </c>
      <c r="T123" s="59">
        <f t="shared" si="88"/>
        <v>309.90400623462932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19.006901617049369</v>
      </c>
      <c r="AA123" s="21">
        <f>EXP(-LN(2)/25)*AA122+(1-EXP(-LN(2)/25))/(LN(2)/25)*Calculateur!V123*Calculateur!X123*VLOOKUP('Données projet'!$B$9,Paramètres!$A$1:$I$89,3,0)*0.475*44/12</f>
        <v>1.7364614286515609</v>
      </c>
      <c r="AB123" s="21">
        <f>EXP(-LN(2)/2)*AB122+(1-EXP(-LN(2)/2))/(LN(2)/2)*V123*Y123*VLOOKUP('Données projet'!$B$9,Paramètres!$A$1:$I$89,3,0)*0.475*44/12</f>
        <v>2.2184603337575443E-14</v>
      </c>
      <c r="AC123" s="22">
        <f t="shared" si="57"/>
        <v>20.743363045700953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1.1368683772161603E-13</v>
      </c>
      <c r="AJ123" s="13">
        <f>AI123*VLOOKUP('Données projet'!$B$10,Paramètres!$A$1:$I$89,3,0)*VLOOKUP('Données projet'!$B$10,Paramètres!$A$1:$I$89,5,0)</f>
        <v>6.7984728957526396E-14</v>
      </c>
      <c r="AK123" s="13">
        <f t="shared" si="89"/>
        <v>1.0682447123141398E-12</v>
      </c>
      <c r="AL123" s="20">
        <f t="shared" si="58"/>
        <v>1.978932943548152E-12</v>
      </c>
      <c r="AM123" s="59">
        <f t="shared" si="59"/>
        <v>293.3333333333353</v>
      </c>
      <c r="AN123" s="59">
        <f ca="1">AVERAGE(OFFSET($AM$3,0,0,'Données projet'!$E$10+1,1))-AVERAGE(OFFSET($H$3,0,0,'Données projet'!$E$10+1,1))</f>
        <v>149.5086927376081</v>
      </c>
      <c r="AO123" s="59">
        <f t="shared" si="90"/>
        <v>364.59164590134498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17.067459895810138</v>
      </c>
      <c r="AV123" s="21">
        <f>EXP(-LN(2)/25)*AV122+(1-EXP(-LN(2)/25))/(LN(2)/25)*Calculateur!AQ123*Calculateur!AS123*VLOOKUP('Données projet'!$B$10,Paramètres!$A$1:$I$89,3,0)*0.475*44/12</f>
        <v>1.6088659904700247</v>
      </c>
      <c r="AW123" s="21">
        <f>EXP(-LN(2)/2)*AW122+(1-EXP(-LN(2)/2))/(LN(2)/2)*AQ123*AT123*VLOOKUP('Données projet'!$B$10,Paramètres!$A$1:$I$89,3,0)*0.475*44/12</f>
        <v>1.703403656133297E-14</v>
      </c>
      <c r="AX123" s="21">
        <f t="shared" si="60"/>
        <v>18.676325886280182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1.1368683772161603E-13</v>
      </c>
      <c r="BE123" s="13">
        <f>BD123*VLOOKUP('Données projet'!$B$11,Paramètres!$A$1:$I$89,3,0)*VLOOKUP('Données projet'!$B$11,Paramètres!$A$1:$I$89,5,0)</f>
        <v>6.7984728957526396E-14</v>
      </c>
      <c r="BF123" s="13">
        <f t="shared" si="91"/>
        <v>1.0682447123141398E-12</v>
      </c>
      <c r="BG123" s="20">
        <f t="shared" si="61"/>
        <v>1.978932943548152E-12</v>
      </c>
      <c r="BH123" s="59">
        <f t="shared" si="62"/>
        <v>293.3333333333353</v>
      </c>
      <c r="BI123" s="59">
        <f ca="1">AVERAGE(OFFSET($BH$3,0,0,'Données projet'!$E$11+1,1))-AVERAGE(OFFSET($H$3,0,0,'Données projet'!$E$11+1,1))</f>
        <v>149.5086927376081</v>
      </c>
      <c r="BJ123" s="59">
        <f t="shared" si="92"/>
        <v>364.59164590134498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17.067459895810138</v>
      </c>
      <c r="BQ123" s="21">
        <f>EXP(-LN(2)/25)*BQ122+(1-EXP(-LN(2)/25))/(LN(2)/25)*Calculateur!BL123*Calculateur!BN123*VLOOKUP('Données projet'!$B$11,Paramètres!$A$1:$I$89,3,0)*0.475*44/12</f>
        <v>1.6088659904700247</v>
      </c>
      <c r="BR123" s="21">
        <f>EXP(-LN(2)/2)*BR122+(1-EXP(-LN(2)/2))/(LN(2)/2)*BL123*BO123*VLOOKUP('Données projet'!$B$11,Paramètres!$A$1:$I$89,3,0)*0.475*44/12</f>
        <v>1.703403656133297E-14</v>
      </c>
      <c r="BS123" s="22">
        <f t="shared" si="63"/>
        <v>18.676325886280182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440.95568048018276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5.6843418860808015E-14</v>
      </c>
      <c r="O124" s="13">
        <f>N124*VLOOKUP('Données projet'!$B$9,Paramètres!$A$1:$I$89,3,0)*VLOOKUP('Données projet'!$B$9,Paramètres!$A$1:$I$89,5,0)</f>
        <v>3.3992364478763198E-14</v>
      </c>
      <c r="P124" s="13">
        <f t="shared" si="87"/>
        <v>5.790027782444094E-13</v>
      </c>
      <c r="Q124" s="20">
        <f t="shared" si="107"/>
        <v>1.0676332069095257E-12</v>
      </c>
      <c r="R124" s="59">
        <f t="shared" si="55"/>
        <v>293.33333333333439</v>
      </c>
      <c r="S124" s="59">
        <f ca="1">AVERAGE(OFFSET($R$3,0,0,'Données projet'!$E$9+1,1))-AVERAGE(OFFSET($H$3,0,0,'Données projet'!$E$9+1,1))</f>
        <v>153.00981126776304</v>
      </c>
      <c r="T124" s="59">
        <f t="shared" si="88"/>
        <v>309.90400623462932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18.634187869404297</v>
      </c>
      <c r="AA124" s="21">
        <f>EXP(-LN(2)/25)*AA123+(1-EXP(-LN(2)/25))/(LN(2)/25)*Calculateur!V124*Calculateur!X124*VLOOKUP('Données projet'!$B$9,Paramètres!$A$1:$I$89,3,0)*0.475*44/12</f>
        <v>1.6889777995685462</v>
      </c>
      <c r="AB124" s="21">
        <f>EXP(-LN(2)/2)*AB123+(1-EXP(-LN(2)/2))/(LN(2)/2)*V124*Y124*VLOOKUP('Données projet'!$B$9,Paramètres!$A$1:$I$89,3,0)*0.475*44/12</f>
        <v>1.5686883457933311E-14</v>
      </c>
      <c r="AC124" s="22">
        <f t="shared" si="57"/>
        <v>20.323165668972859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1.1368683772161603E-13</v>
      </c>
      <c r="AJ124" s="13">
        <f>AI124*VLOOKUP('Données projet'!$B$10,Paramètres!$A$1:$I$89,3,0)*VLOOKUP('Données projet'!$B$10,Paramètres!$A$1:$I$89,5,0)</f>
        <v>6.7984728957526396E-14</v>
      </c>
      <c r="AK124" s="13">
        <f t="shared" si="89"/>
        <v>1.0682447123141398E-12</v>
      </c>
      <c r="AL124" s="20">
        <f t="shared" si="58"/>
        <v>1.978932943548152E-12</v>
      </c>
      <c r="AM124" s="59">
        <f t="shared" si="59"/>
        <v>293.3333333333353</v>
      </c>
      <c r="AN124" s="59">
        <f ca="1">AVERAGE(OFFSET($AM$3,0,0,'Données projet'!$E$10+1,1))-AVERAGE(OFFSET($H$3,0,0,'Données projet'!$E$10+1,1))</f>
        <v>149.5086927376081</v>
      </c>
      <c r="AO124" s="59">
        <f t="shared" si="90"/>
        <v>364.59164590134498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16.732777417375925</v>
      </c>
      <c r="AV124" s="21">
        <f>EXP(-LN(2)/25)*AV123+(1-EXP(-LN(2)/25))/(LN(2)/25)*Calculateur!AQ124*Calculateur!AS124*VLOOKUP('Données projet'!$B$10,Paramètres!$A$1:$I$89,3,0)*0.475*44/12</f>
        <v>1.5648714653540365</v>
      </c>
      <c r="AW124" s="21">
        <f>EXP(-LN(2)/2)*AW123+(1-EXP(-LN(2)/2))/(LN(2)/2)*AQ124*AT124*VLOOKUP('Données projet'!$B$10,Paramètres!$A$1:$I$89,3,0)*0.475*44/12</f>
        <v>1.2044882763498123E-14</v>
      </c>
      <c r="AX124" s="21">
        <f t="shared" si="60"/>
        <v>18.297648882729973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1.1368683772161603E-13</v>
      </c>
      <c r="BE124" s="13">
        <f>BD124*VLOOKUP('Données projet'!$B$11,Paramètres!$A$1:$I$89,3,0)*VLOOKUP('Données projet'!$B$11,Paramètres!$A$1:$I$89,5,0)</f>
        <v>6.7984728957526396E-14</v>
      </c>
      <c r="BF124" s="13">
        <f t="shared" si="91"/>
        <v>1.0682447123141398E-12</v>
      </c>
      <c r="BG124" s="20">
        <f t="shared" si="61"/>
        <v>1.978932943548152E-12</v>
      </c>
      <c r="BH124" s="59">
        <f t="shared" si="62"/>
        <v>293.3333333333353</v>
      </c>
      <c r="BI124" s="59">
        <f ca="1">AVERAGE(OFFSET($BH$3,0,0,'Données projet'!$E$11+1,1))-AVERAGE(OFFSET($H$3,0,0,'Données projet'!$E$11+1,1))</f>
        <v>149.5086927376081</v>
      </c>
      <c r="BJ124" s="59">
        <f t="shared" si="92"/>
        <v>364.59164590134498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16.732777417375925</v>
      </c>
      <c r="BQ124" s="21">
        <f>EXP(-LN(2)/25)*BQ123+(1-EXP(-LN(2)/25))/(LN(2)/25)*Calculateur!BL124*Calculateur!BN124*VLOOKUP('Données projet'!$B$11,Paramètres!$A$1:$I$89,3,0)*0.475*44/12</f>
        <v>1.5648714653540365</v>
      </c>
      <c r="BR124" s="21">
        <f>EXP(-LN(2)/2)*BR123+(1-EXP(-LN(2)/2))/(LN(2)/2)*BL124*BO124*VLOOKUP('Données projet'!$B$11,Paramètres!$A$1:$I$89,3,0)*0.475*44/12</f>
        <v>1.2044882763498123E-14</v>
      </c>
      <c r="BS124" s="22">
        <f t="shared" si="63"/>
        <v>18.297648882729973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442.14426619469248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5.6843418860808015E-14</v>
      </c>
      <c r="O125" s="13">
        <f>N125*VLOOKUP('Données projet'!$B$9,Paramètres!$A$1:$I$89,3,0)*VLOOKUP('Données projet'!$B$9,Paramètres!$A$1:$I$89,5,0)</f>
        <v>3.3992364478763198E-14</v>
      </c>
      <c r="P125" s="13">
        <f t="shared" si="87"/>
        <v>5.790027782444094E-13</v>
      </c>
      <c r="Q125" s="20">
        <f t="shared" si="107"/>
        <v>1.0676332069095257E-12</v>
      </c>
      <c r="R125" s="59">
        <f t="shared" si="55"/>
        <v>293.33333333333439</v>
      </c>
      <c r="S125" s="59">
        <f ca="1">AVERAGE(OFFSET($R$3,0,0,'Données projet'!$E$9+1,1))-AVERAGE(OFFSET($H$3,0,0,'Données projet'!$E$9+1,1))</f>
        <v>153.00981126776304</v>
      </c>
      <c r="T125" s="59">
        <f t="shared" si="88"/>
        <v>309.90400623462932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18.268782811017605</v>
      </c>
      <c r="AA125" s="21">
        <f>EXP(-LN(2)/25)*AA124+(1-EXP(-LN(2)/25))/(LN(2)/25)*Calculateur!V125*Calculateur!X125*VLOOKUP('Données projet'!$B$9,Paramètres!$A$1:$I$89,3,0)*0.475*44/12</f>
        <v>1.642792612819862</v>
      </c>
      <c r="AB125" s="21">
        <f>EXP(-LN(2)/2)*AB124+(1-EXP(-LN(2)/2))/(LN(2)/2)*V125*Y125*VLOOKUP('Données projet'!$B$9,Paramètres!$A$1:$I$89,3,0)*0.475*44/12</f>
        <v>1.1092301668787722E-14</v>
      </c>
      <c r="AC125" s="22">
        <f t="shared" si="57"/>
        <v>19.911575423837476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1.1368683772161603E-13</v>
      </c>
      <c r="AJ125" s="13">
        <f>AI125*VLOOKUP('Données projet'!$B$10,Paramètres!$A$1:$I$89,3,0)*VLOOKUP('Données projet'!$B$10,Paramètres!$A$1:$I$89,5,0)</f>
        <v>6.7984728957526396E-14</v>
      </c>
      <c r="AK125" s="13">
        <f t="shared" si="89"/>
        <v>1.0682447123141398E-12</v>
      </c>
      <c r="AL125" s="20">
        <f t="shared" si="58"/>
        <v>1.978932943548152E-12</v>
      </c>
      <c r="AM125" s="59">
        <f t="shared" si="59"/>
        <v>293.3333333333353</v>
      </c>
      <c r="AN125" s="59">
        <f ca="1">AVERAGE(OFFSET($AM$3,0,0,'Données projet'!$E$10+1,1))-AVERAGE(OFFSET($H$3,0,0,'Données projet'!$E$10+1,1))</f>
        <v>149.5086927376081</v>
      </c>
      <c r="AO125" s="59">
        <f t="shared" si="90"/>
        <v>364.59164590134498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16.404657858207649</v>
      </c>
      <c r="AV125" s="21">
        <f>EXP(-LN(2)/25)*AV124+(1-EXP(-LN(2)/25))/(LN(2)/25)*Calculateur!AQ125*Calculateur!AS125*VLOOKUP('Données projet'!$B$10,Paramètres!$A$1:$I$89,3,0)*0.475*44/12</f>
        <v>1.5220799728409167</v>
      </c>
      <c r="AW125" s="21">
        <f>EXP(-LN(2)/2)*AW124+(1-EXP(-LN(2)/2))/(LN(2)/2)*AQ125*AT125*VLOOKUP('Données projet'!$B$10,Paramètres!$A$1:$I$89,3,0)*0.475*44/12</f>
        <v>8.5170182806664849E-15</v>
      </c>
      <c r="AX125" s="21">
        <f t="shared" si="60"/>
        <v>17.926737831048573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1.1368683772161603E-13</v>
      </c>
      <c r="BE125" s="13">
        <f>BD125*VLOOKUP('Données projet'!$B$11,Paramètres!$A$1:$I$89,3,0)*VLOOKUP('Données projet'!$B$11,Paramètres!$A$1:$I$89,5,0)</f>
        <v>6.7984728957526396E-14</v>
      </c>
      <c r="BF125" s="13">
        <f t="shared" si="91"/>
        <v>1.0682447123141398E-12</v>
      </c>
      <c r="BG125" s="20">
        <f t="shared" si="61"/>
        <v>1.978932943548152E-12</v>
      </c>
      <c r="BH125" s="59">
        <f t="shared" si="62"/>
        <v>293.3333333333353</v>
      </c>
      <c r="BI125" s="59">
        <f ca="1">AVERAGE(OFFSET($BH$3,0,0,'Données projet'!$E$11+1,1))-AVERAGE(OFFSET($H$3,0,0,'Données projet'!$E$11+1,1))</f>
        <v>149.5086927376081</v>
      </c>
      <c r="BJ125" s="59">
        <f t="shared" si="92"/>
        <v>364.59164590134498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16.404657858207649</v>
      </c>
      <c r="BQ125" s="21">
        <f>EXP(-LN(2)/25)*BQ124+(1-EXP(-LN(2)/25))/(LN(2)/25)*Calculateur!BL125*Calculateur!BN125*VLOOKUP('Données projet'!$B$11,Paramètres!$A$1:$I$89,3,0)*0.475*44/12</f>
        <v>1.5220799728409167</v>
      </c>
      <c r="BR125" s="21">
        <f>EXP(-LN(2)/2)*BR124+(1-EXP(-LN(2)/2))/(LN(2)/2)*BL125*BO125*VLOOKUP('Données projet'!$B$11,Paramètres!$A$1:$I$89,3,0)*0.475*44/12</f>
        <v>8.5170182806664849E-15</v>
      </c>
      <c r="BS125" s="22">
        <f t="shared" si="63"/>
        <v>17.926737831048573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443.33262528679836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5.6843418860808015E-14</v>
      </c>
      <c r="O126" s="13">
        <f>N126*VLOOKUP('Données projet'!$B$9,Paramètres!$A$1:$I$89,3,0)*VLOOKUP('Données projet'!$B$9,Paramètres!$A$1:$I$89,5,0)</f>
        <v>3.3992364478763198E-14</v>
      </c>
      <c r="P126" s="13">
        <f t="shared" si="87"/>
        <v>5.790027782444094E-13</v>
      </c>
      <c r="Q126" s="20">
        <f t="shared" si="107"/>
        <v>1.0676332069095257E-12</v>
      </c>
      <c r="R126" s="59">
        <f t="shared" si="55"/>
        <v>293.33333333333439</v>
      </c>
      <c r="S126" s="59">
        <f ca="1">AVERAGE(OFFSET($R$3,0,0,'Données projet'!$E$9+1,1))-AVERAGE(OFFSET($H$3,0,0,'Données projet'!$E$9+1,1))</f>
        <v>153.00981126776304</v>
      </c>
      <c r="T126" s="59">
        <f t="shared" si="88"/>
        <v>309.90400623462932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17.910543122950799</v>
      </c>
      <c r="AA126" s="21">
        <f>EXP(-LN(2)/25)*AA125+(1-EXP(-LN(2)/25))/(LN(2)/25)*Calculateur!V126*Calculateur!X126*VLOOKUP('Données projet'!$B$9,Paramètres!$A$1:$I$89,3,0)*0.475*44/12</f>
        <v>1.597870362431594</v>
      </c>
      <c r="AB126" s="21">
        <f>EXP(-LN(2)/2)*AB125+(1-EXP(-LN(2)/2))/(LN(2)/2)*V126*Y126*VLOOKUP('Données projet'!$B$9,Paramètres!$A$1:$I$89,3,0)*0.475*44/12</f>
        <v>7.8434417289666553E-15</v>
      </c>
      <c r="AC126" s="22">
        <f t="shared" si="57"/>
        <v>19.508413485382398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1.1368683772161603E-13</v>
      </c>
      <c r="AJ126" s="13">
        <f>AI126*VLOOKUP('Données projet'!$B$10,Paramètres!$A$1:$I$89,3,0)*VLOOKUP('Données projet'!$B$10,Paramètres!$A$1:$I$89,5,0)</f>
        <v>6.7984728957526396E-14</v>
      </c>
      <c r="AK126" s="13">
        <f t="shared" si="89"/>
        <v>1.0682447123141398E-12</v>
      </c>
      <c r="AL126" s="20">
        <f t="shared" si="58"/>
        <v>1.978932943548152E-12</v>
      </c>
      <c r="AM126" s="59">
        <f t="shared" si="59"/>
        <v>293.3333333333353</v>
      </c>
      <c r="AN126" s="59">
        <f ca="1">AVERAGE(OFFSET($AM$3,0,0,'Données projet'!$E$10+1,1))-AVERAGE(OFFSET($H$3,0,0,'Données projet'!$E$10+1,1))</f>
        <v>149.5086927376081</v>
      </c>
      <c r="AO126" s="59">
        <f t="shared" si="90"/>
        <v>364.59164590134498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16.082972523461496</v>
      </c>
      <c r="AV126" s="21">
        <f>EXP(-LN(2)/25)*AV125+(1-EXP(-LN(2)/25))/(LN(2)/25)*Calculateur!AQ126*Calculateur!AS126*VLOOKUP('Données projet'!$B$10,Paramètres!$A$1:$I$89,3,0)*0.475*44/12</f>
        <v>1.4804586159408748</v>
      </c>
      <c r="AW126" s="21">
        <f>EXP(-LN(2)/2)*AW125+(1-EXP(-LN(2)/2))/(LN(2)/2)*AQ126*AT126*VLOOKUP('Données projet'!$B$10,Paramètres!$A$1:$I$89,3,0)*0.475*44/12</f>
        <v>6.0224413817490615E-15</v>
      </c>
      <c r="AX126" s="21">
        <f t="shared" si="60"/>
        <v>17.563431139402379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1.1368683772161603E-13</v>
      </c>
      <c r="BE126" s="13">
        <f>BD126*VLOOKUP('Données projet'!$B$11,Paramètres!$A$1:$I$89,3,0)*VLOOKUP('Données projet'!$B$11,Paramètres!$A$1:$I$89,5,0)</f>
        <v>6.7984728957526396E-14</v>
      </c>
      <c r="BF126" s="13">
        <f t="shared" si="91"/>
        <v>1.0682447123141398E-12</v>
      </c>
      <c r="BG126" s="20">
        <f t="shared" si="61"/>
        <v>1.978932943548152E-12</v>
      </c>
      <c r="BH126" s="59">
        <f t="shared" si="62"/>
        <v>293.3333333333353</v>
      </c>
      <c r="BI126" s="59">
        <f ca="1">AVERAGE(OFFSET($BH$3,0,0,'Données projet'!$E$11+1,1))-AVERAGE(OFFSET($H$3,0,0,'Données projet'!$E$11+1,1))</f>
        <v>149.5086927376081</v>
      </c>
      <c r="BJ126" s="59">
        <f t="shared" si="92"/>
        <v>364.59164590134498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16.082972523461496</v>
      </c>
      <c r="BQ126" s="21">
        <f>EXP(-LN(2)/25)*BQ125+(1-EXP(-LN(2)/25))/(LN(2)/25)*Calculateur!BL126*Calculateur!BN126*VLOOKUP('Données projet'!$B$11,Paramètres!$A$1:$I$89,3,0)*0.475*44/12</f>
        <v>1.4804586159408748</v>
      </c>
      <c r="BR126" s="21">
        <f>EXP(-LN(2)/2)*BR125+(1-EXP(-LN(2)/2))/(LN(2)/2)*BL126*BO126*VLOOKUP('Données projet'!$B$11,Paramètres!$A$1:$I$89,3,0)*0.475*44/12</f>
        <v>6.0224413817490615E-15</v>
      </c>
      <c r="BS126" s="22">
        <f t="shared" si="63"/>
        <v>17.563431139402379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444.52075981249368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5.6843418860808015E-14</v>
      </c>
      <c r="O127" s="13">
        <f>N127*VLOOKUP('Données projet'!$B$9,Paramètres!$A$1:$I$89,3,0)*VLOOKUP('Données projet'!$B$9,Paramètres!$A$1:$I$89,5,0)</f>
        <v>3.3992364478763198E-14</v>
      </c>
      <c r="P127" s="13">
        <f t="shared" si="87"/>
        <v>5.790027782444094E-13</v>
      </c>
      <c r="Q127" s="20">
        <f t="shared" si="107"/>
        <v>1.0676332069095257E-12</v>
      </c>
      <c r="R127" s="59">
        <f t="shared" si="55"/>
        <v>293.33333333333439</v>
      </c>
      <c r="S127" s="59">
        <f ca="1">AVERAGE(OFFSET($R$3,0,0,'Données projet'!$E$9+1,1))-AVERAGE(OFFSET($H$3,0,0,'Données projet'!$E$9+1,1))</f>
        <v>153.00981126776304</v>
      </c>
      <c r="T127" s="59">
        <f t="shared" si="88"/>
        <v>309.90400623462932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17.559328296662347</v>
      </c>
      <c r="AA127" s="21">
        <f>EXP(-LN(2)/25)*AA126+(1-EXP(-LN(2)/25))/(LN(2)/25)*Calculateur!V127*Calculateur!X127*VLOOKUP('Données projet'!$B$9,Paramètres!$A$1:$I$89,3,0)*0.475*44/12</f>
        <v>1.5541765133425516</v>
      </c>
      <c r="AB127" s="21">
        <f>EXP(-LN(2)/2)*AB126+(1-EXP(-LN(2)/2))/(LN(2)/2)*V127*Y127*VLOOKUP('Données projet'!$B$9,Paramètres!$A$1:$I$89,3,0)*0.475*44/12</f>
        <v>5.5461508343938608E-15</v>
      </c>
      <c r="AC127" s="22">
        <f t="shared" si="57"/>
        <v>19.113504810004905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1.1368683772161603E-13</v>
      </c>
      <c r="AJ127" s="13">
        <f>AI127*VLOOKUP('Données projet'!$B$10,Paramètres!$A$1:$I$89,3,0)*VLOOKUP('Données projet'!$B$10,Paramètres!$A$1:$I$89,5,0)</f>
        <v>6.7984728957526396E-14</v>
      </c>
      <c r="AK127" s="13">
        <f t="shared" si="89"/>
        <v>1.0682447123141398E-12</v>
      </c>
      <c r="AL127" s="20">
        <f t="shared" si="58"/>
        <v>1.978932943548152E-12</v>
      </c>
      <c r="AM127" s="59">
        <f t="shared" si="59"/>
        <v>293.3333333333353</v>
      </c>
      <c r="AN127" s="59">
        <f ca="1">AVERAGE(OFFSET($AM$3,0,0,'Données projet'!$E$10+1,1))-AVERAGE(OFFSET($H$3,0,0,'Données projet'!$E$10+1,1))</f>
        <v>149.5086927376081</v>
      </c>
      <c r="AO127" s="59">
        <f t="shared" si="90"/>
        <v>364.59164590134498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15.767595241921034</v>
      </c>
      <c r="AV127" s="21">
        <f>EXP(-LN(2)/25)*AV126+(1-EXP(-LN(2)/25))/(LN(2)/25)*Calculateur!AQ127*Calculateur!AS127*VLOOKUP('Données projet'!$B$10,Paramètres!$A$1:$I$89,3,0)*0.475*44/12</f>
        <v>1.4399753972340366</v>
      </c>
      <c r="AW127" s="21">
        <f>EXP(-LN(2)/2)*AW126+(1-EXP(-LN(2)/2))/(LN(2)/2)*AQ127*AT127*VLOOKUP('Données projet'!$B$10,Paramètres!$A$1:$I$89,3,0)*0.475*44/12</f>
        <v>4.2585091403332425E-15</v>
      </c>
      <c r="AX127" s="21">
        <f t="shared" si="60"/>
        <v>17.207570639155076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1.1368683772161603E-13</v>
      </c>
      <c r="BE127" s="13">
        <f>BD127*VLOOKUP('Données projet'!$B$11,Paramètres!$A$1:$I$89,3,0)*VLOOKUP('Données projet'!$B$11,Paramètres!$A$1:$I$89,5,0)</f>
        <v>6.7984728957526396E-14</v>
      </c>
      <c r="BF127" s="13">
        <f t="shared" si="91"/>
        <v>1.0682447123141398E-12</v>
      </c>
      <c r="BG127" s="20">
        <f t="shared" si="61"/>
        <v>1.978932943548152E-12</v>
      </c>
      <c r="BH127" s="59">
        <f t="shared" si="62"/>
        <v>293.3333333333353</v>
      </c>
      <c r="BI127" s="59">
        <f ca="1">AVERAGE(OFFSET($BH$3,0,0,'Données projet'!$E$11+1,1))-AVERAGE(OFFSET($H$3,0,0,'Données projet'!$E$11+1,1))</f>
        <v>149.5086927376081</v>
      </c>
      <c r="BJ127" s="59">
        <f t="shared" si="92"/>
        <v>364.59164590134498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15.767595241921034</v>
      </c>
      <c r="BQ127" s="21">
        <f>EXP(-LN(2)/25)*BQ126+(1-EXP(-LN(2)/25))/(LN(2)/25)*Calculateur!BL127*Calculateur!BN127*VLOOKUP('Données projet'!$B$11,Paramètres!$A$1:$I$89,3,0)*0.475*44/12</f>
        <v>1.4399753972340366</v>
      </c>
      <c r="BR127" s="21">
        <f>EXP(-LN(2)/2)*BR126+(1-EXP(-LN(2)/2))/(LN(2)/2)*BL127*BO127*VLOOKUP('Données projet'!$B$11,Paramètres!$A$1:$I$89,3,0)*0.475*44/12</f>
        <v>4.2585091403332425E-15</v>
      </c>
      <c r="BS127" s="22">
        <f t="shared" si="63"/>
        <v>17.207570639155076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445.70867179269578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5.6843418860808015E-14</v>
      </c>
      <c r="O128" s="13">
        <f>N128*VLOOKUP('Données projet'!$B$9,Paramètres!$A$1:$I$89,3,0)*VLOOKUP('Données projet'!$B$9,Paramètres!$A$1:$I$89,5,0)</f>
        <v>3.3992364478763198E-14</v>
      </c>
      <c r="P128" s="13">
        <f t="shared" si="87"/>
        <v>5.790027782444094E-13</v>
      </c>
      <c r="Q128" s="20">
        <f t="shared" si="107"/>
        <v>1.0676332069095257E-12</v>
      </c>
      <c r="R128" s="59">
        <f t="shared" si="55"/>
        <v>293.33333333333439</v>
      </c>
      <c r="S128" s="59">
        <f ca="1">AVERAGE(OFFSET($R$3,0,0,'Données projet'!$E$9+1,1))-AVERAGE(OFFSET($H$3,0,0,'Données projet'!$E$9+1,1))</f>
        <v>153.00981126776304</v>
      </c>
      <c r="T128" s="59">
        <f t="shared" si="88"/>
        <v>309.90400623462932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17.21500057889752</v>
      </c>
      <c r="AA128" s="21">
        <f>EXP(-LN(2)/25)*AA127+(1-EXP(-LN(2)/25))/(LN(2)/25)*Calculateur!V128*Calculateur!X128*VLOOKUP('Données projet'!$B$9,Paramètres!$A$1:$I$89,3,0)*0.475*44/12</f>
        <v>1.5116774748546087</v>
      </c>
      <c r="AB128" s="21">
        <f>EXP(-LN(2)/2)*AB127+(1-EXP(-LN(2)/2))/(LN(2)/2)*V128*Y128*VLOOKUP('Données projet'!$B$9,Paramètres!$A$1:$I$89,3,0)*0.475*44/12</f>
        <v>3.9217208644833277E-15</v>
      </c>
      <c r="AC128" s="22">
        <f t="shared" si="57"/>
        <v>18.726678053752131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1.1368683772161603E-13</v>
      </c>
      <c r="AJ128" s="13">
        <f>AI128*VLOOKUP('Données projet'!$B$10,Paramètres!$A$1:$I$89,3,0)*VLOOKUP('Données projet'!$B$10,Paramètres!$A$1:$I$89,5,0)</f>
        <v>6.7984728957526396E-14</v>
      </c>
      <c r="AK128" s="13">
        <f t="shared" si="89"/>
        <v>1.0682447123141398E-12</v>
      </c>
      <c r="AL128" s="20">
        <f t="shared" si="58"/>
        <v>1.978932943548152E-12</v>
      </c>
      <c r="AM128" s="59">
        <f t="shared" si="59"/>
        <v>293.3333333333353</v>
      </c>
      <c r="AN128" s="59">
        <f ca="1">AVERAGE(OFFSET($AM$3,0,0,'Données projet'!$E$10+1,1))-AVERAGE(OFFSET($H$3,0,0,'Données projet'!$E$10+1,1))</f>
        <v>149.5086927376081</v>
      </c>
      <c r="AO128" s="59">
        <f t="shared" si="90"/>
        <v>364.59164590134498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15.458402316510433</v>
      </c>
      <c r="AV128" s="21">
        <f>EXP(-LN(2)/25)*AV127+(1-EXP(-LN(2)/25))/(LN(2)/25)*Calculateur!AQ128*Calculateur!AS128*VLOOKUP('Données projet'!$B$10,Paramètres!$A$1:$I$89,3,0)*0.475*44/12</f>
        <v>1.4005991942716567</v>
      </c>
      <c r="AW128" s="21">
        <f>EXP(-LN(2)/2)*AW127+(1-EXP(-LN(2)/2))/(LN(2)/2)*AQ128*AT128*VLOOKUP('Données projet'!$B$10,Paramètres!$A$1:$I$89,3,0)*0.475*44/12</f>
        <v>3.0112206908745307E-15</v>
      </c>
      <c r="AX128" s="21">
        <f t="shared" si="60"/>
        <v>16.859001510782093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1.1368683772161603E-13</v>
      </c>
      <c r="BE128" s="13">
        <f>BD128*VLOOKUP('Données projet'!$B$11,Paramètres!$A$1:$I$89,3,0)*VLOOKUP('Données projet'!$B$11,Paramètres!$A$1:$I$89,5,0)</f>
        <v>6.7984728957526396E-14</v>
      </c>
      <c r="BF128" s="13">
        <f t="shared" si="91"/>
        <v>1.0682447123141398E-12</v>
      </c>
      <c r="BG128" s="20">
        <f t="shared" si="61"/>
        <v>1.978932943548152E-12</v>
      </c>
      <c r="BH128" s="59">
        <f t="shared" si="62"/>
        <v>293.3333333333353</v>
      </c>
      <c r="BI128" s="59">
        <f ca="1">AVERAGE(OFFSET($BH$3,0,0,'Données projet'!$E$11+1,1))-AVERAGE(OFFSET($H$3,0,0,'Données projet'!$E$11+1,1))</f>
        <v>149.5086927376081</v>
      </c>
      <c r="BJ128" s="59">
        <f t="shared" si="92"/>
        <v>364.59164590134498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15.458402316510433</v>
      </c>
      <c r="BQ128" s="21">
        <f>EXP(-LN(2)/25)*BQ127+(1-EXP(-LN(2)/25))/(LN(2)/25)*Calculateur!BL128*Calculateur!BN128*VLOOKUP('Données projet'!$B$11,Paramètres!$A$1:$I$89,3,0)*0.475*44/12</f>
        <v>1.4005991942716567</v>
      </c>
      <c r="BR128" s="21">
        <f>EXP(-LN(2)/2)*BR127+(1-EXP(-LN(2)/2))/(LN(2)/2)*BL128*BO128*VLOOKUP('Données projet'!$B$11,Paramètres!$A$1:$I$89,3,0)*0.475*44/12</f>
        <v>3.0112206908745307E-15</v>
      </c>
      <c r="BS128" s="22">
        <f t="shared" si="63"/>
        <v>16.859001510782093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446.89636321412058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5.6843418860808015E-14</v>
      </c>
      <c r="O129" s="13">
        <f>N129*VLOOKUP('Données projet'!$B$9,Paramètres!$A$1:$I$89,3,0)*VLOOKUP('Données projet'!$B$9,Paramètres!$A$1:$I$89,5,0)</f>
        <v>3.3992364478763198E-14</v>
      </c>
      <c r="P129" s="13">
        <f t="shared" si="87"/>
        <v>5.790027782444094E-13</v>
      </c>
      <c r="Q129" s="20">
        <f t="shared" si="107"/>
        <v>1.0676332069095257E-12</v>
      </c>
      <c r="R129" s="59">
        <f t="shared" si="55"/>
        <v>293.33333333333439</v>
      </c>
      <c r="S129" s="59">
        <f ca="1">AVERAGE(OFFSET($R$3,0,0,'Données projet'!$E$9+1,1))-AVERAGE(OFFSET($H$3,0,0,'Données projet'!$E$9+1,1))</f>
        <v>153.00981126776304</v>
      </c>
      <c r="T129" s="59">
        <f t="shared" si="88"/>
        <v>309.90400623462932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16.877424917658892</v>
      </c>
      <c r="AA129" s="21">
        <f>EXP(-LN(2)/25)*AA128+(1-EXP(-LN(2)/25))/(LN(2)/25)*Calculateur!V129*Calculateur!X129*VLOOKUP('Données projet'!$B$9,Paramètres!$A$1:$I$89,3,0)*0.475*44/12</f>
        <v>1.4703405748090459</v>
      </c>
      <c r="AB129" s="21">
        <f>EXP(-LN(2)/2)*AB128+(1-EXP(-LN(2)/2))/(LN(2)/2)*V129*Y129*VLOOKUP('Données projet'!$B$9,Paramètres!$A$1:$I$89,3,0)*0.475*44/12</f>
        <v>2.7730754171969304E-15</v>
      </c>
      <c r="AC129" s="22">
        <f t="shared" si="57"/>
        <v>18.347765492467943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1.1368683772161603E-13</v>
      </c>
      <c r="AJ129" s="13">
        <f>AI129*VLOOKUP('Données projet'!$B$10,Paramètres!$A$1:$I$89,3,0)*VLOOKUP('Données projet'!$B$10,Paramètres!$A$1:$I$89,5,0)</f>
        <v>6.7984728957526396E-14</v>
      </c>
      <c r="AK129" s="13">
        <f t="shared" si="89"/>
        <v>1.0682447123141398E-12</v>
      </c>
      <c r="AL129" s="20">
        <f t="shared" si="58"/>
        <v>1.978932943548152E-12</v>
      </c>
      <c r="AM129" s="59">
        <f t="shared" si="59"/>
        <v>293.3333333333353</v>
      </c>
      <c r="AN129" s="59">
        <f ca="1">AVERAGE(OFFSET($AM$3,0,0,'Données projet'!$E$10+1,1))-AVERAGE(OFFSET($H$3,0,0,'Données projet'!$E$10+1,1))</f>
        <v>149.5086927376081</v>
      </c>
      <c r="AO129" s="59">
        <f t="shared" si="90"/>
        <v>364.59164590134498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15.155272475778071</v>
      </c>
      <c r="AV129" s="21">
        <f>EXP(-LN(2)/25)*AV128+(1-EXP(-LN(2)/25))/(LN(2)/25)*Calculateur!AQ129*Calculateur!AS129*VLOOKUP('Données projet'!$B$10,Paramètres!$A$1:$I$89,3,0)*0.475*44/12</f>
        <v>1.3622997356499877</v>
      </c>
      <c r="AW129" s="21">
        <f>EXP(-LN(2)/2)*AW128+(1-EXP(-LN(2)/2))/(LN(2)/2)*AQ129*AT129*VLOOKUP('Données projet'!$B$10,Paramètres!$A$1:$I$89,3,0)*0.475*44/12</f>
        <v>2.1292545701666212E-15</v>
      </c>
      <c r="AX129" s="21">
        <f t="shared" si="60"/>
        <v>16.517572211428064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1.1368683772161603E-13</v>
      </c>
      <c r="BE129" s="13">
        <f>BD129*VLOOKUP('Données projet'!$B$11,Paramètres!$A$1:$I$89,3,0)*VLOOKUP('Données projet'!$B$11,Paramètres!$A$1:$I$89,5,0)</f>
        <v>6.7984728957526396E-14</v>
      </c>
      <c r="BF129" s="13">
        <f t="shared" si="91"/>
        <v>1.0682447123141398E-12</v>
      </c>
      <c r="BG129" s="20">
        <f t="shared" si="61"/>
        <v>1.978932943548152E-12</v>
      </c>
      <c r="BH129" s="59">
        <f t="shared" si="62"/>
        <v>293.3333333333353</v>
      </c>
      <c r="BI129" s="59">
        <f ca="1">AVERAGE(OFFSET($BH$3,0,0,'Données projet'!$E$11+1,1))-AVERAGE(OFFSET($H$3,0,0,'Données projet'!$E$11+1,1))</f>
        <v>149.5086927376081</v>
      </c>
      <c r="BJ129" s="59">
        <f t="shared" si="92"/>
        <v>364.59164590134498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15.155272475778071</v>
      </c>
      <c r="BQ129" s="21">
        <f>EXP(-LN(2)/25)*BQ128+(1-EXP(-LN(2)/25))/(LN(2)/25)*Calculateur!BL129*Calculateur!BN129*VLOOKUP('Données projet'!$B$11,Paramètres!$A$1:$I$89,3,0)*0.475*44/12</f>
        <v>1.3622997356499877</v>
      </c>
      <c r="BR129" s="21">
        <f>EXP(-LN(2)/2)*BR128+(1-EXP(-LN(2)/2))/(LN(2)/2)*BL129*BO129*VLOOKUP('Données projet'!$B$11,Paramètres!$A$1:$I$89,3,0)*0.475*44/12</f>
        <v>2.1292545701666212E-15</v>
      </c>
      <c r="BS129" s="22">
        <f t="shared" si="63"/>
        <v>16.517572211428064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448.08383603012737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5.6843418860808015E-14</v>
      </c>
      <c r="O130" s="13">
        <f>N130*VLOOKUP('Données projet'!$B$9,Paramètres!$A$1:$I$89,3,0)*VLOOKUP('Données projet'!$B$9,Paramètres!$A$1:$I$89,5,0)</f>
        <v>3.3992364478763198E-14</v>
      </c>
      <c r="P130" s="13">
        <f t="shared" si="87"/>
        <v>5.790027782444094E-13</v>
      </c>
      <c r="Q130" s="20">
        <f t="shared" si="107"/>
        <v>1.0676332069095257E-12</v>
      </c>
      <c r="R130" s="59">
        <f t="shared" si="55"/>
        <v>293.33333333333439</v>
      </c>
      <c r="S130" s="59">
        <f ca="1">AVERAGE(OFFSET($R$3,0,0,'Données projet'!$E$9+1,1))-AVERAGE(OFFSET($H$3,0,0,'Données projet'!$E$9+1,1))</f>
        <v>153.00981126776304</v>
      </c>
      <c r="T130" s="59">
        <f t="shared" si="88"/>
        <v>309.90400623462932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16.546468909236332</v>
      </c>
      <c r="AA130" s="21">
        <f>EXP(-LN(2)/25)*AA129+(1-EXP(-LN(2)/25))/(LN(2)/25)*Calculateur!V130*Calculateur!X130*VLOOKUP('Données projet'!$B$9,Paramètres!$A$1:$I$89,3,0)*0.475*44/12</f>
        <v>1.4301340344690423</v>
      </c>
      <c r="AB130" s="21">
        <f>EXP(-LN(2)/2)*AB129+(1-EXP(-LN(2)/2))/(LN(2)/2)*V130*Y130*VLOOKUP('Données projet'!$B$9,Paramètres!$A$1:$I$89,3,0)*0.475*44/12</f>
        <v>1.9608604322416638E-15</v>
      </c>
      <c r="AC130" s="22">
        <f t="shared" si="57"/>
        <v>17.976602943705377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1.1368683772161603E-13</v>
      </c>
      <c r="AJ130" s="13">
        <f>AI130*VLOOKUP('Données projet'!$B$10,Paramètres!$A$1:$I$89,3,0)*VLOOKUP('Données projet'!$B$10,Paramètres!$A$1:$I$89,5,0)</f>
        <v>6.7984728957526396E-14</v>
      </c>
      <c r="AK130" s="13">
        <f t="shared" si="89"/>
        <v>1.0682447123141398E-12</v>
      </c>
      <c r="AL130" s="20">
        <f t="shared" si="58"/>
        <v>1.978932943548152E-12</v>
      </c>
      <c r="AM130" s="59">
        <f t="shared" si="59"/>
        <v>293.3333333333353</v>
      </c>
      <c r="AN130" s="59">
        <f ca="1">AVERAGE(OFFSET($AM$3,0,0,'Données projet'!$E$10+1,1))-AVERAGE(OFFSET($H$3,0,0,'Données projet'!$E$10+1,1))</f>
        <v>149.5086927376081</v>
      </c>
      <c r="AO130" s="59">
        <f t="shared" si="90"/>
        <v>364.59164590134498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14.858086826331524</v>
      </c>
      <c r="AV130" s="21">
        <f>EXP(-LN(2)/25)*AV129+(1-EXP(-LN(2)/25))/(LN(2)/25)*Calculateur!AQ130*Calculateur!AS130*VLOOKUP('Données projet'!$B$10,Paramètres!$A$1:$I$89,3,0)*0.475*44/12</f>
        <v>1.3250475777384092</v>
      </c>
      <c r="AW130" s="21">
        <f>EXP(-LN(2)/2)*AW129+(1-EXP(-LN(2)/2))/(LN(2)/2)*AQ130*AT130*VLOOKUP('Données projet'!$B$10,Paramètres!$A$1:$I$89,3,0)*0.475*44/12</f>
        <v>1.5056103454372654E-15</v>
      </c>
      <c r="AX130" s="21">
        <f t="shared" si="60"/>
        <v>16.183134404069932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1.1368683772161603E-13</v>
      </c>
      <c r="BE130" s="13">
        <f>BD130*VLOOKUP('Données projet'!$B$11,Paramètres!$A$1:$I$89,3,0)*VLOOKUP('Données projet'!$B$11,Paramètres!$A$1:$I$89,5,0)</f>
        <v>6.7984728957526396E-14</v>
      </c>
      <c r="BF130" s="13">
        <f t="shared" si="91"/>
        <v>1.0682447123141398E-12</v>
      </c>
      <c r="BG130" s="20">
        <f t="shared" si="61"/>
        <v>1.978932943548152E-12</v>
      </c>
      <c r="BH130" s="59">
        <f t="shared" si="62"/>
        <v>293.3333333333353</v>
      </c>
      <c r="BI130" s="59">
        <f ca="1">AVERAGE(OFFSET($BH$3,0,0,'Données projet'!$E$11+1,1))-AVERAGE(OFFSET($H$3,0,0,'Données projet'!$E$11+1,1))</f>
        <v>149.5086927376081</v>
      </c>
      <c r="BJ130" s="59">
        <f t="shared" si="92"/>
        <v>364.59164590134498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14.858086826331524</v>
      </c>
      <c r="BQ130" s="21">
        <f>EXP(-LN(2)/25)*BQ129+(1-EXP(-LN(2)/25))/(LN(2)/25)*Calculateur!BL130*Calculateur!BN130*VLOOKUP('Données projet'!$B$11,Paramètres!$A$1:$I$89,3,0)*0.475*44/12</f>
        <v>1.3250475777384092</v>
      </c>
      <c r="BR130" s="21">
        <f>EXP(-LN(2)/2)*BR129+(1-EXP(-LN(2)/2))/(LN(2)/2)*BL130*BO130*VLOOKUP('Données projet'!$B$11,Paramètres!$A$1:$I$89,3,0)*0.475*44/12</f>
        <v>1.5056103454372654E-15</v>
      </c>
      <c r="BS130" s="22">
        <f t="shared" si="63"/>
        <v>16.183134404069932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449.27109216153792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5.6843418860808015E-14</v>
      </c>
      <c r="O131" s="13">
        <f>N131*VLOOKUP('Données projet'!$B$9,Paramètres!$A$1:$I$89,3,0)*VLOOKUP('Données projet'!$B$9,Paramètres!$A$1:$I$89,5,0)</f>
        <v>3.3992364478763198E-14</v>
      </c>
      <c r="P131" s="13">
        <f t="shared" si="87"/>
        <v>5.790027782444094E-13</v>
      </c>
      <c r="Q131" s="20">
        <f t="shared" ref="Q131:Q153" si="108">(O131+P131)*0.475*44/12</f>
        <v>1.0676332069095257E-12</v>
      </c>
      <c r="R131" s="59">
        <f t="shared" ref="R131:R194" si="109">Q131+(I131+J131)*44/12</f>
        <v>293.33333333333439</v>
      </c>
      <c r="S131" s="59">
        <f ca="1">AVERAGE(OFFSET($R$3,0,0,'Données projet'!$E$9+1,1))-AVERAGE(OFFSET($H$3,0,0,'Données projet'!$E$9+1,1))</f>
        <v>153.00981126776304</v>
      </c>
      <c r="T131" s="59">
        <f t="shared" si="88"/>
        <v>309.90400623462932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16.222002746275706</v>
      </c>
      <c r="AA131" s="21">
        <f>EXP(-LN(2)/25)*AA130+(1-EXP(-LN(2)/25))/(LN(2)/25)*Calculateur!V131*Calculateur!X131*VLOOKUP('Données projet'!$B$9,Paramètres!$A$1:$I$89,3,0)*0.475*44/12</f>
        <v>1.3910269440890062</v>
      </c>
      <c r="AB131" s="21">
        <f>EXP(-LN(2)/2)*AB130+(1-EXP(-LN(2)/2))/(LN(2)/2)*V131*Y131*VLOOKUP('Données projet'!$B$9,Paramètres!$A$1:$I$89,3,0)*0.475*44/12</f>
        <v>1.3865377085984652E-15</v>
      </c>
      <c r="AC131" s="22">
        <f t="shared" si="57"/>
        <v>17.613029690364712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1.1368683772161603E-13</v>
      </c>
      <c r="AJ131" s="13">
        <f>AI131*VLOOKUP('Données projet'!$B$10,Paramètres!$A$1:$I$89,3,0)*VLOOKUP('Données projet'!$B$10,Paramètres!$A$1:$I$89,5,0)</f>
        <v>6.7984728957526396E-14</v>
      </c>
      <c r="AK131" s="13">
        <f t="shared" si="89"/>
        <v>1.0682447123141398E-12</v>
      </c>
      <c r="AL131" s="20">
        <f t="shared" si="58"/>
        <v>1.978932943548152E-12</v>
      </c>
      <c r="AM131" s="59">
        <f t="shared" si="59"/>
        <v>293.3333333333353</v>
      </c>
      <c r="AN131" s="59">
        <f ca="1">AVERAGE(OFFSET($AM$3,0,0,'Données projet'!$E$10+1,1))-AVERAGE(OFFSET($H$3,0,0,'Données projet'!$E$10+1,1))</f>
        <v>149.5086927376081</v>
      </c>
      <c r="AO131" s="59">
        <f t="shared" si="90"/>
        <v>364.59164590134498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14.566728806205276</v>
      </c>
      <c r="AV131" s="21">
        <f>EXP(-LN(2)/25)*AV130+(1-EXP(-LN(2)/25))/(LN(2)/25)*Calculateur!AQ131*Calculateur!AS131*VLOOKUP('Données projet'!$B$10,Paramètres!$A$1:$I$89,3,0)*0.475*44/12</f>
        <v>1.2888140820439287</v>
      </c>
      <c r="AW131" s="21">
        <f>EXP(-LN(2)/2)*AW130+(1-EXP(-LN(2)/2))/(LN(2)/2)*AQ131*AT131*VLOOKUP('Données projet'!$B$10,Paramètres!$A$1:$I$89,3,0)*0.475*44/12</f>
        <v>1.0646272850833106E-15</v>
      </c>
      <c r="AX131" s="21">
        <f t="shared" si="60"/>
        <v>15.855542888249207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1.1368683772161603E-13</v>
      </c>
      <c r="BE131" s="13">
        <f>BD131*VLOOKUP('Données projet'!$B$11,Paramètres!$A$1:$I$89,3,0)*VLOOKUP('Données projet'!$B$11,Paramètres!$A$1:$I$89,5,0)</f>
        <v>6.7984728957526396E-14</v>
      </c>
      <c r="BF131" s="13">
        <f t="shared" si="91"/>
        <v>1.0682447123141398E-12</v>
      </c>
      <c r="BG131" s="20">
        <f t="shared" si="61"/>
        <v>1.978932943548152E-12</v>
      </c>
      <c r="BH131" s="59">
        <f t="shared" si="62"/>
        <v>293.3333333333353</v>
      </c>
      <c r="BI131" s="59">
        <f ca="1">AVERAGE(OFFSET($BH$3,0,0,'Données projet'!$E$11+1,1))-AVERAGE(OFFSET($H$3,0,0,'Données projet'!$E$11+1,1))</f>
        <v>149.5086927376081</v>
      </c>
      <c r="BJ131" s="59">
        <f t="shared" si="92"/>
        <v>364.59164590134498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14.566728806205276</v>
      </c>
      <c r="BQ131" s="21">
        <f>EXP(-LN(2)/25)*BQ130+(1-EXP(-LN(2)/25))/(LN(2)/25)*Calculateur!BL131*Calculateur!BN131*VLOOKUP('Données projet'!$B$11,Paramètres!$A$1:$I$89,3,0)*0.475*44/12</f>
        <v>1.2888140820439287</v>
      </c>
      <c r="BR131" s="21">
        <f>EXP(-LN(2)/2)*BR130+(1-EXP(-LN(2)/2))/(LN(2)/2)*BL131*BO131*VLOOKUP('Données projet'!$B$11,Paramètres!$A$1:$I$89,3,0)*0.475*44/12</f>
        <v>1.0646272850833106E-15</v>
      </c>
      <c r="BS131" s="22">
        <f t="shared" si="63"/>
        <v>15.855542888249207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450.45813349742764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5.6843418860808015E-14</v>
      </c>
      <c r="O132" s="13">
        <f>N132*VLOOKUP('Données projet'!$B$9,Paramètres!$A$1:$I$89,3,0)*VLOOKUP('Données projet'!$B$9,Paramètres!$A$1:$I$89,5,0)</f>
        <v>3.3992364478763198E-14</v>
      </c>
      <c r="P132" s="13">
        <f t="shared" si="87"/>
        <v>5.790027782444094E-13</v>
      </c>
      <c r="Q132" s="20">
        <f t="shared" si="108"/>
        <v>1.0676332069095257E-12</v>
      </c>
      <c r="R132" s="59">
        <f t="shared" si="109"/>
        <v>293.33333333333439</v>
      </c>
      <c r="S132" s="59">
        <f ca="1">AVERAGE(OFFSET($R$3,0,0,'Données projet'!$E$9+1,1))-AVERAGE(OFFSET($H$3,0,0,'Données projet'!$E$9+1,1))</f>
        <v>153.00981126776304</v>
      </c>
      <c r="T132" s="59">
        <f t="shared" si="88"/>
        <v>309.90400623462932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15.903899166865919</v>
      </c>
      <c r="AA132" s="21">
        <f>EXP(-LN(2)/25)*AA131+(1-EXP(-LN(2)/25))/(LN(2)/25)*Calculateur!V132*Calculateur!X132*VLOOKUP('Données projet'!$B$9,Paramètres!$A$1:$I$89,3,0)*0.475*44/12</f>
        <v>1.3529892391519645</v>
      </c>
      <c r="AB132" s="21">
        <f>EXP(-LN(2)/2)*AB131+(1-EXP(-LN(2)/2))/(LN(2)/2)*V132*Y132*VLOOKUP('Données projet'!$B$9,Paramètres!$A$1:$I$89,3,0)*0.475*44/12</f>
        <v>9.8043021612083191E-16</v>
      </c>
      <c r="AC132" s="22">
        <f t="shared" ref="AC132:AC153" si="111">SUM(Z132:AB132)</f>
        <v>17.256888406017882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1.1368683772161603E-13</v>
      </c>
      <c r="AJ132" s="13">
        <f>AI132*VLOOKUP('Données projet'!$B$10,Paramètres!$A$1:$I$89,3,0)*VLOOKUP('Données projet'!$B$10,Paramètres!$A$1:$I$89,5,0)</f>
        <v>6.7984728957526396E-14</v>
      </c>
      <c r="AK132" s="13">
        <f t="shared" si="89"/>
        <v>1.0682447123141398E-12</v>
      </c>
      <c r="AL132" s="20">
        <f t="shared" ref="AL132:AL153" si="112">(AJ132+AK132)*0.475*44/12</f>
        <v>1.978932943548152E-12</v>
      </c>
      <c r="AM132" s="59">
        <f t="shared" ref="AM132:AM195" si="113">AL132+(AD132+AE132)*44/12</f>
        <v>293.3333333333353</v>
      </c>
      <c r="AN132" s="59">
        <f ca="1">AVERAGE(OFFSET($AM$3,0,0,'Données projet'!$E$10+1,1))-AVERAGE(OFFSET($H$3,0,0,'Données projet'!$E$10+1,1))</f>
        <v>149.5086927376081</v>
      </c>
      <c r="AO132" s="59">
        <f t="shared" si="90"/>
        <v>364.59164590134498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14.281084139142859</v>
      </c>
      <c r="AV132" s="21">
        <f>EXP(-LN(2)/25)*AV131+(1-EXP(-LN(2)/25))/(LN(2)/25)*Calculateur!AQ132*Calculateur!AS132*VLOOKUP('Données projet'!$B$10,Paramètres!$A$1:$I$89,3,0)*0.475*44/12</f>
        <v>1.2535713931946504</v>
      </c>
      <c r="AW132" s="21">
        <f>EXP(-LN(2)/2)*AW131+(1-EXP(-LN(2)/2))/(LN(2)/2)*AQ132*AT132*VLOOKUP('Données projet'!$B$10,Paramètres!$A$1:$I$89,3,0)*0.475*44/12</f>
        <v>7.5280517271863268E-16</v>
      </c>
      <c r="AX132" s="21">
        <f t="shared" ref="AX132:AX153" si="114">SUM(AU132:AW132)</f>
        <v>15.53465553233751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1.1368683772161603E-13</v>
      </c>
      <c r="BE132" s="13">
        <f>BD132*VLOOKUP('Données projet'!$B$11,Paramètres!$A$1:$I$89,3,0)*VLOOKUP('Données projet'!$B$11,Paramètres!$A$1:$I$89,5,0)</f>
        <v>6.7984728957526396E-14</v>
      </c>
      <c r="BF132" s="13">
        <f t="shared" si="91"/>
        <v>1.0682447123141398E-12</v>
      </c>
      <c r="BG132" s="20">
        <f t="shared" ref="BG132:BG153" si="115">(BE132+BF132)*0.475*44/12</f>
        <v>1.978932943548152E-12</v>
      </c>
      <c r="BH132" s="59">
        <f t="shared" ref="BH132:BH195" si="116">BG132+(AY132+AZ132)*44/12</f>
        <v>293.3333333333353</v>
      </c>
      <c r="BI132" s="59">
        <f ca="1">AVERAGE(OFFSET($BH$3,0,0,'Données projet'!$E$11+1,1))-AVERAGE(OFFSET($H$3,0,0,'Données projet'!$E$11+1,1))</f>
        <v>149.5086927376081</v>
      </c>
      <c r="BJ132" s="59">
        <f t="shared" si="92"/>
        <v>364.59164590134498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14.281084139142859</v>
      </c>
      <c r="BQ132" s="21">
        <f>EXP(-LN(2)/25)*BQ131+(1-EXP(-LN(2)/25))/(LN(2)/25)*Calculateur!BL132*Calculateur!BN132*VLOOKUP('Données projet'!$B$11,Paramètres!$A$1:$I$89,3,0)*0.475*44/12</f>
        <v>1.2535713931946504</v>
      </c>
      <c r="BR132" s="21">
        <f>EXP(-LN(2)/2)*BR131+(1-EXP(-LN(2)/2))/(LN(2)/2)*BL132*BO132*VLOOKUP('Données projet'!$B$11,Paramètres!$A$1:$I$89,3,0)*0.475*44/12</f>
        <v>7.5280517271863268E-16</v>
      </c>
      <c r="BS132" s="22">
        <f t="shared" ref="BS132:BS153" si="117">SUM(BP132:BR132)</f>
        <v>15.53465553233751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451.64496189589244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5.6843418860808015E-14</v>
      </c>
      <c r="O133" s="13">
        <f>N133*VLOOKUP('Données projet'!$B$9,Paramètres!$A$1:$I$89,3,0)*VLOOKUP('Données projet'!$B$9,Paramètres!$A$1:$I$89,5,0)</f>
        <v>3.3992364478763198E-14</v>
      </c>
      <c r="P133" s="13">
        <f t="shared" ref="P133:P196" si="141">EXP(-1.0587+0.8836*LN(O133)+0.284)</f>
        <v>5.790027782444094E-13</v>
      </c>
      <c r="Q133" s="20">
        <f t="shared" si="108"/>
        <v>1.0676332069095257E-12</v>
      </c>
      <c r="R133" s="59">
        <f t="shared" si="109"/>
        <v>293.33333333333439</v>
      </c>
      <c r="S133" s="59">
        <f ca="1">AVERAGE(OFFSET($R$3,0,0,'Données projet'!$E$9+1,1))-AVERAGE(OFFSET($H$3,0,0,'Données projet'!$E$9+1,1))</f>
        <v>153.00981126776304</v>
      </c>
      <c r="T133" s="59">
        <f t="shared" ref="T133:T196" si="142">$T$3</f>
        <v>309.90400623462932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15.592033404624333</v>
      </c>
      <c r="AA133" s="21">
        <f>EXP(-LN(2)/25)*AA132+(1-EXP(-LN(2)/25))/(LN(2)/25)*Calculateur!V133*Calculateur!X133*VLOOKUP('Données projet'!$B$9,Paramètres!$A$1:$I$89,3,0)*0.475*44/12</f>
        <v>1.3159916772567422</v>
      </c>
      <c r="AB133" s="21">
        <f>EXP(-LN(2)/2)*AB132+(1-EXP(-LN(2)/2))/(LN(2)/2)*V133*Y133*VLOOKUP('Données projet'!$B$9,Paramètres!$A$1:$I$89,3,0)*0.475*44/12</f>
        <v>6.932688542992326E-16</v>
      </c>
      <c r="AC133" s="22">
        <f t="shared" si="111"/>
        <v>16.908025081881075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1.1368683772161603E-13</v>
      </c>
      <c r="AJ133" s="13">
        <f>AI133*VLOOKUP('Données projet'!$B$10,Paramètres!$A$1:$I$89,3,0)*VLOOKUP('Données projet'!$B$10,Paramètres!$A$1:$I$89,5,0)</f>
        <v>6.7984728957526396E-14</v>
      </c>
      <c r="AK133" s="13">
        <f t="shared" ref="AK133:AK153" si="143">EXP(-1.0587+0.8836*LN(AJ133)+0.284)</f>
        <v>1.0682447123141398E-12</v>
      </c>
      <c r="AL133" s="20">
        <f t="shared" si="112"/>
        <v>1.978932943548152E-12</v>
      </c>
      <c r="AM133" s="59">
        <f t="shared" si="113"/>
        <v>293.3333333333353</v>
      </c>
      <c r="AN133" s="59">
        <f ca="1">AVERAGE(OFFSET($AM$3,0,0,'Données projet'!$E$10+1,1))-AVERAGE(OFFSET($H$3,0,0,'Données projet'!$E$10+1,1))</f>
        <v>149.5086927376081</v>
      </c>
      <c r="AO133" s="59">
        <f t="shared" ref="AO133:AO196" si="144">$AO$3</f>
        <v>364.59164590134498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14.001040789775493</v>
      </c>
      <c r="AV133" s="21">
        <f>EXP(-LN(2)/25)*AV132+(1-EXP(-LN(2)/25))/(LN(2)/25)*Calculateur!AQ133*Calculateur!AS133*VLOOKUP('Données projet'!$B$10,Paramètres!$A$1:$I$89,3,0)*0.475*44/12</f>
        <v>1.2192924175252882</v>
      </c>
      <c r="AW133" s="21">
        <f>EXP(-LN(2)/2)*AW132+(1-EXP(-LN(2)/2))/(LN(2)/2)*AQ133*AT133*VLOOKUP('Données projet'!$B$10,Paramètres!$A$1:$I$89,3,0)*0.475*44/12</f>
        <v>5.3231364254165531E-16</v>
      </c>
      <c r="AX133" s="21">
        <f t="shared" si="114"/>
        <v>15.220333207300781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1.1368683772161603E-13</v>
      </c>
      <c r="BE133" s="13">
        <f>BD133*VLOOKUP('Données projet'!$B$11,Paramètres!$A$1:$I$89,3,0)*VLOOKUP('Données projet'!$B$11,Paramètres!$A$1:$I$89,5,0)</f>
        <v>6.7984728957526396E-14</v>
      </c>
      <c r="BF133" s="13">
        <f t="shared" ref="BF133:BF153" si="145">EXP(-1.0587+0.8836*LN(BE133)+0.284)</f>
        <v>1.0682447123141398E-12</v>
      </c>
      <c r="BG133" s="20">
        <f t="shared" si="115"/>
        <v>1.978932943548152E-12</v>
      </c>
      <c r="BH133" s="59">
        <f t="shared" si="116"/>
        <v>293.3333333333353</v>
      </c>
      <c r="BI133" s="59">
        <f ca="1">AVERAGE(OFFSET($BH$3,0,0,'Données projet'!$E$11+1,1))-AVERAGE(OFFSET($H$3,0,0,'Données projet'!$E$11+1,1))</f>
        <v>149.5086927376081</v>
      </c>
      <c r="BJ133" s="59">
        <f t="shared" ref="BJ133:BJ196" si="146">$BJ$3</f>
        <v>364.59164590134498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14.001040789775493</v>
      </c>
      <c r="BQ133" s="21">
        <f>EXP(-LN(2)/25)*BQ132+(1-EXP(-LN(2)/25))/(LN(2)/25)*Calculateur!BL133*Calculateur!BN133*VLOOKUP('Données projet'!$B$11,Paramètres!$A$1:$I$89,3,0)*0.475*44/12</f>
        <v>1.2192924175252882</v>
      </c>
      <c r="BR133" s="21">
        <f>EXP(-LN(2)/2)*BR132+(1-EXP(-LN(2)/2))/(LN(2)/2)*BL133*BO133*VLOOKUP('Données projet'!$B$11,Paramètres!$A$1:$I$89,3,0)*0.475*44/12</f>
        <v>5.3231364254165531E-16</v>
      </c>
      <c r="BS133" s="22">
        <f t="shared" si="117"/>
        <v>15.220333207300781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452.83157918479128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5.6843418860808015E-14</v>
      </c>
      <c r="O134" s="13">
        <f>N134*VLOOKUP('Données projet'!$B$9,Paramètres!$A$1:$I$89,3,0)*VLOOKUP('Données projet'!$B$9,Paramètres!$A$1:$I$89,5,0)</f>
        <v>3.3992364478763198E-14</v>
      </c>
      <c r="P134" s="13">
        <f t="shared" si="141"/>
        <v>5.790027782444094E-13</v>
      </c>
      <c r="Q134" s="20">
        <f t="shared" si="108"/>
        <v>1.0676332069095257E-12</v>
      </c>
      <c r="R134" s="59">
        <f t="shared" si="109"/>
        <v>293.33333333333439</v>
      </c>
      <c r="S134" s="59">
        <f ca="1">AVERAGE(OFFSET($R$3,0,0,'Données projet'!$E$9+1,1))-AVERAGE(OFFSET($H$3,0,0,'Données projet'!$E$9+1,1))</f>
        <v>153.00981126776304</v>
      </c>
      <c r="T134" s="59">
        <f t="shared" si="142"/>
        <v>309.90400623462932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15.286283139760972</v>
      </c>
      <c r="AA134" s="21">
        <f>EXP(-LN(2)/25)*AA133+(1-EXP(-LN(2)/25))/(LN(2)/25)*Calculateur!V134*Calculateur!X134*VLOOKUP('Données projet'!$B$9,Paramètres!$A$1:$I$89,3,0)*0.475*44/12</f>
        <v>1.2800058156371619</v>
      </c>
      <c r="AB134" s="21">
        <f>EXP(-LN(2)/2)*AB133+(1-EXP(-LN(2)/2))/(LN(2)/2)*V134*Y134*VLOOKUP('Données projet'!$B$9,Paramètres!$A$1:$I$89,3,0)*0.475*44/12</f>
        <v>4.9021510806041596E-16</v>
      </c>
      <c r="AC134" s="22">
        <f t="shared" si="111"/>
        <v>16.566288955398132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1.1368683772161603E-13</v>
      </c>
      <c r="AJ134" s="13">
        <f>AI134*VLOOKUP('Données projet'!$B$10,Paramètres!$A$1:$I$89,3,0)*VLOOKUP('Données projet'!$B$10,Paramètres!$A$1:$I$89,5,0)</f>
        <v>6.7984728957526396E-14</v>
      </c>
      <c r="AK134" s="13">
        <f t="shared" si="143"/>
        <v>1.0682447123141398E-12</v>
      </c>
      <c r="AL134" s="20">
        <f t="shared" si="112"/>
        <v>1.978932943548152E-12</v>
      </c>
      <c r="AM134" s="59">
        <f t="shared" si="113"/>
        <v>293.3333333333353</v>
      </c>
      <c r="AN134" s="59">
        <f ca="1">AVERAGE(OFFSET($AM$3,0,0,'Données projet'!$E$10+1,1))-AVERAGE(OFFSET($H$3,0,0,'Données projet'!$E$10+1,1))</f>
        <v>149.5086927376081</v>
      </c>
      <c r="AO134" s="59">
        <f t="shared" si="144"/>
        <v>364.59164590134498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13.726488919679642</v>
      </c>
      <c r="AV134" s="21">
        <f>EXP(-LN(2)/25)*AV133+(1-EXP(-LN(2)/25))/(LN(2)/25)*Calculateur!AQ134*Calculateur!AS134*VLOOKUP('Données projet'!$B$10,Paramètres!$A$1:$I$89,3,0)*0.475*44/12</f>
        <v>1.1859508022482577</v>
      </c>
      <c r="AW134" s="21">
        <f>EXP(-LN(2)/2)*AW133+(1-EXP(-LN(2)/2))/(LN(2)/2)*AQ134*AT134*VLOOKUP('Données projet'!$B$10,Paramètres!$A$1:$I$89,3,0)*0.475*44/12</f>
        <v>3.7640258635931634E-16</v>
      </c>
      <c r="AX134" s="21">
        <f t="shared" si="114"/>
        <v>14.9124397219279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1.1368683772161603E-13</v>
      </c>
      <c r="BE134" s="13">
        <f>BD134*VLOOKUP('Données projet'!$B$11,Paramètres!$A$1:$I$89,3,0)*VLOOKUP('Données projet'!$B$11,Paramètres!$A$1:$I$89,5,0)</f>
        <v>6.7984728957526396E-14</v>
      </c>
      <c r="BF134" s="13">
        <f t="shared" si="145"/>
        <v>1.0682447123141398E-12</v>
      </c>
      <c r="BG134" s="20">
        <f t="shared" si="115"/>
        <v>1.978932943548152E-12</v>
      </c>
      <c r="BH134" s="59">
        <f t="shared" si="116"/>
        <v>293.3333333333353</v>
      </c>
      <c r="BI134" s="59">
        <f ca="1">AVERAGE(OFFSET($BH$3,0,0,'Données projet'!$E$11+1,1))-AVERAGE(OFFSET($H$3,0,0,'Données projet'!$E$11+1,1))</f>
        <v>149.5086927376081</v>
      </c>
      <c r="BJ134" s="59">
        <f t="shared" si="146"/>
        <v>364.59164590134498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13.726488919679642</v>
      </c>
      <c r="BQ134" s="21">
        <f>EXP(-LN(2)/25)*BQ133+(1-EXP(-LN(2)/25))/(LN(2)/25)*Calculateur!BL134*Calculateur!BN134*VLOOKUP('Données projet'!$B$11,Paramètres!$A$1:$I$89,3,0)*0.475*44/12</f>
        <v>1.1859508022482577</v>
      </c>
      <c r="BR134" s="21">
        <f>EXP(-LN(2)/2)*BR133+(1-EXP(-LN(2)/2))/(LN(2)/2)*BL134*BO134*VLOOKUP('Données projet'!$B$11,Paramètres!$A$1:$I$89,3,0)*0.475*44/12</f>
        <v>3.7640258635931634E-16</v>
      </c>
      <c r="BS134" s="22">
        <f t="shared" si="117"/>
        <v>14.9124397219279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454.01798716246486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5.6843418860808015E-14</v>
      </c>
      <c r="O135" s="13">
        <f>N135*VLOOKUP('Données projet'!$B$9,Paramètres!$A$1:$I$89,3,0)*VLOOKUP('Données projet'!$B$9,Paramètres!$A$1:$I$89,5,0)</f>
        <v>3.3992364478763198E-14</v>
      </c>
      <c r="P135" s="13">
        <f t="shared" si="141"/>
        <v>5.790027782444094E-13</v>
      </c>
      <c r="Q135" s="20">
        <f t="shared" si="108"/>
        <v>1.0676332069095257E-12</v>
      </c>
      <c r="R135" s="59">
        <f t="shared" si="109"/>
        <v>293.33333333333439</v>
      </c>
      <c r="S135" s="59">
        <f ca="1">AVERAGE(OFFSET($R$3,0,0,'Données projet'!$E$9+1,1))-AVERAGE(OFFSET($H$3,0,0,'Données projet'!$E$9+1,1))</f>
        <v>153.00981126776304</v>
      </c>
      <c r="T135" s="59">
        <f t="shared" si="142"/>
        <v>309.90400623462932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14.986528451102334</v>
      </c>
      <c r="AA135" s="21">
        <f>EXP(-LN(2)/25)*AA134+(1-EXP(-LN(2)/25))/(LN(2)/25)*Calculateur!V135*Calculateur!X135*VLOOKUP('Données projet'!$B$9,Paramètres!$A$1:$I$89,3,0)*0.475*44/12</f>
        <v>1.2450039892959834</v>
      </c>
      <c r="AB135" s="21">
        <f>EXP(-LN(2)/2)*AB134+(1-EXP(-LN(2)/2))/(LN(2)/2)*V135*Y135*VLOOKUP('Données projet'!$B$9,Paramètres!$A$1:$I$89,3,0)*0.475*44/12</f>
        <v>3.466344271496163E-16</v>
      </c>
      <c r="AC135" s="22">
        <f t="shared" si="111"/>
        <v>16.231532440398318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1.1368683772161603E-13</v>
      </c>
      <c r="AJ135" s="13">
        <f>AI135*VLOOKUP('Données projet'!$B$10,Paramètres!$A$1:$I$89,3,0)*VLOOKUP('Données projet'!$B$10,Paramètres!$A$1:$I$89,5,0)</f>
        <v>6.7984728957526396E-14</v>
      </c>
      <c r="AK135" s="13">
        <f t="shared" si="143"/>
        <v>1.0682447123141398E-12</v>
      </c>
      <c r="AL135" s="20">
        <f t="shared" si="112"/>
        <v>1.978932943548152E-12</v>
      </c>
      <c r="AM135" s="59">
        <f t="shared" si="113"/>
        <v>293.3333333333353</v>
      </c>
      <c r="AN135" s="59">
        <f ca="1">AVERAGE(OFFSET($AM$3,0,0,'Données projet'!$E$10+1,1))-AVERAGE(OFFSET($H$3,0,0,'Données projet'!$E$10+1,1))</f>
        <v>149.5086927376081</v>
      </c>
      <c r="AO135" s="59">
        <f t="shared" si="144"/>
        <v>364.59164590134498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13.457320844296266</v>
      </c>
      <c r="AV135" s="21">
        <f>EXP(-LN(2)/25)*AV134+(1-EXP(-LN(2)/25))/(LN(2)/25)*Calculateur!AQ135*Calculateur!AS135*VLOOKUP('Données projet'!$B$10,Paramètres!$A$1:$I$89,3,0)*0.475*44/12</f>
        <v>1.1535209151943369</v>
      </c>
      <c r="AW135" s="21">
        <f>EXP(-LN(2)/2)*AW134+(1-EXP(-LN(2)/2))/(LN(2)/2)*AQ135*AT135*VLOOKUP('Données projet'!$B$10,Paramètres!$A$1:$I$89,3,0)*0.475*44/12</f>
        <v>2.6615682127082765E-16</v>
      </c>
      <c r="AX135" s="21">
        <f t="shared" si="114"/>
        <v>14.610841759490603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1.1368683772161603E-13</v>
      </c>
      <c r="BE135" s="13">
        <f>BD135*VLOOKUP('Données projet'!$B$11,Paramètres!$A$1:$I$89,3,0)*VLOOKUP('Données projet'!$B$11,Paramètres!$A$1:$I$89,5,0)</f>
        <v>6.7984728957526396E-14</v>
      </c>
      <c r="BF135" s="13">
        <f t="shared" si="145"/>
        <v>1.0682447123141398E-12</v>
      </c>
      <c r="BG135" s="20">
        <f t="shared" si="115"/>
        <v>1.978932943548152E-12</v>
      </c>
      <c r="BH135" s="59">
        <f t="shared" si="116"/>
        <v>293.3333333333353</v>
      </c>
      <c r="BI135" s="59">
        <f ca="1">AVERAGE(OFFSET($BH$3,0,0,'Données projet'!$E$11+1,1))-AVERAGE(OFFSET($H$3,0,0,'Données projet'!$E$11+1,1))</f>
        <v>149.5086927376081</v>
      </c>
      <c r="BJ135" s="59">
        <f t="shared" si="146"/>
        <v>364.59164590134498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13.457320844296266</v>
      </c>
      <c r="BQ135" s="21">
        <f>EXP(-LN(2)/25)*BQ134+(1-EXP(-LN(2)/25))/(LN(2)/25)*Calculateur!BL135*Calculateur!BN135*VLOOKUP('Données projet'!$B$11,Paramètres!$A$1:$I$89,3,0)*0.475*44/12</f>
        <v>1.1535209151943369</v>
      </c>
      <c r="BR135" s="21">
        <f>EXP(-LN(2)/2)*BR134+(1-EXP(-LN(2)/2))/(LN(2)/2)*BL135*BO135*VLOOKUP('Données projet'!$B$11,Paramètres!$A$1:$I$89,3,0)*0.475*44/12</f>
        <v>2.6615682127082765E-16</v>
      </c>
      <c r="BS135" s="22">
        <f t="shared" si="117"/>
        <v>14.610841759490603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455.20418759843233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5.6843418860808015E-14</v>
      </c>
      <c r="O136" s="13">
        <f>N136*VLOOKUP('Données projet'!$B$9,Paramètres!$A$1:$I$89,3,0)*VLOOKUP('Données projet'!$B$9,Paramètres!$A$1:$I$89,5,0)</f>
        <v>3.3992364478763198E-14</v>
      </c>
      <c r="P136" s="13">
        <f t="shared" si="141"/>
        <v>5.790027782444094E-13</v>
      </c>
      <c r="Q136" s="20">
        <f t="shared" si="108"/>
        <v>1.0676332069095257E-12</v>
      </c>
      <c r="R136" s="59">
        <f t="shared" si="109"/>
        <v>293.33333333333439</v>
      </c>
      <c r="S136" s="59">
        <f ca="1">AVERAGE(OFFSET($R$3,0,0,'Données projet'!$E$9+1,1))-AVERAGE(OFFSET($H$3,0,0,'Données projet'!$E$9+1,1))</f>
        <v>153.00981126776304</v>
      </c>
      <c r="T136" s="59">
        <f t="shared" si="142"/>
        <v>309.90400623462932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14.692651769055985</v>
      </c>
      <c r="AA136" s="21">
        <f>EXP(-LN(2)/25)*AA135+(1-EXP(-LN(2)/25))/(LN(2)/25)*Calculateur!V136*Calculateur!X136*VLOOKUP('Données projet'!$B$9,Paramètres!$A$1:$I$89,3,0)*0.475*44/12</f>
        <v>1.2109592897367705</v>
      </c>
      <c r="AB136" s="21">
        <f>EXP(-LN(2)/2)*AB135+(1-EXP(-LN(2)/2))/(LN(2)/2)*V136*Y136*VLOOKUP('Données projet'!$B$9,Paramètres!$A$1:$I$89,3,0)*0.475*44/12</f>
        <v>2.4510755403020798E-16</v>
      </c>
      <c r="AC136" s="22">
        <f t="shared" si="111"/>
        <v>15.903611058792755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1.1368683772161603E-13</v>
      </c>
      <c r="AJ136" s="13">
        <f>AI136*VLOOKUP('Données projet'!$B$10,Paramètres!$A$1:$I$89,3,0)*VLOOKUP('Données projet'!$B$10,Paramètres!$A$1:$I$89,5,0)</f>
        <v>6.7984728957526396E-14</v>
      </c>
      <c r="AK136" s="13">
        <f t="shared" si="143"/>
        <v>1.0682447123141398E-12</v>
      </c>
      <c r="AL136" s="20">
        <f t="shared" si="112"/>
        <v>1.978932943548152E-12</v>
      </c>
      <c r="AM136" s="59">
        <f t="shared" si="113"/>
        <v>293.3333333333353</v>
      </c>
      <c r="AN136" s="59">
        <f ca="1">AVERAGE(OFFSET($AM$3,0,0,'Données projet'!$E$10+1,1))-AVERAGE(OFFSET($H$3,0,0,'Données projet'!$E$10+1,1))</f>
        <v>149.5086927376081</v>
      </c>
      <c r="AO136" s="59">
        <f t="shared" si="144"/>
        <v>364.59164590134498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13.193430990694843</v>
      </c>
      <c r="AV136" s="21">
        <f>EXP(-LN(2)/25)*AV135+(1-EXP(-LN(2)/25))/(LN(2)/25)*Calculateur!AQ136*Calculateur!AS136*VLOOKUP('Données projet'!$B$10,Paramètres!$A$1:$I$89,3,0)*0.475*44/12</f>
        <v>1.1219778251073191</v>
      </c>
      <c r="AW136" s="21">
        <f>EXP(-LN(2)/2)*AW135+(1-EXP(-LN(2)/2))/(LN(2)/2)*AQ136*AT136*VLOOKUP('Données projet'!$B$10,Paramètres!$A$1:$I$89,3,0)*0.475*44/12</f>
        <v>1.8820129317965817E-16</v>
      </c>
      <c r="AX136" s="21">
        <f t="shared" si="114"/>
        <v>14.315408815802162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1.1368683772161603E-13</v>
      </c>
      <c r="BE136" s="13">
        <f>BD136*VLOOKUP('Données projet'!$B$11,Paramètres!$A$1:$I$89,3,0)*VLOOKUP('Données projet'!$B$11,Paramètres!$A$1:$I$89,5,0)</f>
        <v>6.7984728957526396E-14</v>
      </c>
      <c r="BF136" s="13">
        <f t="shared" si="145"/>
        <v>1.0682447123141398E-12</v>
      </c>
      <c r="BG136" s="20">
        <f t="shared" si="115"/>
        <v>1.978932943548152E-12</v>
      </c>
      <c r="BH136" s="59">
        <f t="shared" si="116"/>
        <v>293.3333333333353</v>
      </c>
      <c r="BI136" s="59">
        <f ca="1">AVERAGE(OFFSET($BH$3,0,0,'Données projet'!$E$11+1,1))-AVERAGE(OFFSET($H$3,0,0,'Données projet'!$E$11+1,1))</f>
        <v>149.5086927376081</v>
      </c>
      <c r="BJ136" s="59">
        <f t="shared" si="146"/>
        <v>364.59164590134498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13.193430990694843</v>
      </c>
      <c r="BQ136" s="21">
        <f>EXP(-LN(2)/25)*BQ135+(1-EXP(-LN(2)/25))/(LN(2)/25)*Calculateur!BL136*Calculateur!BN136*VLOOKUP('Données projet'!$B$11,Paramètres!$A$1:$I$89,3,0)*0.475*44/12</f>
        <v>1.1219778251073191</v>
      </c>
      <c r="BR136" s="21">
        <f>EXP(-LN(2)/2)*BR135+(1-EXP(-LN(2)/2))/(LN(2)/2)*BL136*BO136*VLOOKUP('Données projet'!$B$11,Paramètres!$A$1:$I$89,3,0)*0.475*44/12</f>
        <v>1.8820129317965817E-16</v>
      </c>
      <c r="BS136" s="22">
        <f t="shared" si="117"/>
        <v>14.315408815802162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456.39018223406657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5.6843418860808015E-14</v>
      </c>
      <c r="O137" s="13">
        <f>N137*VLOOKUP('Données projet'!$B$9,Paramètres!$A$1:$I$89,3,0)*VLOOKUP('Données projet'!$B$9,Paramètres!$A$1:$I$89,5,0)</f>
        <v>3.3992364478763198E-14</v>
      </c>
      <c r="P137" s="13">
        <f t="shared" si="141"/>
        <v>5.790027782444094E-13</v>
      </c>
      <c r="Q137" s="20">
        <f t="shared" si="108"/>
        <v>1.0676332069095257E-12</v>
      </c>
      <c r="R137" s="59">
        <f t="shared" si="109"/>
        <v>293.33333333333439</v>
      </c>
      <c r="S137" s="59">
        <f ca="1">AVERAGE(OFFSET($R$3,0,0,'Données projet'!$E$9+1,1))-AVERAGE(OFFSET($H$3,0,0,'Données projet'!$E$9+1,1))</f>
        <v>153.00981126776304</v>
      </c>
      <c r="T137" s="59">
        <f t="shared" si="142"/>
        <v>309.90400623462932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14.404537829497489</v>
      </c>
      <c r="AA137" s="21">
        <f>EXP(-LN(2)/25)*AA136+(1-EXP(-LN(2)/25))/(LN(2)/25)*Calculateur!V137*Calculateur!X137*VLOOKUP('Données projet'!$B$9,Paramètres!$A$1:$I$89,3,0)*0.475*44/12</f>
        <v>1.1778455442773372</v>
      </c>
      <c r="AB137" s="21">
        <f>EXP(-LN(2)/2)*AB136+(1-EXP(-LN(2)/2))/(LN(2)/2)*V137*Y137*VLOOKUP('Données projet'!$B$9,Paramètres!$A$1:$I$89,3,0)*0.475*44/12</f>
        <v>1.7331721357480815E-16</v>
      </c>
      <c r="AC137" s="22">
        <f t="shared" si="111"/>
        <v>15.582383373774826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1.1368683772161603E-13</v>
      </c>
      <c r="AJ137" s="13">
        <f>AI137*VLOOKUP('Données projet'!$B$10,Paramètres!$A$1:$I$89,3,0)*VLOOKUP('Données projet'!$B$10,Paramètres!$A$1:$I$89,5,0)</f>
        <v>6.7984728957526396E-14</v>
      </c>
      <c r="AK137" s="13">
        <f t="shared" si="143"/>
        <v>1.0682447123141398E-12</v>
      </c>
      <c r="AL137" s="20">
        <f t="shared" si="112"/>
        <v>1.978932943548152E-12</v>
      </c>
      <c r="AM137" s="59">
        <f t="shared" si="113"/>
        <v>293.3333333333353</v>
      </c>
      <c r="AN137" s="59">
        <f ca="1">AVERAGE(OFFSET($AM$3,0,0,'Données projet'!$E$10+1,1))-AVERAGE(OFFSET($H$3,0,0,'Données projet'!$E$10+1,1))</f>
        <v>149.5086927376081</v>
      </c>
      <c r="AO137" s="59">
        <f t="shared" si="144"/>
        <v>364.59164590134498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12.934715856165626</v>
      </c>
      <c r="AV137" s="21">
        <f>EXP(-LN(2)/25)*AV136+(1-EXP(-LN(2)/25))/(LN(2)/25)*Calculateur!AQ137*Calculateur!AS137*VLOOKUP('Données projet'!$B$10,Paramètres!$A$1:$I$89,3,0)*0.475*44/12</f>
        <v>1.09129728247751</v>
      </c>
      <c r="AW137" s="21">
        <f>EXP(-LN(2)/2)*AW136+(1-EXP(-LN(2)/2))/(LN(2)/2)*AQ137*AT137*VLOOKUP('Données projet'!$B$10,Paramètres!$A$1:$I$89,3,0)*0.475*44/12</f>
        <v>1.3307841063541383E-16</v>
      </c>
      <c r="AX137" s="21">
        <f t="shared" si="114"/>
        <v>14.026013138643137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1.1368683772161603E-13</v>
      </c>
      <c r="BE137" s="13">
        <f>BD137*VLOOKUP('Données projet'!$B$11,Paramètres!$A$1:$I$89,3,0)*VLOOKUP('Données projet'!$B$11,Paramètres!$A$1:$I$89,5,0)</f>
        <v>6.7984728957526396E-14</v>
      </c>
      <c r="BF137" s="13">
        <f t="shared" si="145"/>
        <v>1.0682447123141398E-12</v>
      </c>
      <c r="BG137" s="20">
        <f t="shared" si="115"/>
        <v>1.978932943548152E-12</v>
      </c>
      <c r="BH137" s="59">
        <f t="shared" si="116"/>
        <v>293.3333333333353</v>
      </c>
      <c r="BI137" s="59">
        <f ca="1">AVERAGE(OFFSET($BH$3,0,0,'Données projet'!$E$11+1,1))-AVERAGE(OFFSET($H$3,0,0,'Données projet'!$E$11+1,1))</f>
        <v>149.5086927376081</v>
      </c>
      <c r="BJ137" s="59">
        <f t="shared" si="146"/>
        <v>364.59164590134498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12.934715856165626</v>
      </c>
      <c r="BQ137" s="21">
        <f>EXP(-LN(2)/25)*BQ136+(1-EXP(-LN(2)/25))/(LN(2)/25)*Calculateur!BL137*Calculateur!BN137*VLOOKUP('Données projet'!$B$11,Paramètres!$A$1:$I$89,3,0)*0.475*44/12</f>
        <v>1.09129728247751</v>
      </c>
      <c r="BR137" s="21">
        <f>EXP(-LN(2)/2)*BR136+(1-EXP(-LN(2)/2))/(LN(2)/2)*BL137*BO137*VLOOKUP('Données projet'!$B$11,Paramètres!$A$1:$I$89,3,0)*0.475*44/12</f>
        <v>1.3307841063541383E-16</v>
      </c>
      <c r="BS137" s="22">
        <f t="shared" si="117"/>
        <v>14.026013138643137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457.57597278324812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5.6843418860808015E-14</v>
      </c>
      <c r="O138" s="13">
        <f>N138*VLOOKUP('Données projet'!$B$9,Paramètres!$A$1:$I$89,3,0)*VLOOKUP('Données projet'!$B$9,Paramètres!$A$1:$I$89,5,0)</f>
        <v>3.3992364478763198E-14</v>
      </c>
      <c r="P138" s="13">
        <f t="shared" si="141"/>
        <v>5.790027782444094E-13</v>
      </c>
      <c r="Q138" s="20">
        <f t="shared" si="108"/>
        <v>1.0676332069095257E-12</v>
      </c>
      <c r="R138" s="59">
        <f t="shared" si="109"/>
        <v>293.33333333333439</v>
      </c>
      <c r="S138" s="59">
        <f ca="1">AVERAGE(OFFSET($R$3,0,0,'Données projet'!$E$9+1,1))-AVERAGE(OFFSET($H$3,0,0,'Données projet'!$E$9+1,1))</f>
        <v>153.00981126776304</v>
      </c>
      <c r="T138" s="59">
        <f t="shared" si="142"/>
        <v>309.90400623462932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14.122073628561584</v>
      </c>
      <c r="AA138" s="21">
        <f>EXP(-LN(2)/25)*AA137+(1-EXP(-LN(2)/25))/(LN(2)/25)*Calculateur!V138*Calculateur!X138*VLOOKUP('Données projet'!$B$9,Paramètres!$A$1:$I$89,3,0)*0.475*44/12</f>
        <v>1.1456372959288683</v>
      </c>
      <c r="AB138" s="21">
        <f>EXP(-LN(2)/2)*AB137+(1-EXP(-LN(2)/2))/(LN(2)/2)*V138*Y138*VLOOKUP('Données projet'!$B$9,Paramètres!$A$1:$I$89,3,0)*0.475*44/12</f>
        <v>1.2255377701510399E-16</v>
      </c>
      <c r="AC138" s="22">
        <f t="shared" si="111"/>
        <v>15.267710924490451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1.1368683772161603E-13</v>
      </c>
      <c r="AJ138" s="13">
        <f>AI138*VLOOKUP('Données projet'!$B$10,Paramètres!$A$1:$I$89,3,0)*VLOOKUP('Données projet'!$B$10,Paramètres!$A$1:$I$89,5,0)</f>
        <v>6.7984728957526396E-14</v>
      </c>
      <c r="AK138" s="13">
        <f t="shared" si="143"/>
        <v>1.0682447123141398E-12</v>
      </c>
      <c r="AL138" s="20">
        <f t="shared" si="112"/>
        <v>1.978932943548152E-12</v>
      </c>
      <c r="AM138" s="59">
        <f t="shared" si="113"/>
        <v>293.3333333333353</v>
      </c>
      <c r="AN138" s="59">
        <f ca="1">AVERAGE(OFFSET($AM$3,0,0,'Données projet'!$E$10+1,1))-AVERAGE(OFFSET($H$3,0,0,'Données projet'!$E$10+1,1))</f>
        <v>149.5086927376081</v>
      </c>
      <c r="AO138" s="59">
        <f t="shared" si="144"/>
        <v>364.59164590134498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12.681073967623878</v>
      </c>
      <c r="AV138" s="21">
        <f>EXP(-LN(2)/25)*AV137+(1-EXP(-LN(2)/25))/(LN(2)/25)*Calculateur!AQ138*Calculateur!AS138*VLOOKUP('Données projet'!$B$10,Paramètres!$A$1:$I$89,3,0)*0.475*44/12</f>
        <v>1.0614557008993326</v>
      </c>
      <c r="AW138" s="21">
        <f>EXP(-LN(2)/2)*AW137+(1-EXP(-LN(2)/2))/(LN(2)/2)*AQ138*AT138*VLOOKUP('Données projet'!$B$10,Paramètres!$A$1:$I$89,3,0)*0.475*44/12</f>
        <v>9.4100646589829085E-17</v>
      </c>
      <c r="AX138" s="21">
        <f t="shared" si="114"/>
        <v>13.742529668523209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1.1368683772161603E-13</v>
      </c>
      <c r="BE138" s="13">
        <f>BD138*VLOOKUP('Données projet'!$B$11,Paramètres!$A$1:$I$89,3,0)*VLOOKUP('Données projet'!$B$11,Paramètres!$A$1:$I$89,5,0)</f>
        <v>6.7984728957526396E-14</v>
      </c>
      <c r="BF138" s="13">
        <f t="shared" si="145"/>
        <v>1.0682447123141398E-12</v>
      </c>
      <c r="BG138" s="20">
        <f t="shared" si="115"/>
        <v>1.978932943548152E-12</v>
      </c>
      <c r="BH138" s="59">
        <f t="shared" si="116"/>
        <v>293.3333333333353</v>
      </c>
      <c r="BI138" s="59">
        <f ca="1">AVERAGE(OFFSET($BH$3,0,0,'Données projet'!$E$11+1,1))-AVERAGE(OFFSET($H$3,0,0,'Données projet'!$E$11+1,1))</f>
        <v>149.5086927376081</v>
      </c>
      <c r="BJ138" s="59">
        <f t="shared" si="146"/>
        <v>364.59164590134498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12.681073967623878</v>
      </c>
      <c r="BQ138" s="21">
        <f>EXP(-LN(2)/25)*BQ137+(1-EXP(-LN(2)/25))/(LN(2)/25)*Calculateur!BL138*Calculateur!BN138*VLOOKUP('Données projet'!$B$11,Paramètres!$A$1:$I$89,3,0)*0.475*44/12</f>
        <v>1.0614557008993326</v>
      </c>
      <c r="BR138" s="21">
        <f>EXP(-LN(2)/2)*BR137+(1-EXP(-LN(2)/2))/(LN(2)/2)*BL138*BO138*VLOOKUP('Données projet'!$B$11,Paramètres!$A$1:$I$89,3,0)*0.475*44/12</f>
        <v>9.4100646589829085E-17</v>
      </c>
      <c r="BS138" s="22">
        <f t="shared" si="117"/>
        <v>13.742529668523209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458.76156093300006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5.6843418860808015E-14</v>
      </c>
      <c r="O139" s="13">
        <f>N139*VLOOKUP('Données projet'!$B$9,Paramètres!$A$1:$I$89,3,0)*VLOOKUP('Données projet'!$B$9,Paramètres!$A$1:$I$89,5,0)</f>
        <v>3.3992364478763198E-14</v>
      </c>
      <c r="P139" s="13">
        <f t="shared" si="141"/>
        <v>5.790027782444094E-13</v>
      </c>
      <c r="Q139" s="20">
        <f t="shared" si="108"/>
        <v>1.0676332069095257E-12</v>
      </c>
      <c r="R139" s="59">
        <f t="shared" si="109"/>
        <v>293.33333333333439</v>
      </c>
      <c r="S139" s="59">
        <f ca="1">AVERAGE(OFFSET($R$3,0,0,'Données projet'!$E$9+1,1))-AVERAGE(OFFSET($H$3,0,0,'Données projet'!$E$9+1,1))</f>
        <v>153.00981126776304</v>
      </c>
      <c r="T139" s="59">
        <f t="shared" si="142"/>
        <v>309.90400623462932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13.84514837831988</v>
      </c>
      <c r="AA139" s="21">
        <f>EXP(-LN(2)/25)*AA138+(1-EXP(-LN(2)/25))/(LN(2)/25)*Calculateur!V139*Calculateur!X139*VLOOKUP('Données projet'!$B$9,Paramètres!$A$1:$I$89,3,0)*0.475*44/12</f>
        <v>1.1143097838252465</v>
      </c>
      <c r="AB139" s="21">
        <f>EXP(-LN(2)/2)*AB138+(1-EXP(-LN(2)/2))/(LN(2)/2)*V139*Y139*VLOOKUP('Données projet'!$B$9,Paramètres!$A$1:$I$89,3,0)*0.475*44/12</f>
        <v>8.6658606787404075E-17</v>
      </c>
      <c r="AC139" s="22">
        <f t="shared" si="111"/>
        <v>14.959458162145127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1.1368683772161603E-13</v>
      </c>
      <c r="AJ139" s="13">
        <f>AI139*VLOOKUP('Données projet'!$B$10,Paramètres!$A$1:$I$89,3,0)*VLOOKUP('Données projet'!$B$10,Paramètres!$A$1:$I$89,5,0)</f>
        <v>6.7984728957526396E-14</v>
      </c>
      <c r="AK139" s="13">
        <f t="shared" si="143"/>
        <v>1.0682447123141398E-12</v>
      </c>
      <c r="AL139" s="20">
        <f t="shared" si="112"/>
        <v>1.978932943548152E-12</v>
      </c>
      <c r="AM139" s="59">
        <f t="shared" si="113"/>
        <v>293.3333333333353</v>
      </c>
      <c r="AN139" s="59">
        <f ca="1">AVERAGE(OFFSET($AM$3,0,0,'Données projet'!$E$10+1,1))-AVERAGE(OFFSET($H$3,0,0,'Données projet'!$E$10+1,1))</f>
        <v>149.5086927376081</v>
      </c>
      <c r="AO139" s="59">
        <f t="shared" si="144"/>
        <v>364.59164590134498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12.432405841810157</v>
      </c>
      <c r="AV139" s="21">
        <f>EXP(-LN(2)/25)*AV138+(1-EXP(-LN(2)/25))/(LN(2)/25)*Calculateur!AQ139*Calculateur!AS139*VLOOKUP('Données projet'!$B$10,Paramètres!$A$1:$I$89,3,0)*0.475*44/12</f>
        <v>1.0324301389387109</v>
      </c>
      <c r="AW139" s="21">
        <f>EXP(-LN(2)/2)*AW138+(1-EXP(-LN(2)/2))/(LN(2)/2)*AQ139*AT139*VLOOKUP('Données projet'!$B$10,Paramètres!$A$1:$I$89,3,0)*0.475*44/12</f>
        <v>6.6539205317706913E-17</v>
      </c>
      <c r="AX139" s="21">
        <f t="shared" si="114"/>
        <v>13.464835980748868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1.1368683772161603E-13</v>
      </c>
      <c r="BE139" s="13">
        <f>BD139*VLOOKUP('Données projet'!$B$11,Paramètres!$A$1:$I$89,3,0)*VLOOKUP('Données projet'!$B$11,Paramètres!$A$1:$I$89,5,0)</f>
        <v>6.7984728957526396E-14</v>
      </c>
      <c r="BF139" s="13">
        <f t="shared" si="145"/>
        <v>1.0682447123141398E-12</v>
      </c>
      <c r="BG139" s="20">
        <f t="shared" si="115"/>
        <v>1.978932943548152E-12</v>
      </c>
      <c r="BH139" s="59">
        <f t="shared" si="116"/>
        <v>293.3333333333353</v>
      </c>
      <c r="BI139" s="59">
        <f ca="1">AVERAGE(OFFSET($BH$3,0,0,'Données projet'!$E$11+1,1))-AVERAGE(OFFSET($H$3,0,0,'Données projet'!$E$11+1,1))</f>
        <v>149.5086927376081</v>
      </c>
      <c r="BJ139" s="59">
        <f t="shared" si="146"/>
        <v>364.59164590134498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12.432405841810157</v>
      </c>
      <c r="BQ139" s="21">
        <f>EXP(-LN(2)/25)*BQ138+(1-EXP(-LN(2)/25))/(LN(2)/25)*Calculateur!BL139*Calculateur!BN139*VLOOKUP('Données projet'!$B$11,Paramètres!$A$1:$I$89,3,0)*0.475*44/12</f>
        <v>1.0324301389387109</v>
      </c>
      <c r="BR139" s="21">
        <f>EXP(-LN(2)/2)*BR138+(1-EXP(-LN(2)/2))/(LN(2)/2)*BL139*BO139*VLOOKUP('Données projet'!$B$11,Paramètres!$A$1:$I$89,3,0)*0.475*44/12</f>
        <v>6.6539205317706913E-17</v>
      </c>
      <c r="BS139" s="22">
        <f t="shared" si="117"/>
        <v>13.464835980748868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459.94694834410268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5.6843418860808015E-14</v>
      </c>
      <c r="O140" s="13">
        <f>N140*VLOOKUP('Données projet'!$B$9,Paramètres!$A$1:$I$89,3,0)*VLOOKUP('Données projet'!$B$9,Paramètres!$A$1:$I$89,5,0)</f>
        <v>3.3992364478763198E-14</v>
      </c>
      <c r="P140" s="13">
        <f t="shared" si="141"/>
        <v>5.790027782444094E-13</v>
      </c>
      <c r="Q140" s="20">
        <f t="shared" si="108"/>
        <v>1.0676332069095257E-12</v>
      </c>
      <c r="R140" s="59">
        <f t="shared" si="109"/>
        <v>293.33333333333439</v>
      </c>
      <c r="S140" s="59">
        <f ca="1">AVERAGE(OFFSET($R$3,0,0,'Données projet'!$E$9+1,1))-AVERAGE(OFFSET($H$3,0,0,'Données projet'!$E$9+1,1))</f>
        <v>153.00981126776304</v>
      </c>
      <c r="T140" s="59">
        <f t="shared" si="142"/>
        <v>309.90400623462932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13.573653463327693</v>
      </c>
      <c r="AA140" s="21">
        <f>EXP(-LN(2)/25)*AA139+(1-EXP(-LN(2)/25))/(LN(2)/25)*Calculateur!V140*Calculateur!X140*VLOOKUP('Données projet'!$B$9,Paramètres!$A$1:$I$89,3,0)*0.475*44/12</f>
        <v>1.0838389241875404</v>
      </c>
      <c r="AB140" s="21">
        <f>EXP(-LN(2)/2)*AB139+(1-EXP(-LN(2)/2))/(LN(2)/2)*V140*Y140*VLOOKUP('Données projet'!$B$9,Paramètres!$A$1:$I$89,3,0)*0.475*44/12</f>
        <v>6.1276888507551995E-17</v>
      </c>
      <c r="AC140" s="22">
        <f t="shared" si="111"/>
        <v>14.657492387515234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1.1368683772161603E-13</v>
      </c>
      <c r="AJ140" s="13">
        <f>AI140*VLOOKUP('Données projet'!$B$10,Paramètres!$A$1:$I$89,3,0)*VLOOKUP('Données projet'!$B$10,Paramètres!$A$1:$I$89,5,0)</f>
        <v>6.7984728957526396E-14</v>
      </c>
      <c r="AK140" s="13">
        <f t="shared" si="143"/>
        <v>1.0682447123141398E-12</v>
      </c>
      <c r="AL140" s="20">
        <f t="shared" si="112"/>
        <v>1.978932943548152E-12</v>
      </c>
      <c r="AM140" s="59">
        <f t="shared" si="113"/>
        <v>293.3333333333353</v>
      </c>
      <c r="AN140" s="59">
        <f ca="1">AVERAGE(OFFSET($AM$3,0,0,'Données projet'!$E$10+1,1))-AVERAGE(OFFSET($H$3,0,0,'Données projet'!$E$10+1,1))</f>
        <v>149.5086927376081</v>
      </c>
      <c r="AO140" s="59">
        <f t="shared" si="144"/>
        <v>364.59164590134498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12.188613946271062</v>
      </c>
      <c r="AV140" s="21">
        <f>EXP(-LN(2)/25)*AV139+(1-EXP(-LN(2)/25))/(LN(2)/25)*Calculateur!AQ140*Calculateur!AS140*VLOOKUP('Données projet'!$B$10,Paramètres!$A$1:$I$89,3,0)*0.475*44/12</f>
        <v>1.0041982824962905</v>
      </c>
      <c r="AW140" s="21">
        <f>EXP(-LN(2)/2)*AW139+(1-EXP(-LN(2)/2))/(LN(2)/2)*AQ140*AT140*VLOOKUP('Données projet'!$B$10,Paramètres!$A$1:$I$89,3,0)*0.475*44/12</f>
        <v>4.7050323294914543E-17</v>
      </c>
      <c r="AX140" s="21">
        <f t="shared" si="114"/>
        <v>13.192812228767352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1.1368683772161603E-13</v>
      </c>
      <c r="BE140" s="13">
        <f>BD140*VLOOKUP('Données projet'!$B$11,Paramètres!$A$1:$I$89,3,0)*VLOOKUP('Données projet'!$B$11,Paramètres!$A$1:$I$89,5,0)</f>
        <v>6.7984728957526396E-14</v>
      </c>
      <c r="BF140" s="13">
        <f t="shared" si="145"/>
        <v>1.0682447123141398E-12</v>
      </c>
      <c r="BG140" s="20">
        <f t="shared" si="115"/>
        <v>1.978932943548152E-12</v>
      </c>
      <c r="BH140" s="59">
        <f t="shared" si="116"/>
        <v>293.3333333333353</v>
      </c>
      <c r="BI140" s="59">
        <f ca="1">AVERAGE(OFFSET($BH$3,0,0,'Données projet'!$E$11+1,1))-AVERAGE(OFFSET($H$3,0,0,'Données projet'!$E$11+1,1))</f>
        <v>149.5086927376081</v>
      </c>
      <c r="BJ140" s="59">
        <f t="shared" si="146"/>
        <v>364.59164590134498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12.188613946271062</v>
      </c>
      <c r="BQ140" s="21">
        <f>EXP(-LN(2)/25)*BQ139+(1-EXP(-LN(2)/25))/(LN(2)/25)*Calculateur!BL140*Calculateur!BN140*VLOOKUP('Données projet'!$B$11,Paramètres!$A$1:$I$89,3,0)*0.475*44/12</f>
        <v>1.0041982824962905</v>
      </c>
      <c r="BR140" s="21">
        <f>EXP(-LN(2)/2)*BR139+(1-EXP(-LN(2)/2))/(LN(2)/2)*BL140*BO140*VLOOKUP('Données projet'!$B$11,Paramètres!$A$1:$I$89,3,0)*0.475*44/12</f>
        <v>4.7050323294914543E-17</v>
      </c>
      <c r="BS140" s="22">
        <f t="shared" si="117"/>
        <v>13.192812228767352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461.13213665169064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5.6843418860808015E-14</v>
      </c>
      <c r="O141" s="13">
        <f>N141*VLOOKUP('Données projet'!$B$9,Paramètres!$A$1:$I$89,3,0)*VLOOKUP('Données projet'!$B$9,Paramètres!$A$1:$I$89,5,0)</f>
        <v>3.3992364478763198E-14</v>
      </c>
      <c r="P141" s="13">
        <f t="shared" si="141"/>
        <v>5.790027782444094E-13</v>
      </c>
      <c r="Q141" s="20">
        <f t="shared" si="108"/>
        <v>1.0676332069095257E-12</v>
      </c>
      <c r="R141" s="59">
        <f t="shared" si="109"/>
        <v>293.33333333333439</v>
      </c>
      <c r="S141" s="59">
        <f ca="1">AVERAGE(OFFSET($R$3,0,0,'Données projet'!$E$9+1,1))-AVERAGE(OFFSET($H$3,0,0,'Données projet'!$E$9+1,1))</f>
        <v>153.00981126776304</v>
      </c>
      <c r="T141" s="59">
        <f t="shared" si="142"/>
        <v>309.90400623462932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13.307482398022955</v>
      </c>
      <c r="AA141" s="21">
        <f>EXP(-LN(2)/25)*AA140+(1-EXP(-LN(2)/25))/(LN(2)/25)*Calculateur!V141*Calculateur!X141*VLOOKUP('Données projet'!$B$9,Paramètres!$A$1:$I$89,3,0)*0.475*44/12</f>
        <v>1.0542012918090202</v>
      </c>
      <c r="AB141" s="21">
        <f>EXP(-LN(2)/2)*AB140+(1-EXP(-LN(2)/2))/(LN(2)/2)*V141*Y141*VLOOKUP('Données projet'!$B$9,Paramètres!$A$1:$I$89,3,0)*0.475*44/12</f>
        <v>4.3329303393702038E-17</v>
      </c>
      <c r="AC141" s="22">
        <f t="shared" si="111"/>
        <v>14.361683689831976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1.1368683772161603E-13</v>
      </c>
      <c r="AJ141" s="13">
        <f>AI141*VLOOKUP('Données projet'!$B$10,Paramètres!$A$1:$I$89,3,0)*VLOOKUP('Données projet'!$B$10,Paramètres!$A$1:$I$89,5,0)</f>
        <v>6.7984728957526396E-14</v>
      </c>
      <c r="AK141" s="13">
        <f t="shared" si="143"/>
        <v>1.0682447123141398E-12</v>
      </c>
      <c r="AL141" s="20">
        <f t="shared" si="112"/>
        <v>1.978932943548152E-12</v>
      </c>
      <c r="AM141" s="59">
        <f t="shared" si="113"/>
        <v>293.3333333333353</v>
      </c>
      <c r="AN141" s="59">
        <f ca="1">AVERAGE(OFFSET($AM$3,0,0,'Données projet'!$E$10+1,1))-AVERAGE(OFFSET($H$3,0,0,'Données projet'!$E$10+1,1))</f>
        <v>149.5086927376081</v>
      </c>
      <c r="AO141" s="59">
        <f t="shared" si="144"/>
        <v>364.59164590134498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11.949602661105116</v>
      </c>
      <c r="AV141" s="21">
        <f>EXP(-LN(2)/25)*AV140+(1-EXP(-LN(2)/25))/(LN(2)/25)*Calculateur!AQ141*Calculateur!AS141*VLOOKUP('Données projet'!$B$10,Paramètres!$A$1:$I$89,3,0)*0.475*44/12</f>
        <v>0.97673842765293695</v>
      </c>
      <c r="AW141" s="21">
        <f>EXP(-LN(2)/2)*AW140+(1-EXP(-LN(2)/2))/(LN(2)/2)*AQ141*AT141*VLOOKUP('Données projet'!$B$10,Paramètres!$A$1:$I$89,3,0)*0.475*44/12</f>
        <v>3.3269602658853457E-17</v>
      </c>
      <c r="AX141" s="21">
        <f t="shared" si="114"/>
        <v>12.926341088758052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1.1368683772161603E-13</v>
      </c>
      <c r="BE141" s="13">
        <f>BD141*VLOOKUP('Données projet'!$B$11,Paramètres!$A$1:$I$89,3,0)*VLOOKUP('Données projet'!$B$11,Paramètres!$A$1:$I$89,5,0)</f>
        <v>6.7984728957526396E-14</v>
      </c>
      <c r="BF141" s="13">
        <f t="shared" si="145"/>
        <v>1.0682447123141398E-12</v>
      </c>
      <c r="BG141" s="20">
        <f t="shared" si="115"/>
        <v>1.978932943548152E-12</v>
      </c>
      <c r="BH141" s="59">
        <f t="shared" si="116"/>
        <v>293.3333333333353</v>
      </c>
      <c r="BI141" s="59">
        <f ca="1">AVERAGE(OFFSET($BH$3,0,0,'Données projet'!$E$11+1,1))-AVERAGE(OFFSET($H$3,0,0,'Données projet'!$E$11+1,1))</f>
        <v>149.5086927376081</v>
      </c>
      <c r="BJ141" s="59">
        <f t="shared" si="146"/>
        <v>364.59164590134498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11.949602661105116</v>
      </c>
      <c r="BQ141" s="21">
        <f>EXP(-LN(2)/25)*BQ140+(1-EXP(-LN(2)/25))/(LN(2)/25)*Calculateur!BL141*Calculateur!BN141*VLOOKUP('Données projet'!$B$11,Paramètres!$A$1:$I$89,3,0)*0.475*44/12</f>
        <v>0.97673842765293695</v>
      </c>
      <c r="BR141" s="21">
        <f>EXP(-LN(2)/2)*BR140+(1-EXP(-LN(2)/2))/(LN(2)/2)*BL141*BO141*VLOOKUP('Données projet'!$B$11,Paramètres!$A$1:$I$89,3,0)*0.475*44/12</f>
        <v>3.3269602658853457E-17</v>
      </c>
      <c r="BS141" s="22">
        <f t="shared" si="117"/>
        <v>12.926341088758052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462.31712746583173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5.6843418860808015E-14</v>
      </c>
      <c r="O142" s="13">
        <f>N142*VLOOKUP('Données projet'!$B$9,Paramètres!$A$1:$I$89,3,0)*VLOOKUP('Données projet'!$B$9,Paramètres!$A$1:$I$89,5,0)</f>
        <v>3.3992364478763198E-14</v>
      </c>
      <c r="P142" s="13">
        <f t="shared" si="141"/>
        <v>5.790027782444094E-13</v>
      </c>
      <c r="Q142" s="20">
        <f t="shared" si="108"/>
        <v>1.0676332069095257E-12</v>
      </c>
      <c r="R142" s="59">
        <f t="shared" si="109"/>
        <v>293.33333333333439</v>
      </c>
      <c r="S142" s="59">
        <f ca="1">AVERAGE(OFFSET($R$3,0,0,'Données projet'!$E$9+1,1))-AVERAGE(OFFSET($H$3,0,0,'Données projet'!$E$9+1,1))</f>
        <v>153.00981126776304</v>
      </c>
      <c r="T142" s="59">
        <f t="shared" si="142"/>
        <v>309.90400623462932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13.046530784960524</v>
      </c>
      <c r="AA142" s="21">
        <f>EXP(-LN(2)/25)*AA141+(1-EXP(-LN(2)/25))/(LN(2)/25)*Calculateur!V142*Calculateur!X142*VLOOKUP('Données projet'!$B$9,Paramètres!$A$1:$I$89,3,0)*0.475*44/12</f>
        <v>1.025374102046466</v>
      </c>
      <c r="AB142" s="21">
        <f>EXP(-LN(2)/2)*AB141+(1-EXP(-LN(2)/2))/(LN(2)/2)*V142*Y142*VLOOKUP('Données projet'!$B$9,Paramètres!$A$1:$I$89,3,0)*0.475*44/12</f>
        <v>3.0638444253775997E-17</v>
      </c>
      <c r="AC142" s="22">
        <f t="shared" si="111"/>
        <v>14.07190488700699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1.1368683772161603E-13</v>
      </c>
      <c r="AJ142" s="13">
        <f>AI142*VLOOKUP('Données projet'!$B$10,Paramètres!$A$1:$I$89,3,0)*VLOOKUP('Données projet'!$B$10,Paramètres!$A$1:$I$89,5,0)</f>
        <v>6.7984728957526396E-14</v>
      </c>
      <c r="AK142" s="13">
        <f t="shared" si="143"/>
        <v>1.0682447123141398E-12</v>
      </c>
      <c r="AL142" s="20">
        <f t="shared" si="112"/>
        <v>1.978932943548152E-12</v>
      </c>
      <c r="AM142" s="59">
        <f t="shared" si="113"/>
        <v>293.3333333333353</v>
      </c>
      <c r="AN142" s="59">
        <f ca="1">AVERAGE(OFFSET($AM$3,0,0,'Données projet'!$E$10+1,1))-AVERAGE(OFFSET($H$3,0,0,'Données projet'!$E$10+1,1))</f>
        <v>149.5086927376081</v>
      </c>
      <c r="AO142" s="59">
        <f t="shared" si="144"/>
        <v>364.59164590134498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11.715278241458785</v>
      </c>
      <c r="AV142" s="21">
        <f>EXP(-LN(2)/25)*AV141+(1-EXP(-LN(2)/25))/(LN(2)/25)*Calculateur!AQ142*Calculateur!AS142*VLOOKUP('Données projet'!$B$10,Paramètres!$A$1:$I$89,3,0)*0.475*44/12</f>
        <v>0.95002946398432586</v>
      </c>
      <c r="AW142" s="21">
        <f>EXP(-LN(2)/2)*AW141+(1-EXP(-LN(2)/2))/(LN(2)/2)*AQ142*AT142*VLOOKUP('Données projet'!$B$10,Paramètres!$A$1:$I$89,3,0)*0.475*44/12</f>
        <v>2.3525161647457271E-17</v>
      </c>
      <c r="AX142" s="21">
        <f t="shared" si="114"/>
        <v>12.66530770544311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1.1368683772161603E-13</v>
      </c>
      <c r="BE142" s="13">
        <f>BD142*VLOOKUP('Données projet'!$B$11,Paramètres!$A$1:$I$89,3,0)*VLOOKUP('Données projet'!$B$11,Paramètres!$A$1:$I$89,5,0)</f>
        <v>6.7984728957526396E-14</v>
      </c>
      <c r="BF142" s="13">
        <f t="shared" si="145"/>
        <v>1.0682447123141398E-12</v>
      </c>
      <c r="BG142" s="20">
        <f t="shared" si="115"/>
        <v>1.978932943548152E-12</v>
      </c>
      <c r="BH142" s="59">
        <f t="shared" si="116"/>
        <v>293.3333333333353</v>
      </c>
      <c r="BI142" s="59">
        <f ca="1">AVERAGE(OFFSET($BH$3,0,0,'Données projet'!$E$11+1,1))-AVERAGE(OFFSET($H$3,0,0,'Données projet'!$E$11+1,1))</f>
        <v>149.5086927376081</v>
      </c>
      <c r="BJ142" s="59">
        <f t="shared" si="146"/>
        <v>364.59164590134498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11.715278241458785</v>
      </c>
      <c r="BQ142" s="21">
        <f>EXP(-LN(2)/25)*BQ141+(1-EXP(-LN(2)/25))/(LN(2)/25)*Calculateur!BL142*Calculateur!BN142*VLOOKUP('Données projet'!$B$11,Paramètres!$A$1:$I$89,3,0)*0.475*44/12</f>
        <v>0.95002946398432586</v>
      </c>
      <c r="BR142" s="21">
        <f>EXP(-LN(2)/2)*BR141+(1-EXP(-LN(2)/2))/(LN(2)/2)*BL142*BO142*VLOOKUP('Données projet'!$B$11,Paramètres!$A$1:$I$89,3,0)*0.475*44/12</f>
        <v>2.3525161647457271E-17</v>
      </c>
      <c r="BS142" s="22">
        <f t="shared" si="117"/>
        <v>12.66530770544311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463.50192237208853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5.6843418860808015E-14</v>
      </c>
      <c r="O143" s="13">
        <f>N143*VLOOKUP('Données projet'!$B$9,Paramètres!$A$1:$I$89,3,0)*VLOOKUP('Données projet'!$B$9,Paramètres!$A$1:$I$89,5,0)</f>
        <v>3.3992364478763198E-14</v>
      </c>
      <c r="P143" s="13">
        <f t="shared" si="141"/>
        <v>5.790027782444094E-13</v>
      </c>
      <c r="Q143" s="20">
        <f t="shared" si="108"/>
        <v>1.0676332069095257E-12</v>
      </c>
      <c r="R143" s="59">
        <f t="shared" si="109"/>
        <v>293.33333333333439</v>
      </c>
      <c r="S143" s="59">
        <f ca="1">AVERAGE(OFFSET($R$3,0,0,'Données projet'!$E$9+1,1))-AVERAGE(OFFSET($H$3,0,0,'Données projet'!$E$9+1,1))</f>
        <v>153.00981126776304</v>
      </c>
      <c r="T143" s="59">
        <f t="shared" si="142"/>
        <v>309.90400623462932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12.79069627386548</v>
      </c>
      <c r="AA143" s="21">
        <f>EXP(-LN(2)/25)*AA142+(1-EXP(-LN(2)/25))/(LN(2)/25)*Calculateur!V143*Calculateur!X143*VLOOKUP('Données projet'!$B$9,Paramètres!$A$1:$I$89,3,0)*0.475*44/12</f>
        <v>0.99733519330392484</v>
      </c>
      <c r="AB143" s="21">
        <f>EXP(-LN(2)/2)*AB142+(1-EXP(-LN(2)/2))/(LN(2)/2)*V143*Y143*VLOOKUP('Données projet'!$B$9,Paramètres!$A$1:$I$89,3,0)*0.475*44/12</f>
        <v>2.1664651696851019E-17</v>
      </c>
      <c r="AC143" s="22">
        <f t="shared" si="111"/>
        <v>13.788031467169406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1.1368683772161603E-13</v>
      </c>
      <c r="AJ143" s="13">
        <f>AI143*VLOOKUP('Données projet'!$B$10,Paramètres!$A$1:$I$89,3,0)*VLOOKUP('Données projet'!$B$10,Paramètres!$A$1:$I$89,5,0)</f>
        <v>6.7984728957526396E-14</v>
      </c>
      <c r="AK143" s="13">
        <f t="shared" si="143"/>
        <v>1.0682447123141398E-12</v>
      </c>
      <c r="AL143" s="20">
        <f t="shared" si="112"/>
        <v>1.978932943548152E-12</v>
      </c>
      <c r="AM143" s="59">
        <f t="shared" si="113"/>
        <v>293.3333333333353</v>
      </c>
      <c r="AN143" s="59">
        <f ca="1">AVERAGE(OFFSET($AM$3,0,0,'Données projet'!$E$10+1,1))-AVERAGE(OFFSET($H$3,0,0,'Données projet'!$E$10+1,1))</f>
        <v>149.5086927376081</v>
      </c>
      <c r="AO143" s="59">
        <f t="shared" si="144"/>
        <v>364.59164590134498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11.485548780757934</v>
      </c>
      <c r="AV143" s="21">
        <f>EXP(-LN(2)/25)*AV142+(1-EXP(-LN(2)/25))/(LN(2)/25)*Calculateur!AQ143*Calculateur!AS143*VLOOKUP('Données projet'!$B$10,Paramètres!$A$1:$I$89,3,0)*0.475*44/12</f>
        <v>0.92405085833179623</v>
      </c>
      <c r="AW143" s="21">
        <f>EXP(-LN(2)/2)*AW142+(1-EXP(-LN(2)/2))/(LN(2)/2)*AQ143*AT143*VLOOKUP('Données projet'!$B$10,Paramètres!$A$1:$I$89,3,0)*0.475*44/12</f>
        <v>1.6634801329426728E-17</v>
      </c>
      <c r="AX143" s="21">
        <f t="shared" si="114"/>
        <v>12.409599639089731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1.1368683772161603E-13</v>
      </c>
      <c r="BE143" s="13">
        <f>BD143*VLOOKUP('Données projet'!$B$11,Paramètres!$A$1:$I$89,3,0)*VLOOKUP('Données projet'!$B$11,Paramètres!$A$1:$I$89,5,0)</f>
        <v>6.7984728957526396E-14</v>
      </c>
      <c r="BF143" s="13">
        <f t="shared" si="145"/>
        <v>1.0682447123141398E-12</v>
      </c>
      <c r="BG143" s="20">
        <f t="shared" si="115"/>
        <v>1.978932943548152E-12</v>
      </c>
      <c r="BH143" s="59">
        <f t="shared" si="116"/>
        <v>293.3333333333353</v>
      </c>
      <c r="BI143" s="59">
        <f ca="1">AVERAGE(OFFSET($BH$3,0,0,'Données projet'!$E$11+1,1))-AVERAGE(OFFSET($H$3,0,0,'Données projet'!$E$11+1,1))</f>
        <v>149.5086927376081</v>
      </c>
      <c r="BJ143" s="59">
        <f t="shared" si="146"/>
        <v>364.59164590134498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11.485548780757934</v>
      </c>
      <c r="BQ143" s="21">
        <f>EXP(-LN(2)/25)*BQ142+(1-EXP(-LN(2)/25))/(LN(2)/25)*Calculateur!BL143*Calculateur!BN143*VLOOKUP('Données projet'!$B$11,Paramètres!$A$1:$I$89,3,0)*0.475*44/12</f>
        <v>0.92405085833179623</v>
      </c>
      <c r="BR143" s="21">
        <f>EXP(-LN(2)/2)*BR142+(1-EXP(-LN(2)/2))/(LN(2)/2)*BL143*BO143*VLOOKUP('Données projet'!$B$11,Paramètres!$A$1:$I$89,3,0)*0.475*44/12</f>
        <v>1.6634801329426728E-17</v>
      </c>
      <c r="BS143" s="22">
        <f t="shared" si="117"/>
        <v>12.409599639089731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464.68652293206395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5.6843418860808015E-14</v>
      </c>
      <c r="O144" s="13">
        <f>N144*VLOOKUP('Données projet'!$B$9,Paramètres!$A$1:$I$89,3,0)*VLOOKUP('Données projet'!$B$9,Paramètres!$A$1:$I$89,5,0)</f>
        <v>3.3992364478763198E-14</v>
      </c>
      <c r="P144" s="13">
        <f t="shared" si="141"/>
        <v>5.790027782444094E-13</v>
      </c>
      <c r="Q144" s="20">
        <f t="shared" si="108"/>
        <v>1.0676332069095257E-12</v>
      </c>
      <c r="R144" s="59">
        <f t="shared" si="109"/>
        <v>293.33333333333439</v>
      </c>
      <c r="S144" s="59">
        <f ca="1">AVERAGE(OFFSET($R$3,0,0,'Données projet'!$E$9+1,1))-AVERAGE(OFFSET($H$3,0,0,'Données projet'!$E$9+1,1))</f>
        <v>153.00981126776304</v>
      </c>
      <c r="T144" s="59">
        <f t="shared" si="142"/>
        <v>309.90400623462932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12.539878521489365</v>
      </c>
      <c r="AA144" s="21">
        <f>EXP(-LN(2)/25)*AA143+(1-EXP(-LN(2)/25))/(LN(2)/25)*Calculateur!V144*Calculateur!X144*VLOOKUP('Données projet'!$B$9,Paramètres!$A$1:$I$89,3,0)*0.475*44/12</f>
        <v>0.97006300999545059</v>
      </c>
      <c r="AB144" s="21">
        <f>EXP(-LN(2)/2)*AB143+(1-EXP(-LN(2)/2))/(LN(2)/2)*V144*Y144*VLOOKUP('Données projet'!$B$9,Paramètres!$A$1:$I$89,3,0)*0.475*44/12</f>
        <v>1.5319222126887999E-17</v>
      </c>
      <c r="AC144" s="22">
        <f t="shared" si="111"/>
        <v>13.509941531484817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1.1368683772161603E-13</v>
      </c>
      <c r="AJ144" s="13">
        <f>AI144*VLOOKUP('Données projet'!$B$10,Paramètres!$A$1:$I$89,3,0)*VLOOKUP('Données projet'!$B$10,Paramètres!$A$1:$I$89,5,0)</f>
        <v>6.7984728957526396E-14</v>
      </c>
      <c r="AK144" s="13">
        <f t="shared" si="143"/>
        <v>1.0682447123141398E-12</v>
      </c>
      <c r="AL144" s="20">
        <f t="shared" si="112"/>
        <v>1.978932943548152E-12</v>
      </c>
      <c r="AM144" s="59">
        <f t="shared" si="113"/>
        <v>293.3333333333353</v>
      </c>
      <c r="AN144" s="59">
        <f ca="1">AVERAGE(OFFSET($AM$3,0,0,'Données projet'!$E$10+1,1))-AVERAGE(OFFSET($H$3,0,0,'Données projet'!$E$10+1,1))</f>
        <v>149.5086927376081</v>
      </c>
      <c r="AO144" s="59">
        <f t="shared" si="144"/>
        <v>364.59164590134498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11.260324174660292</v>
      </c>
      <c r="AV144" s="21">
        <f>EXP(-LN(2)/25)*AV143+(1-EXP(-LN(2)/25))/(LN(2)/25)*Calculateur!AQ144*Calculateur!AS144*VLOOKUP('Données projet'!$B$10,Paramètres!$A$1:$I$89,3,0)*0.475*44/12</f>
        <v>0.89878263901699063</v>
      </c>
      <c r="AW144" s="21">
        <f>EXP(-LN(2)/2)*AW143+(1-EXP(-LN(2)/2))/(LN(2)/2)*AQ144*AT144*VLOOKUP('Données projet'!$B$10,Paramètres!$A$1:$I$89,3,0)*0.475*44/12</f>
        <v>1.1762580823728636E-17</v>
      </c>
      <c r="AX144" s="21">
        <f t="shared" si="114"/>
        <v>12.159106813677283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1.1368683772161603E-13</v>
      </c>
      <c r="BE144" s="13">
        <f>BD144*VLOOKUP('Données projet'!$B$11,Paramètres!$A$1:$I$89,3,0)*VLOOKUP('Données projet'!$B$11,Paramètres!$A$1:$I$89,5,0)</f>
        <v>6.7984728957526396E-14</v>
      </c>
      <c r="BF144" s="13">
        <f t="shared" si="145"/>
        <v>1.0682447123141398E-12</v>
      </c>
      <c r="BG144" s="20">
        <f t="shared" si="115"/>
        <v>1.978932943548152E-12</v>
      </c>
      <c r="BH144" s="59">
        <f t="shared" si="116"/>
        <v>293.3333333333353</v>
      </c>
      <c r="BI144" s="59">
        <f ca="1">AVERAGE(OFFSET($BH$3,0,0,'Données projet'!$E$11+1,1))-AVERAGE(OFFSET($H$3,0,0,'Données projet'!$E$11+1,1))</f>
        <v>149.5086927376081</v>
      </c>
      <c r="BJ144" s="59">
        <f t="shared" si="146"/>
        <v>364.59164590134498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11.260324174660292</v>
      </c>
      <c r="BQ144" s="21">
        <f>EXP(-LN(2)/25)*BQ143+(1-EXP(-LN(2)/25))/(LN(2)/25)*Calculateur!BL144*Calculateur!BN144*VLOOKUP('Données projet'!$B$11,Paramètres!$A$1:$I$89,3,0)*0.475*44/12</f>
        <v>0.89878263901699063</v>
      </c>
      <c r="BR144" s="21">
        <f>EXP(-LN(2)/2)*BR143+(1-EXP(-LN(2)/2))/(LN(2)/2)*BL144*BO144*VLOOKUP('Données projet'!$B$11,Paramètres!$A$1:$I$89,3,0)*0.475*44/12</f>
        <v>1.1762580823728636E-17</v>
      </c>
      <c r="BS144" s="22">
        <f t="shared" si="117"/>
        <v>12.159106813677283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465.87093068393028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5.6843418860808015E-14</v>
      </c>
      <c r="O145" s="13">
        <f>N145*VLOOKUP('Données projet'!$B$9,Paramètres!$A$1:$I$89,3,0)*VLOOKUP('Données projet'!$B$9,Paramètres!$A$1:$I$89,5,0)</f>
        <v>3.3992364478763198E-14</v>
      </c>
      <c r="P145" s="13">
        <f t="shared" si="141"/>
        <v>5.790027782444094E-13</v>
      </c>
      <c r="Q145" s="20">
        <f t="shared" si="108"/>
        <v>1.0676332069095257E-12</v>
      </c>
      <c r="R145" s="59">
        <f t="shared" si="109"/>
        <v>293.33333333333439</v>
      </c>
      <c r="S145" s="59">
        <f ca="1">AVERAGE(OFFSET($R$3,0,0,'Données projet'!$E$9+1,1))-AVERAGE(OFFSET($H$3,0,0,'Données projet'!$E$9+1,1))</f>
        <v>153.00981126776304</v>
      </c>
      <c r="T145" s="59">
        <f t="shared" si="142"/>
        <v>309.90400623462932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12.293979152253623</v>
      </c>
      <c r="AA145" s="21">
        <f>EXP(-LN(2)/25)*AA144+(1-EXP(-LN(2)/25))/(LN(2)/25)*Calculateur!V145*Calculateur!X145*VLOOKUP('Données projet'!$B$9,Paramètres!$A$1:$I$89,3,0)*0.475*44/12</f>
        <v>0.94353658597372836</v>
      </c>
      <c r="AB145" s="21">
        <f>EXP(-LN(2)/2)*AB144+(1-EXP(-LN(2)/2))/(LN(2)/2)*V145*Y145*VLOOKUP('Données projet'!$B$9,Paramètres!$A$1:$I$89,3,0)*0.475*44/12</f>
        <v>1.0832325848425509E-17</v>
      </c>
      <c r="AC145" s="22">
        <f t="shared" si="111"/>
        <v>13.237515738227351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1.1368683772161603E-13</v>
      </c>
      <c r="AJ145" s="13">
        <f>AI145*VLOOKUP('Données projet'!$B$10,Paramètres!$A$1:$I$89,3,0)*VLOOKUP('Données projet'!$B$10,Paramètres!$A$1:$I$89,5,0)</f>
        <v>6.7984728957526396E-14</v>
      </c>
      <c r="AK145" s="13">
        <f t="shared" si="143"/>
        <v>1.0682447123141398E-12</v>
      </c>
      <c r="AL145" s="20">
        <f t="shared" si="112"/>
        <v>1.978932943548152E-12</v>
      </c>
      <c r="AM145" s="59">
        <f t="shared" si="113"/>
        <v>293.3333333333353</v>
      </c>
      <c r="AN145" s="59">
        <f ca="1">AVERAGE(OFFSET($AM$3,0,0,'Données projet'!$E$10+1,1))-AVERAGE(OFFSET($H$3,0,0,'Données projet'!$E$10+1,1))</f>
        <v>149.5086927376081</v>
      </c>
      <c r="AO145" s="59">
        <f t="shared" si="144"/>
        <v>364.59164590134498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11.03951608571478</v>
      </c>
      <c r="AV145" s="21">
        <f>EXP(-LN(2)/25)*AV144+(1-EXP(-LN(2)/25))/(LN(2)/25)*Calculateur!AQ145*Calculateur!AS145*VLOOKUP('Données projet'!$B$10,Paramètres!$A$1:$I$89,3,0)*0.475*44/12</f>
        <v>0.87420538048814622</v>
      </c>
      <c r="AW145" s="21">
        <f>EXP(-LN(2)/2)*AW144+(1-EXP(-LN(2)/2))/(LN(2)/2)*AQ145*AT145*VLOOKUP('Données projet'!$B$10,Paramètres!$A$1:$I$89,3,0)*0.475*44/12</f>
        <v>8.3174006647133642E-18</v>
      </c>
      <c r="AX145" s="21">
        <f t="shared" si="114"/>
        <v>11.913721466202926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1.1368683772161603E-13</v>
      </c>
      <c r="BE145" s="13">
        <f>BD145*VLOOKUP('Données projet'!$B$11,Paramètres!$A$1:$I$89,3,0)*VLOOKUP('Données projet'!$B$11,Paramètres!$A$1:$I$89,5,0)</f>
        <v>6.7984728957526396E-14</v>
      </c>
      <c r="BF145" s="13">
        <f t="shared" si="145"/>
        <v>1.0682447123141398E-12</v>
      </c>
      <c r="BG145" s="20">
        <f t="shared" si="115"/>
        <v>1.978932943548152E-12</v>
      </c>
      <c r="BH145" s="59">
        <f t="shared" si="116"/>
        <v>293.3333333333353</v>
      </c>
      <c r="BI145" s="59">
        <f ca="1">AVERAGE(OFFSET($BH$3,0,0,'Données projet'!$E$11+1,1))-AVERAGE(OFFSET($H$3,0,0,'Données projet'!$E$11+1,1))</f>
        <v>149.5086927376081</v>
      </c>
      <c r="BJ145" s="59">
        <f t="shared" si="146"/>
        <v>364.59164590134498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11.03951608571478</v>
      </c>
      <c r="BQ145" s="21">
        <f>EXP(-LN(2)/25)*BQ144+(1-EXP(-LN(2)/25))/(LN(2)/25)*Calculateur!BL145*Calculateur!BN145*VLOOKUP('Données projet'!$B$11,Paramètres!$A$1:$I$89,3,0)*0.475*44/12</f>
        <v>0.87420538048814622</v>
      </c>
      <c r="BR145" s="21">
        <f>EXP(-LN(2)/2)*BR144+(1-EXP(-LN(2)/2))/(LN(2)/2)*BL145*BO145*VLOOKUP('Données projet'!$B$11,Paramètres!$A$1:$I$89,3,0)*0.475*44/12</f>
        <v>8.3174006647133642E-18</v>
      </c>
      <c r="BS145" s="22">
        <f t="shared" si="117"/>
        <v>11.913721466202926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467.0551471429435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5.6843418860808015E-14</v>
      </c>
      <c r="O146" s="13">
        <f>N146*VLOOKUP('Données projet'!$B$9,Paramètres!$A$1:$I$89,3,0)*VLOOKUP('Données projet'!$B$9,Paramètres!$A$1:$I$89,5,0)</f>
        <v>3.3992364478763198E-14</v>
      </c>
      <c r="P146" s="13">
        <f t="shared" si="141"/>
        <v>5.790027782444094E-13</v>
      </c>
      <c r="Q146" s="20">
        <f t="shared" si="108"/>
        <v>1.0676332069095257E-12</v>
      </c>
      <c r="R146" s="59">
        <f t="shared" si="109"/>
        <v>293.33333333333439</v>
      </c>
      <c r="S146" s="59">
        <f ca="1">AVERAGE(OFFSET($R$3,0,0,'Données projet'!$E$9+1,1))-AVERAGE(OFFSET($H$3,0,0,'Données projet'!$E$9+1,1))</f>
        <v>153.00981126776304</v>
      </c>
      <c r="T146" s="59">
        <f t="shared" si="142"/>
        <v>309.90400623462932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12.052901719664789</v>
      </c>
      <c r="AA146" s="21">
        <f>EXP(-LN(2)/25)*AA145+(1-EXP(-LN(2)/25))/(LN(2)/25)*Calculateur!V146*Calculateur!X146*VLOOKUP('Données projet'!$B$9,Paramètres!$A$1:$I$89,3,0)*0.475*44/12</f>
        <v>0.91773552841184414</v>
      </c>
      <c r="AB146" s="21">
        <f>EXP(-LN(2)/2)*AB145+(1-EXP(-LN(2)/2))/(LN(2)/2)*V146*Y146*VLOOKUP('Données projet'!$B$9,Paramètres!$A$1:$I$89,3,0)*0.475*44/12</f>
        <v>7.6596110634439993E-18</v>
      </c>
      <c r="AC146" s="22">
        <f t="shared" si="111"/>
        <v>12.970637248076633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1.1368683772161603E-13</v>
      </c>
      <c r="AJ146" s="13">
        <f>AI146*VLOOKUP('Données projet'!$B$10,Paramètres!$A$1:$I$89,3,0)*VLOOKUP('Données projet'!$B$10,Paramètres!$A$1:$I$89,5,0)</f>
        <v>6.7984728957526396E-14</v>
      </c>
      <c r="AK146" s="13">
        <f t="shared" si="143"/>
        <v>1.0682447123141398E-12</v>
      </c>
      <c r="AL146" s="20">
        <f t="shared" si="112"/>
        <v>1.978932943548152E-12</v>
      </c>
      <c r="AM146" s="59">
        <f t="shared" si="113"/>
        <v>293.3333333333353</v>
      </c>
      <c r="AN146" s="59">
        <f ca="1">AVERAGE(OFFSET($AM$3,0,0,'Données projet'!$E$10+1,1))-AVERAGE(OFFSET($H$3,0,0,'Données projet'!$E$10+1,1))</f>
        <v>149.5086927376081</v>
      </c>
      <c r="AO146" s="59">
        <f t="shared" si="144"/>
        <v>364.59164590134498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10.823037908713854</v>
      </c>
      <c r="AV146" s="21">
        <f>EXP(-LN(2)/25)*AV145+(1-EXP(-LN(2)/25))/(LN(2)/25)*Calculateur!AQ146*Calculateur!AS146*VLOOKUP('Données projet'!$B$10,Paramètres!$A$1:$I$89,3,0)*0.475*44/12</f>
        <v>0.85030018838623489</v>
      </c>
      <c r="AW146" s="21">
        <f>EXP(-LN(2)/2)*AW145+(1-EXP(-LN(2)/2))/(LN(2)/2)*AQ146*AT146*VLOOKUP('Données projet'!$B$10,Paramètres!$A$1:$I$89,3,0)*0.475*44/12</f>
        <v>5.8812904118643178E-18</v>
      </c>
      <c r="AX146" s="21">
        <f t="shared" si="114"/>
        <v>11.673338097100089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1.1368683772161603E-13</v>
      </c>
      <c r="BE146" s="13">
        <f>BD146*VLOOKUP('Données projet'!$B$11,Paramètres!$A$1:$I$89,3,0)*VLOOKUP('Données projet'!$B$11,Paramètres!$A$1:$I$89,5,0)</f>
        <v>6.7984728957526396E-14</v>
      </c>
      <c r="BF146" s="13">
        <f t="shared" si="145"/>
        <v>1.0682447123141398E-12</v>
      </c>
      <c r="BG146" s="20">
        <f t="shared" si="115"/>
        <v>1.978932943548152E-12</v>
      </c>
      <c r="BH146" s="59">
        <f t="shared" si="116"/>
        <v>293.3333333333353</v>
      </c>
      <c r="BI146" s="59">
        <f ca="1">AVERAGE(OFFSET($BH$3,0,0,'Données projet'!$E$11+1,1))-AVERAGE(OFFSET($H$3,0,0,'Données projet'!$E$11+1,1))</f>
        <v>149.5086927376081</v>
      </c>
      <c r="BJ146" s="59">
        <f t="shared" si="146"/>
        <v>364.59164590134498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10.823037908713854</v>
      </c>
      <c r="BQ146" s="21">
        <f>EXP(-LN(2)/25)*BQ145+(1-EXP(-LN(2)/25))/(LN(2)/25)*Calculateur!BL146*Calculateur!BN146*VLOOKUP('Données projet'!$B$11,Paramètres!$A$1:$I$89,3,0)*0.475*44/12</f>
        <v>0.85030018838623489</v>
      </c>
      <c r="BR146" s="21">
        <f>EXP(-LN(2)/2)*BR145+(1-EXP(-LN(2)/2))/(LN(2)/2)*BL146*BO146*VLOOKUP('Données projet'!$B$11,Paramètres!$A$1:$I$89,3,0)*0.475*44/12</f>
        <v>5.8812904118643178E-18</v>
      </c>
      <c r="BS146" s="22">
        <f t="shared" si="117"/>
        <v>11.673338097100089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468.23917380194229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5.6843418860808015E-14</v>
      </c>
      <c r="O147" s="13">
        <f>N147*VLOOKUP('Données projet'!$B$9,Paramètres!$A$1:$I$89,3,0)*VLOOKUP('Données projet'!$B$9,Paramètres!$A$1:$I$89,5,0)</f>
        <v>3.3992364478763198E-14</v>
      </c>
      <c r="P147" s="13">
        <f t="shared" si="141"/>
        <v>5.790027782444094E-13</v>
      </c>
      <c r="Q147" s="20">
        <f t="shared" si="108"/>
        <v>1.0676332069095257E-12</v>
      </c>
      <c r="R147" s="59">
        <f t="shared" si="109"/>
        <v>293.33333333333439</v>
      </c>
      <c r="S147" s="59">
        <f ca="1">AVERAGE(OFFSET($R$3,0,0,'Données projet'!$E$9+1,1))-AVERAGE(OFFSET($H$3,0,0,'Données projet'!$E$9+1,1))</f>
        <v>153.00981126776304</v>
      </c>
      <c r="T147" s="59">
        <f t="shared" si="142"/>
        <v>309.90400623462932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11.816551668486307</v>
      </c>
      <c r="AA147" s="21">
        <f>EXP(-LN(2)/25)*AA146+(1-EXP(-LN(2)/25))/(LN(2)/25)*Calculateur!V147*Calculateur!X147*VLOOKUP('Données projet'!$B$9,Paramètres!$A$1:$I$89,3,0)*0.475*44/12</f>
        <v>0.8926400021258083</v>
      </c>
      <c r="AB147" s="21">
        <f>EXP(-LN(2)/2)*AB146+(1-EXP(-LN(2)/2))/(LN(2)/2)*V147*Y147*VLOOKUP('Données projet'!$B$9,Paramètres!$A$1:$I$89,3,0)*0.475*44/12</f>
        <v>5.4161629242127547E-18</v>
      </c>
      <c r="AC147" s="22">
        <f t="shared" si="111"/>
        <v>12.709191670612116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1.1368683772161603E-13</v>
      </c>
      <c r="AJ147" s="13">
        <f>AI147*VLOOKUP('Données projet'!$B$10,Paramètres!$A$1:$I$89,3,0)*VLOOKUP('Données projet'!$B$10,Paramètres!$A$1:$I$89,5,0)</f>
        <v>6.7984728957526396E-14</v>
      </c>
      <c r="AK147" s="13">
        <f t="shared" si="143"/>
        <v>1.0682447123141398E-12</v>
      </c>
      <c r="AL147" s="20">
        <f t="shared" si="112"/>
        <v>1.978932943548152E-12</v>
      </c>
      <c r="AM147" s="59">
        <f t="shared" si="113"/>
        <v>293.3333333333353</v>
      </c>
      <c r="AN147" s="59">
        <f ca="1">AVERAGE(OFFSET($AM$3,0,0,'Données projet'!$E$10+1,1))-AVERAGE(OFFSET($H$3,0,0,'Données projet'!$E$10+1,1))</f>
        <v>149.5086927376081</v>
      </c>
      <c r="AO147" s="59">
        <f t="shared" si="144"/>
        <v>364.59164590134498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10.610804736725266</v>
      </c>
      <c r="AV147" s="21">
        <f>EXP(-LN(2)/25)*AV146+(1-EXP(-LN(2)/25))/(LN(2)/25)*Calculateur!AQ147*Calculateur!AS147*VLOOKUP('Données projet'!$B$10,Paramètres!$A$1:$I$89,3,0)*0.475*44/12</f>
        <v>0.82704868501946982</v>
      </c>
      <c r="AW147" s="21">
        <f>EXP(-LN(2)/2)*AW146+(1-EXP(-LN(2)/2))/(LN(2)/2)*AQ147*AT147*VLOOKUP('Données projet'!$B$10,Paramètres!$A$1:$I$89,3,0)*0.475*44/12</f>
        <v>4.1587003323566821E-18</v>
      </c>
      <c r="AX147" s="21">
        <f t="shared" si="114"/>
        <v>11.437853421744736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1.1368683772161603E-13</v>
      </c>
      <c r="BE147" s="13">
        <f>BD147*VLOOKUP('Données projet'!$B$11,Paramètres!$A$1:$I$89,3,0)*VLOOKUP('Données projet'!$B$11,Paramètres!$A$1:$I$89,5,0)</f>
        <v>6.7984728957526396E-14</v>
      </c>
      <c r="BF147" s="13">
        <f t="shared" si="145"/>
        <v>1.0682447123141398E-12</v>
      </c>
      <c r="BG147" s="20">
        <f t="shared" si="115"/>
        <v>1.978932943548152E-12</v>
      </c>
      <c r="BH147" s="59">
        <f t="shared" si="116"/>
        <v>293.3333333333353</v>
      </c>
      <c r="BI147" s="59">
        <f ca="1">AVERAGE(OFFSET($BH$3,0,0,'Données projet'!$E$11+1,1))-AVERAGE(OFFSET($H$3,0,0,'Données projet'!$E$11+1,1))</f>
        <v>149.5086927376081</v>
      </c>
      <c r="BJ147" s="59">
        <f t="shared" si="146"/>
        <v>364.59164590134498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10.610804736725266</v>
      </c>
      <c r="BQ147" s="21">
        <f>EXP(-LN(2)/25)*BQ146+(1-EXP(-LN(2)/25))/(LN(2)/25)*Calculateur!BL147*Calculateur!BN147*VLOOKUP('Données projet'!$B$11,Paramètres!$A$1:$I$89,3,0)*0.475*44/12</f>
        <v>0.82704868501946982</v>
      </c>
      <c r="BR147" s="21">
        <f>EXP(-LN(2)/2)*BR146+(1-EXP(-LN(2)/2))/(LN(2)/2)*BL147*BO147*VLOOKUP('Données projet'!$B$11,Paramètres!$A$1:$I$89,3,0)*0.475*44/12</f>
        <v>4.1587003323566821E-18</v>
      </c>
      <c r="BS147" s="22">
        <f t="shared" si="117"/>
        <v>11.437853421744736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469.42301213183316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5.6843418860808015E-14</v>
      </c>
      <c r="O148" s="13">
        <f>N148*VLOOKUP('Données projet'!$B$9,Paramètres!$A$1:$I$89,3,0)*VLOOKUP('Données projet'!$B$9,Paramètres!$A$1:$I$89,5,0)</f>
        <v>3.3992364478763198E-14</v>
      </c>
      <c r="P148" s="13">
        <f t="shared" si="141"/>
        <v>5.790027782444094E-13</v>
      </c>
      <c r="Q148" s="20">
        <f t="shared" si="108"/>
        <v>1.0676332069095257E-12</v>
      </c>
      <c r="R148" s="59">
        <f t="shared" si="109"/>
        <v>293.33333333333439</v>
      </c>
      <c r="S148" s="59">
        <f ca="1">AVERAGE(OFFSET($R$3,0,0,'Données projet'!$E$9+1,1))-AVERAGE(OFFSET($H$3,0,0,'Données projet'!$E$9+1,1))</f>
        <v>153.00981126776304</v>
      </c>
      <c r="T148" s="59">
        <f t="shared" si="142"/>
        <v>309.90400623462932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11.584836297652139</v>
      </c>
      <c r="AA148" s="21">
        <f>EXP(-LN(2)/25)*AA147+(1-EXP(-LN(2)/25))/(LN(2)/25)*Calculateur!V148*Calculateur!X148*VLOOKUP('Données projet'!$B$9,Paramètres!$A$1:$I$89,3,0)*0.475*44/12</f>
        <v>0.86823071432578047</v>
      </c>
      <c r="AB148" s="21">
        <f>EXP(-LN(2)/2)*AB147+(1-EXP(-LN(2)/2))/(LN(2)/2)*V148*Y148*VLOOKUP('Données projet'!$B$9,Paramètres!$A$1:$I$89,3,0)*0.475*44/12</f>
        <v>3.8298055317219997E-18</v>
      </c>
      <c r="AC148" s="22">
        <f t="shared" si="111"/>
        <v>12.45306701197792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1.1368683772161603E-13</v>
      </c>
      <c r="AJ148" s="13">
        <f>AI148*VLOOKUP('Données projet'!$B$10,Paramètres!$A$1:$I$89,3,0)*VLOOKUP('Données projet'!$B$10,Paramètres!$A$1:$I$89,5,0)</f>
        <v>6.7984728957526396E-14</v>
      </c>
      <c r="AK148" s="13">
        <f t="shared" si="143"/>
        <v>1.0682447123141398E-12</v>
      </c>
      <c r="AL148" s="20">
        <f t="shared" si="112"/>
        <v>1.978932943548152E-12</v>
      </c>
      <c r="AM148" s="59">
        <f t="shared" si="113"/>
        <v>293.3333333333353</v>
      </c>
      <c r="AN148" s="59">
        <f ca="1">AVERAGE(OFFSET($AM$3,0,0,'Données projet'!$E$10+1,1))-AVERAGE(OFFSET($H$3,0,0,'Données projet'!$E$10+1,1))</f>
        <v>149.5086927376081</v>
      </c>
      <c r="AO148" s="59">
        <f t="shared" si="144"/>
        <v>364.59164590134498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10.402733327789921</v>
      </c>
      <c r="AV148" s="21">
        <f>EXP(-LN(2)/25)*AV147+(1-EXP(-LN(2)/25))/(LN(2)/25)*Calculateur!AQ148*Calculateur!AS148*VLOOKUP('Données projet'!$B$10,Paramètres!$A$1:$I$89,3,0)*0.475*44/12</f>
        <v>0.80443299523501233</v>
      </c>
      <c r="AW148" s="21">
        <f>EXP(-LN(2)/2)*AW147+(1-EXP(-LN(2)/2))/(LN(2)/2)*AQ148*AT148*VLOOKUP('Données projet'!$B$10,Paramètres!$A$1:$I$89,3,0)*0.475*44/12</f>
        <v>2.9406452059321589E-18</v>
      </c>
      <c r="AX148" s="21">
        <f t="shared" si="114"/>
        <v>11.207166323024934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1.1368683772161603E-13</v>
      </c>
      <c r="BE148" s="13">
        <f>BD148*VLOOKUP('Données projet'!$B$11,Paramètres!$A$1:$I$89,3,0)*VLOOKUP('Données projet'!$B$11,Paramètres!$A$1:$I$89,5,0)</f>
        <v>6.7984728957526396E-14</v>
      </c>
      <c r="BF148" s="13">
        <f t="shared" si="145"/>
        <v>1.0682447123141398E-12</v>
      </c>
      <c r="BG148" s="20">
        <f t="shared" si="115"/>
        <v>1.978932943548152E-12</v>
      </c>
      <c r="BH148" s="59">
        <f t="shared" si="116"/>
        <v>293.3333333333353</v>
      </c>
      <c r="BI148" s="59">
        <f ca="1">AVERAGE(OFFSET($BH$3,0,0,'Données projet'!$E$11+1,1))-AVERAGE(OFFSET($H$3,0,0,'Données projet'!$E$11+1,1))</f>
        <v>149.5086927376081</v>
      </c>
      <c r="BJ148" s="59">
        <f t="shared" si="146"/>
        <v>364.59164590134498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10.402733327789921</v>
      </c>
      <c r="BQ148" s="21">
        <f>EXP(-LN(2)/25)*BQ147+(1-EXP(-LN(2)/25))/(LN(2)/25)*Calculateur!BL148*Calculateur!BN148*VLOOKUP('Données projet'!$B$11,Paramètres!$A$1:$I$89,3,0)*0.475*44/12</f>
        <v>0.80443299523501233</v>
      </c>
      <c r="BR148" s="21">
        <f>EXP(-LN(2)/2)*BR147+(1-EXP(-LN(2)/2))/(LN(2)/2)*BL148*BO148*VLOOKUP('Données projet'!$B$11,Paramètres!$A$1:$I$89,3,0)*0.475*44/12</f>
        <v>2.9406452059321589E-18</v>
      </c>
      <c r="BS148" s="22">
        <f t="shared" si="117"/>
        <v>11.207166323024934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470.60666358206163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5.6843418860808015E-14</v>
      </c>
      <c r="O149" s="13">
        <f>N149*VLOOKUP('Données projet'!$B$9,Paramètres!$A$1:$I$89,3,0)*VLOOKUP('Données projet'!$B$9,Paramètres!$A$1:$I$89,5,0)</f>
        <v>3.3992364478763198E-14</v>
      </c>
      <c r="P149" s="13">
        <f t="shared" si="141"/>
        <v>5.790027782444094E-13</v>
      </c>
      <c r="Q149" s="20">
        <f t="shared" si="108"/>
        <v>1.0676332069095257E-12</v>
      </c>
      <c r="R149" s="59">
        <f t="shared" si="109"/>
        <v>293.33333333333439</v>
      </c>
      <c r="S149" s="59">
        <f ca="1">AVERAGE(OFFSET($R$3,0,0,'Données projet'!$E$9+1,1))-AVERAGE(OFFSET($H$3,0,0,'Données projet'!$E$9+1,1))</f>
        <v>153.00981126776304</v>
      </c>
      <c r="T149" s="59">
        <f t="shared" si="142"/>
        <v>309.90400623462932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11.357664723907607</v>
      </c>
      <c r="AA149" s="21">
        <f>EXP(-LN(2)/25)*AA148+(1-EXP(-LN(2)/25))/(LN(2)/25)*Calculateur!V149*Calculateur!X149*VLOOKUP('Données projet'!$B$9,Paramètres!$A$1:$I$89,3,0)*0.475*44/12</f>
        <v>0.84448889978427311</v>
      </c>
      <c r="AB149" s="21">
        <f>EXP(-LN(2)/2)*AB148+(1-EXP(-LN(2)/2))/(LN(2)/2)*V149*Y149*VLOOKUP('Données projet'!$B$9,Paramètres!$A$1:$I$89,3,0)*0.475*44/12</f>
        <v>2.7080814621063774E-18</v>
      </c>
      <c r="AC149" s="22">
        <f t="shared" si="111"/>
        <v>12.202153623691881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1.1368683772161603E-13</v>
      </c>
      <c r="AJ149" s="13">
        <f>AI149*VLOOKUP('Données projet'!$B$10,Paramètres!$A$1:$I$89,3,0)*VLOOKUP('Données projet'!$B$10,Paramètres!$A$1:$I$89,5,0)</f>
        <v>6.7984728957526396E-14</v>
      </c>
      <c r="AK149" s="13">
        <f t="shared" si="143"/>
        <v>1.0682447123141398E-12</v>
      </c>
      <c r="AL149" s="20">
        <f t="shared" si="112"/>
        <v>1.978932943548152E-12</v>
      </c>
      <c r="AM149" s="59">
        <f t="shared" si="113"/>
        <v>293.3333333333353</v>
      </c>
      <c r="AN149" s="59">
        <f ca="1">AVERAGE(OFFSET($AM$3,0,0,'Données projet'!$E$10+1,1))-AVERAGE(OFFSET($H$3,0,0,'Données projet'!$E$10+1,1))</f>
        <v>149.5086927376081</v>
      </c>
      <c r="AO149" s="59">
        <f t="shared" si="144"/>
        <v>364.59164590134498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10.19874207227277</v>
      </c>
      <c r="AV149" s="21">
        <f>EXP(-LN(2)/25)*AV148+(1-EXP(-LN(2)/25))/(LN(2)/25)*Calculateur!AQ149*Calculateur!AS149*VLOOKUP('Données projet'!$B$10,Paramètres!$A$1:$I$89,3,0)*0.475*44/12</f>
        <v>0.78243573267701827</v>
      </c>
      <c r="AW149" s="21">
        <f>EXP(-LN(2)/2)*AW148+(1-EXP(-LN(2)/2))/(LN(2)/2)*AQ149*AT149*VLOOKUP('Données projet'!$B$10,Paramètres!$A$1:$I$89,3,0)*0.475*44/12</f>
        <v>2.079350166178341E-18</v>
      </c>
      <c r="AX149" s="21">
        <f t="shared" si="114"/>
        <v>10.981177804949789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1.1368683772161603E-13</v>
      </c>
      <c r="BE149" s="13">
        <f>BD149*VLOOKUP('Données projet'!$B$11,Paramètres!$A$1:$I$89,3,0)*VLOOKUP('Données projet'!$B$11,Paramètres!$A$1:$I$89,5,0)</f>
        <v>6.7984728957526396E-14</v>
      </c>
      <c r="BF149" s="13">
        <f t="shared" si="145"/>
        <v>1.0682447123141398E-12</v>
      </c>
      <c r="BG149" s="20">
        <f t="shared" si="115"/>
        <v>1.978932943548152E-12</v>
      </c>
      <c r="BH149" s="59">
        <f t="shared" si="116"/>
        <v>293.3333333333353</v>
      </c>
      <c r="BI149" s="59">
        <f ca="1">AVERAGE(OFFSET($BH$3,0,0,'Données projet'!$E$11+1,1))-AVERAGE(OFFSET($H$3,0,0,'Données projet'!$E$11+1,1))</f>
        <v>149.5086927376081</v>
      </c>
      <c r="BJ149" s="59">
        <f t="shared" si="146"/>
        <v>364.59164590134498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10.19874207227277</v>
      </c>
      <c r="BQ149" s="21">
        <f>EXP(-LN(2)/25)*BQ148+(1-EXP(-LN(2)/25))/(LN(2)/25)*Calculateur!BL149*Calculateur!BN149*VLOOKUP('Données projet'!$B$11,Paramètres!$A$1:$I$89,3,0)*0.475*44/12</f>
        <v>0.78243573267701827</v>
      </c>
      <c r="BR149" s="21">
        <f>EXP(-LN(2)/2)*BR148+(1-EXP(-LN(2)/2))/(LN(2)/2)*BL149*BO149*VLOOKUP('Données projet'!$B$11,Paramètres!$A$1:$I$89,3,0)*0.475*44/12</f>
        <v>2.079350166178341E-18</v>
      </c>
      <c r="BS149" s="22">
        <f t="shared" si="117"/>
        <v>10.981177804949789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471.79012958106995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5.6843418860808015E-14</v>
      </c>
      <c r="O150" s="13">
        <f>N150*VLOOKUP('Données projet'!$B$9,Paramètres!$A$1:$I$89,3,0)*VLOOKUP('Données projet'!$B$9,Paramètres!$A$1:$I$89,5,0)</f>
        <v>3.3992364478763198E-14</v>
      </c>
      <c r="P150" s="13">
        <f t="shared" si="141"/>
        <v>5.790027782444094E-13</v>
      </c>
      <c r="Q150" s="20">
        <f t="shared" si="108"/>
        <v>1.0676332069095257E-12</v>
      </c>
      <c r="R150" s="59">
        <f t="shared" si="109"/>
        <v>293.33333333333439</v>
      </c>
      <c r="S150" s="59">
        <f ca="1">AVERAGE(OFFSET($R$3,0,0,'Données projet'!$E$9+1,1))-AVERAGE(OFFSET($H$3,0,0,'Données projet'!$E$9+1,1))</f>
        <v>153.00981126776304</v>
      </c>
      <c r="T150" s="59">
        <f t="shared" si="142"/>
        <v>309.90400623462932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11.134947846163227</v>
      </c>
      <c r="AA150" s="21">
        <f>EXP(-LN(2)/25)*AA149+(1-EXP(-LN(2)/25))/(LN(2)/25)*Calculateur!V150*Calculateur!X150*VLOOKUP('Données projet'!$B$9,Paramètres!$A$1:$I$89,3,0)*0.475*44/12</f>
        <v>0.821396306409931</v>
      </c>
      <c r="AB150" s="21">
        <f>EXP(-LN(2)/2)*AB149+(1-EXP(-LN(2)/2))/(LN(2)/2)*V150*Y150*VLOOKUP('Données projet'!$B$9,Paramètres!$A$1:$I$89,3,0)*0.475*44/12</f>
        <v>1.9149027658609998E-18</v>
      </c>
      <c r="AC150" s="22">
        <f t="shared" si="111"/>
        <v>11.956344152573157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1.1368683772161603E-13</v>
      </c>
      <c r="AJ150" s="13">
        <f>AI150*VLOOKUP('Données projet'!$B$10,Paramètres!$A$1:$I$89,3,0)*VLOOKUP('Données projet'!$B$10,Paramètres!$A$1:$I$89,5,0)</f>
        <v>6.7984728957526396E-14</v>
      </c>
      <c r="AK150" s="13">
        <f t="shared" si="143"/>
        <v>1.0682447123141398E-12</v>
      </c>
      <c r="AL150" s="20">
        <f t="shared" si="112"/>
        <v>1.978932943548152E-12</v>
      </c>
      <c r="AM150" s="59">
        <f t="shared" si="113"/>
        <v>293.3333333333353</v>
      </c>
      <c r="AN150" s="59">
        <f ca="1">AVERAGE(OFFSET($AM$3,0,0,'Données projet'!$E$10+1,1))-AVERAGE(OFFSET($H$3,0,0,'Données projet'!$E$10+1,1))</f>
        <v>149.5086927376081</v>
      </c>
      <c r="AO150" s="59">
        <f t="shared" si="144"/>
        <v>364.59164590134498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9.9987509608539309</v>
      </c>
      <c r="AV150" s="21">
        <f>EXP(-LN(2)/25)*AV149+(1-EXP(-LN(2)/25))/(LN(2)/25)*Calculateur!AQ150*Calculateur!AS150*VLOOKUP('Données projet'!$B$10,Paramètres!$A$1:$I$89,3,0)*0.475*44/12</f>
        <v>0.76103998642045834</v>
      </c>
      <c r="AW150" s="21">
        <f>EXP(-LN(2)/2)*AW149+(1-EXP(-LN(2)/2))/(LN(2)/2)*AQ150*AT150*VLOOKUP('Données projet'!$B$10,Paramètres!$A$1:$I$89,3,0)*0.475*44/12</f>
        <v>1.4703226029660795E-18</v>
      </c>
      <c r="AX150" s="21">
        <f t="shared" si="114"/>
        <v>10.759790947274389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1.1368683772161603E-13</v>
      </c>
      <c r="BE150" s="13">
        <f>BD150*VLOOKUP('Données projet'!$B$11,Paramètres!$A$1:$I$89,3,0)*VLOOKUP('Données projet'!$B$11,Paramètres!$A$1:$I$89,5,0)</f>
        <v>6.7984728957526396E-14</v>
      </c>
      <c r="BF150" s="13">
        <f t="shared" si="145"/>
        <v>1.0682447123141398E-12</v>
      </c>
      <c r="BG150" s="20">
        <f t="shared" si="115"/>
        <v>1.978932943548152E-12</v>
      </c>
      <c r="BH150" s="59">
        <f t="shared" si="116"/>
        <v>293.3333333333353</v>
      </c>
      <c r="BI150" s="59">
        <f ca="1">AVERAGE(OFFSET($BH$3,0,0,'Données projet'!$E$11+1,1))-AVERAGE(OFFSET($H$3,0,0,'Données projet'!$E$11+1,1))</f>
        <v>149.5086927376081</v>
      </c>
      <c r="BJ150" s="59">
        <f t="shared" si="146"/>
        <v>364.59164590134498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9.9987509608539309</v>
      </c>
      <c r="BQ150" s="21">
        <f>EXP(-LN(2)/25)*BQ149+(1-EXP(-LN(2)/25))/(LN(2)/25)*Calculateur!BL150*Calculateur!BN150*VLOOKUP('Données projet'!$B$11,Paramètres!$A$1:$I$89,3,0)*0.475*44/12</f>
        <v>0.76103998642045834</v>
      </c>
      <c r="BR150" s="21">
        <f>EXP(-LN(2)/2)*BR149+(1-EXP(-LN(2)/2))/(LN(2)/2)*BL150*BO150*VLOOKUP('Données projet'!$B$11,Paramètres!$A$1:$I$89,3,0)*0.475*44/12</f>
        <v>1.4703226029660795E-18</v>
      </c>
      <c r="BS150" s="22">
        <f t="shared" si="117"/>
        <v>10.759790947274389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472.9734115367425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5.6843418860808015E-14</v>
      </c>
      <c r="O151" s="13">
        <f>N151*VLOOKUP('Données projet'!$B$9,Paramètres!$A$1:$I$89,3,0)*VLOOKUP('Données projet'!$B$9,Paramètres!$A$1:$I$89,5,0)</f>
        <v>3.3992364478763198E-14</v>
      </c>
      <c r="P151" s="13">
        <f t="shared" si="141"/>
        <v>5.790027782444094E-13</v>
      </c>
      <c r="Q151" s="20">
        <f t="shared" si="108"/>
        <v>1.0676332069095257E-12</v>
      </c>
      <c r="R151" s="59">
        <f t="shared" si="109"/>
        <v>293.33333333333439</v>
      </c>
      <c r="S151" s="59">
        <f ca="1">AVERAGE(OFFSET($R$3,0,0,'Données projet'!$E$9+1,1))-AVERAGE(OFFSET($H$3,0,0,'Données projet'!$E$9+1,1))</f>
        <v>153.00981126776304</v>
      </c>
      <c r="T151" s="59">
        <f t="shared" si="142"/>
        <v>309.90400623462932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10.916598310547533</v>
      </c>
      <c r="AA151" s="21">
        <f>EXP(-LN(2)/25)*AA150+(1-EXP(-LN(2)/25))/(LN(2)/25)*Calculateur!V151*Calculateur!X151*VLOOKUP('Données projet'!$B$9,Paramètres!$A$1:$I$89,3,0)*0.475*44/12</f>
        <v>0.79893518121579699</v>
      </c>
      <c r="AB151" s="21">
        <f>EXP(-LN(2)/2)*AB150+(1-EXP(-LN(2)/2))/(LN(2)/2)*V151*Y151*VLOOKUP('Données projet'!$B$9,Paramètres!$A$1:$I$89,3,0)*0.475*44/12</f>
        <v>1.3540407310531887E-18</v>
      </c>
      <c r="AC151" s="22">
        <f t="shared" si="111"/>
        <v>11.715533491763329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1.1368683772161603E-13</v>
      </c>
      <c r="AJ151" s="13">
        <f>AI151*VLOOKUP('Données projet'!$B$10,Paramètres!$A$1:$I$89,3,0)*VLOOKUP('Données projet'!$B$10,Paramètres!$A$1:$I$89,5,0)</f>
        <v>6.7984728957526396E-14</v>
      </c>
      <c r="AK151" s="13">
        <f t="shared" si="143"/>
        <v>1.0682447123141398E-12</v>
      </c>
      <c r="AL151" s="20">
        <f t="shared" si="112"/>
        <v>1.978932943548152E-12</v>
      </c>
      <c r="AM151" s="59">
        <f t="shared" si="113"/>
        <v>293.3333333333353</v>
      </c>
      <c r="AN151" s="59">
        <f ca="1">AVERAGE(OFFSET($AM$3,0,0,'Données projet'!$E$10+1,1))-AVERAGE(OFFSET($H$3,0,0,'Données projet'!$E$10+1,1))</f>
        <v>149.5086927376081</v>
      </c>
      <c r="AO151" s="59">
        <f t="shared" si="144"/>
        <v>364.59164590134498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9.8026815531474814</v>
      </c>
      <c r="AV151" s="21">
        <f>EXP(-LN(2)/25)*AV150+(1-EXP(-LN(2)/25))/(LN(2)/25)*Calculateur!AQ151*Calculateur!AS151*VLOOKUP('Données projet'!$B$10,Paramètres!$A$1:$I$89,3,0)*0.475*44/12</f>
        <v>0.7402293079704374</v>
      </c>
      <c r="AW151" s="21">
        <f>EXP(-LN(2)/2)*AW150+(1-EXP(-LN(2)/2))/(LN(2)/2)*AQ151*AT151*VLOOKUP('Données projet'!$B$10,Paramètres!$A$1:$I$89,3,0)*0.475*44/12</f>
        <v>1.0396750830891705E-18</v>
      </c>
      <c r="AX151" s="21">
        <f t="shared" si="114"/>
        <v>10.542910861117919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1.1368683772161603E-13</v>
      </c>
      <c r="BE151" s="13">
        <f>BD151*VLOOKUP('Données projet'!$B$11,Paramètres!$A$1:$I$89,3,0)*VLOOKUP('Données projet'!$B$11,Paramètres!$A$1:$I$89,5,0)</f>
        <v>6.7984728957526396E-14</v>
      </c>
      <c r="BF151" s="13">
        <f t="shared" si="145"/>
        <v>1.0682447123141398E-12</v>
      </c>
      <c r="BG151" s="20">
        <f t="shared" si="115"/>
        <v>1.978932943548152E-12</v>
      </c>
      <c r="BH151" s="59">
        <f t="shared" si="116"/>
        <v>293.3333333333353</v>
      </c>
      <c r="BI151" s="59">
        <f ca="1">AVERAGE(OFFSET($BH$3,0,0,'Données projet'!$E$11+1,1))-AVERAGE(OFFSET($H$3,0,0,'Données projet'!$E$11+1,1))</f>
        <v>149.5086927376081</v>
      </c>
      <c r="BJ151" s="59">
        <f t="shared" si="146"/>
        <v>364.59164590134498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9.8026815531474814</v>
      </c>
      <c r="BQ151" s="21">
        <f>EXP(-LN(2)/25)*BQ150+(1-EXP(-LN(2)/25))/(LN(2)/25)*Calculateur!BL151*Calculateur!BN151*VLOOKUP('Données projet'!$B$11,Paramètres!$A$1:$I$89,3,0)*0.475*44/12</f>
        <v>0.7402293079704374</v>
      </c>
      <c r="BR151" s="21">
        <f>EXP(-LN(2)/2)*BR150+(1-EXP(-LN(2)/2))/(LN(2)/2)*BL151*BO151*VLOOKUP('Données projet'!$B$11,Paramètres!$A$1:$I$89,3,0)*0.475*44/12</f>
        <v>1.0396750830891705E-18</v>
      </c>
      <c r="BS151" s="22">
        <f t="shared" si="117"/>
        <v>10.542910861117919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474.15651083683827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5.6843418860808015E-14</v>
      </c>
      <c r="O152" s="13">
        <f>N152*VLOOKUP('Données projet'!$B$9,Paramètres!$A$1:$I$89,3,0)*VLOOKUP('Données projet'!$B$9,Paramètres!$A$1:$I$89,5,0)</f>
        <v>3.3992364478763198E-14</v>
      </c>
      <c r="P152" s="13">
        <f t="shared" si="141"/>
        <v>5.790027782444094E-13</v>
      </c>
      <c r="Q152" s="20">
        <f t="shared" si="108"/>
        <v>1.0676332069095257E-12</v>
      </c>
      <c r="R152" s="59">
        <f t="shared" si="109"/>
        <v>293.33333333333439</v>
      </c>
      <c r="S152" s="59">
        <f ca="1">AVERAGE(OFFSET($R$3,0,0,'Données projet'!$E$9+1,1))-AVERAGE(OFFSET($H$3,0,0,'Données projet'!$E$9+1,1))</f>
        <v>153.00981126776304</v>
      </c>
      <c r="T152" s="59">
        <f t="shared" si="142"/>
        <v>309.90400623462932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10.702530476145196</v>
      </c>
      <c r="AA152" s="21">
        <f>EXP(-LN(2)/25)*AA151+(1-EXP(-LN(2)/25))/(LN(2)/25)*Calculateur!V152*Calculateur!X152*VLOOKUP('Données projet'!$B$9,Paramètres!$A$1:$I$89,3,0)*0.475*44/12</f>
        <v>0.77708825667127579</v>
      </c>
      <c r="AB152" s="21">
        <f>EXP(-LN(2)/2)*AB151+(1-EXP(-LN(2)/2))/(LN(2)/2)*V152*Y152*VLOOKUP('Données projet'!$B$9,Paramètres!$A$1:$I$89,3,0)*0.475*44/12</f>
        <v>9.5745138293049992E-19</v>
      </c>
      <c r="AC152" s="22">
        <f t="shared" si="111"/>
        <v>11.479618732816471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1.1368683772161603E-13</v>
      </c>
      <c r="AJ152" s="13">
        <f>AI152*VLOOKUP('Données projet'!$B$10,Paramètres!$A$1:$I$89,3,0)*VLOOKUP('Données projet'!$B$10,Paramètres!$A$1:$I$89,5,0)</f>
        <v>6.7984728957526396E-14</v>
      </c>
      <c r="AK152" s="13">
        <f t="shared" si="143"/>
        <v>1.0682447123141398E-12</v>
      </c>
      <c r="AL152" s="20">
        <f t="shared" si="112"/>
        <v>1.978932943548152E-12</v>
      </c>
      <c r="AM152" s="59">
        <f t="shared" si="113"/>
        <v>293.3333333333353</v>
      </c>
      <c r="AN152" s="59">
        <f ca="1">AVERAGE(OFFSET($AM$3,0,0,'Données projet'!$E$10+1,1))-AVERAGE(OFFSET($H$3,0,0,'Données projet'!$E$10+1,1))</f>
        <v>149.5086927376081</v>
      </c>
      <c r="AO152" s="59">
        <f t="shared" si="144"/>
        <v>364.59164590134498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9.6104569469356242</v>
      </c>
      <c r="AV152" s="21">
        <f>EXP(-LN(2)/25)*AV151+(1-EXP(-LN(2)/25))/(LN(2)/25)*Calculateur!AQ152*Calculateur!AS152*VLOOKUP('Données projet'!$B$10,Paramètres!$A$1:$I$89,3,0)*0.475*44/12</f>
        <v>0.71998769861701828</v>
      </c>
      <c r="AW152" s="21">
        <f>EXP(-LN(2)/2)*AW151+(1-EXP(-LN(2)/2))/(LN(2)/2)*AQ152*AT152*VLOOKUP('Données projet'!$B$10,Paramètres!$A$1:$I$89,3,0)*0.475*44/12</f>
        <v>7.3516130148303973E-19</v>
      </c>
      <c r="AX152" s="21">
        <f t="shared" si="114"/>
        <v>10.330444645552642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1.1368683772161603E-13</v>
      </c>
      <c r="BE152" s="13">
        <f>BD152*VLOOKUP('Données projet'!$B$11,Paramètres!$A$1:$I$89,3,0)*VLOOKUP('Données projet'!$B$11,Paramètres!$A$1:$I$89,5,0)</f>
        <v>6.7984728957526396E-14</v>
      </c>
      <c r="BF152" s="13">
        <f t="shared" si="145"/>
        <v>1.0682447123141398E-12</v>
      </c>
      <c r="BG152" s="20">
        <f t="shared" si="115"/>
        <v>1.978932943548152E-12</v>
      </c>
      <c r="BH152" s="59">
        <f t="shared" si="116"/>
        <v>293.3333333333353</v>
      </c>
      <c r="BI152" s="59">
        <f ca="1">AVERAGE(OFFSET($BH$3,0,0,'Données projet'!$E$11+1,1))-AVERAGE(OFFSET($H$3,0,0,'Données projet'!$E$11+1,1))</f>
        <v>149.5086927376081</v>
      </c>
      <c r="BJ152" s="59">
        <f t="shared" si="146"/>
        <v>364.59164590134498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9.6104569469356242</v>
      </c>
      <c r="BQ152" s="21">
        <f>EXP(-LN(2)/25)*BQ151+(1-EXP(-LN(2)/25))/(LN(2)/25)*Calculateur!BL152*Calculateur!BN152*VLOOKUP('Données projet'!$B$11,Paramètres!$A$1:$I$89,3,0)*0.475*44/12</f>
        <v>0.71998769861701828</v>
      </c>
      <c r="BR152" s="21">
        <f>EXP(-LN(2)/2)*BR151+(1-EXP(-LN(2)/2))/(LN(2)/2)*BL152*BO152*VLOOKUP('Données projet'!$B$11,Paramètres!$A$1:$I$89,3,0)*0.475*44/12</f>
        <v>7.3516130148303973E-19</v>
      </c>
      <c r="BS152" s="22">
        <f t="shared" si="117"/>
        <v>10.330444645552642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475.33942884941183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5.6843418860808015E-14</v>
      </c>
      <c r="O153" s="13">
        <f>N153*VLOOKUP('Données projet'!$B$9,Paramètres!$A$1:$I$89,3,0)*VLOOKUP('Données projet'!$B$9,Paramètres!$A$1:$I$89,5,0)</f>
        <v>3.3992364478763198E-14</v>
      </c>
      <c r="P153" s="13">
        <f t="shared" si="141"/>
        <v>5.790027782444094E-13</v>
      </c>
      <c r="Q153" s="20">
        <f t="shared" si="108"/>
        <v>1.0676332069095257E-12</v>
      </c>
      <c r="R153" s="59">
        <f t="shared" si="109"/>
        <v>293.33333333333439</v>
      </c>
      <c r="S153" s="59">
        <f ca="1">AVERAGE(OFFSET($R$3,0,0,'Données projet'!$E$9+1,1))-AVERAGE(OFFSET($H$3,0,0,'Données projet'!$E$9+1,1))</f>
        <v>153.00981126776304</v>
      </c>
      <c r="T153" s="59">
        <f t="shared" si="142"/>
        <v>309.90400623462932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10.492660381407003</v>
      </c>
      <c r="AA153" s="21">
        <f>EXP(-LN(2)/25)*AA152+(1-EXP(-LN(2)/25))/(LN(2)/25)*Calculateur!V153*Calculateur!X153*VLOOKUP('Données projet'!$B$9,Paramètres!$A$1:$I$89,3,0)*0.475*44/12</f>
        <v>0.75583873742730434</v>
      </c>
      <c r="AB153" s="21">
        <f>EXP(-LN(2)/2)*AB152+(1-EXP(-LN(2)/2))/(LN(2)/2)*V153*Y153*VLOOKUP('Données projet'!$B$9,Paramètres!$A$1:$I$89,3,0)*0.475*44/12</f>
        <v>6.7702036552659434E-19</v>
      </c>
      <c r="AC153" s="22">
        <f t="shared" si="111"/>
        <v>11.248499118834307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1.1368683772161603E-13</v>
      </c>
      <c r="AJ153" s="13">
        <f>AI153*VLOOKUP('Données projet'!$B$10,Paramètres!$A$1:$I$89,3,0)*VLOOKUP('Données projet'!$B$10,Paramètres!$A$1:$I$89,5,0)</f>
        <v>6.7984728957526396E-14</v>
      </c>
      <c r="AK153" s="13">
        <f t="shared" si="143"/>
        <v>1.0682447123141398E-12</v>
      </c>
      <c r="AL153" s="20">
        <f t="shared" si="112"/>
        <v>1.978932943548152E-12</v>
      </c>
      <c r="AM153" s="59">
        <f t="shared" si="113"/>
        <v>293.3333333333353</v>
      </c>
      <c r="AN153" s="59">
        <f ca="1">AVERAGE(OFFSET($AM$3,0,0,'Données projet'!$E$10+1,1))-AVERAGE(OFFSET($H$3,0,0,'Données projet'!$E$10+1,1))</f>
        <v>149.5086927376081</v>
      </c>
      <c r="AO153" s="59">
        <f t="shared" si="144"/>
        <v>364.59164590134498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9.4220017480061493</v>
      </c>
      <c r="AV153" s="21">
        <f>EXP(-LN(2)/25)*AV152+(1-EXP(-LN(2)/25))/(LN(2)/25)*Calculateur!AQ153*Calculateur!AS153*VLOOKUP('Données projet'!$B$10,Paramètres!$A$1:$I$89,3,0)*0.475*44/12</f>
        <v>0.70029959713582834</v>
      </c>
      <c r="AW153" s="21">
        <f>EXP(-LN(2)/2)*AW152+(1-EXP(-LN(2)/2))/(LN(2)/2)*AQ153*AT153*VLOOKUP('Données projet'!$B$10,Paramètres!$A$1:$I$89,3,0)*0.475*44/12</f>
        <v>5.1983754154458526E-19</v>
      </c>
      <c r="AX153" s="21">
        <f t="shared" si="114"/>
        <v>10.122301345141977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1.1368683772161603E-13</v>
      </c>
      <c r="BE153" s="13">
        <f>BD153*VLOOKUP('Données projet'!$B$11,Paramètres!$A$1:$I$89,3,0)*VLOOKUP('Données projet'!$B$11,Paramètres!$A$1:$I$89,5,0)</f>
        <v>6.7984728957526396E-14</v>
      </c>
      <c r="BF153" s="13">
        <f t="shared" si="145"/>
        <v>1.0682447123141398E-12</v>
      </c>
      <c r="BG153" s="20">
        <f t="shared" si="115"/>
        <v>1.978932943548152E-12</v>
      </c>
      <c r="BH153" s="59">
        <f t="shared" si="116"/>
        <v>293.3333333333353</v>
      </c>
      <c r="BI153" s="59">
        <f ca="1">AVERAGE(OFFSET($BH$3,0,0,'Données projet'!$E$11+1,1))-AVERAGE(OFFSET($H$3,0,0,'Données projet'!$E$11+1,1))</f>
        <v>149.5086927376081</v>
      </c>
      <c r="BJ153" s="59">
        <f t="shared" si="146"/>
        <v>364.59164590134498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9.4220017480061493</v>
      </c>
      <c r="BQ153" s="21">
        <f>EXP(-LN(2)/25)*BQ152+(1-EXP(-LN(2)/25))/(LN(2)/25)*Calculateur!BL153*Calculateur!BN153*VLOOKUP('Données projet'!$B$11,Paramètres!$A$1:$I$89,3,0)*0.475*44/12</f>
        <v>0.70029959713582834</v>
      </c>
      <c r="BR153" s="21">
        <f>EXP(-LN(2)/2)*BR152+(1-EXP(-LN(2)/2))/(LN(2)/2)*BL153*BO153*VLOOKUP('Données projet'!$B$11,Paramètres!$A$1:$I$89,3,0)*0.475*44/12</f>
        <v>5.1983754154458526E-19</v>
      </c>
      <c r="BS153" s="22">
        <f t="shared" si="117"/>
        <v>10.122301345141977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476.52216692322241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5.6843418860808015E-14</v>
      </c>
      <c r="O154" s="13">
        <f>N154*VLOOKUP('Données projet'!$B$9,Paramètres!$A$1:$I$89,3,0)*VLOOKUP('Données projet'!$B$9,Paramètres!$A$1:$I$89,5,0)</f>
        <v>3.3992364478763198E-14</v>
      </c>
      <c r="P154" s="13">
        <f t="shared" si="141"/>
        <v>5.790027782444094E-13</v>
      </c>
      <c r="Q154" s="20">
        <f t="shared" ref="Q154:Q203" si="162">(O154+P154)*0.475*44/12</f>
        <v>1.0676332069095257E-12</v>
      </c>
      <c r="R154" s="59">
        <f t="shared" si="109"/>
        <v>293.33333333333439</v>
      </c>
      <c r="S154" s="59">
        <f ca="1">AVERAGE(OFFSET($R$3,0,0,'Données projet'!$E$9+1,1))-AVERAGE(OFFSET($H$3,0,0,'Données projet'!$E$9+1,1))</f>
        <v>153.00981126776304</v>
      </c>
      <c r="T154" s="59">
        <f t="shared" si="142"/>
        <v>309.90400623462932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10.286905711218507</v>
      </c>
      <c r="AA154" s="21">
        <f>EXP(-LN(2)/25)*AA153+(1-EXP(-LN(2)/25))/(LN(2)/25)*Calculateur!V154*Calculateur!X154*VLOOKUP('Données projet'!$B$9,Paramètres!$A$1:$I$89,3,0)*0.475*44/12</f>
        <v>0.73517028740452295</v>
      </c>
      <c r="AB154" s="21">
        <f>EXP(-LN(2)/2)*AB153+(1-EXP(-LN(2)/2))/(LN(2)/2)*V154*Y154*VLOOKUP('Données projet'!$B$9,Paramètres!$A$1:$I$89,3,0)*0.475*44/12</f>
        <v>4.7872569146524996E-19</v>
      </c>
      <c r="AC154" s="22">
        <f t="shared" ref="AC154:AC203" si="163">SUM(Z154:AB154)</f>
        <v>11.022075998623031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1.1368683772161603E-13</v>
      </c>
      <c r="AJ154" s="13">
        <f>AI154*VLOOKUP('Données projet'!$B$10,Paramètres!$A$1:$I$89,3,0)*VLOOKUP('Données projet'!$B$10,Paramètres!$A$1:$I$89,5,0)</f>
        <v>6.7984728957526396E-14</v>
      </c>
      <c r="AK154" s="13">
        <f t="shared" ref="AK154:AK203" si="164">EXP(-1.0587+0.8836*LN(AJ154)+0.284)</f>
        <v>1.0682447123141398E-12</v>
      </c>
      <c r="AL154" s="20">
        <f t="shared" ref="AL154:AL203" si="165">(AJ154+AK154)*0.475*44/12</f>
        <v>1.978932943548152E-12</v>
      </c>
      <c r="AM154" s="59">
        <f t="shared" si="113"/>
        <v>293.3333333333353</v>
      </c>
      <c r="AN154" s="59">
        <f ca="1">AVERAGE(OFFSET($AM$3,0,0,'Données projet'!$E$10+1,1))-AVERAGE(OFFSET($H$3,0,0,'Données projet'!$E$10+1,1))</f>
        <v>149.5086927376081</v>
      </c>
      <c r="AO154" s="59">
        <f t="shared" si="144"/>
        <v>364.59164590134498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9.2372420405813607</v>
      </c>
      <c r="AV154" s="21">
        <f>EXP(-LN(2)/25)*AV153+(1-EXP(-LN(2)/25))/(LN(2)/25)*Calculateur!AQ154*Calculateur!AS154*VLOOKUP('Données projet'!$B$10,Paramètres!$A$1:$I$89,3,0)*0.475*44/12</f>
        <v>0.68114986782499387</v>
      </c>
      <c r="AW154" s="21">
        <f>EXP(-LN(2)/2)*AW153+(1-EXP(-LN(2)/2))/(LN(2)/2)*AQ154*AT154*VLOOKUP('Données projet'!$B$10,Paramètres!$A$1:$I$89,3,0)*0.475*44/12</f>
        <v>3.6758065074151986E-19</v>
      </c>
      <c r="AX154" s="21">
        <f t="shared" ref="AX154:AX203" si="166">SUM(AU154:AW154)</f>
        <v>9.9183919084063543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1.1368683772161603E-13</v>
      </c>
      <c r="BE154" s="13">
        <f>BD154*VLOOKUP('Données projet'!$B$11,Paramètres!$A$1:$I$89,3,0)*VLOOKUP('Données projet'!$B$11,Paramètres!$A$1:$I$89,5,0)</f>
        <v>6.7984728957526396E-14</v>
      </c>
      <c r="BF154" s="13">
        <f t="shared" ref="BF154:BF203" si="167">EXP(-1.0587+0.8836*LN(BE154)+0.284)</f>
        <v>1.0682447123141398E-12</v>
      </c>
      <c r="BG154" s="20">
        <f t="shared" ref="BG154:BG203" si="168">(BE154+BF154)*0.475*44/12</f>
        <v>1.978932943548152E-12</v>
      </c>
      <c r="BH154" s="59">
        <f t="shared" si="116"/>
        <v>293.3333333333353</v>
      </c>
      <c r="BI154" s="59">
        <f ca="1">AVERAGE(OFFSET($BH$3,0,0,'Données projet'!$E$11+1,1))-AVERAGE(OFFSET($H$3,0,0,'Données projet'!$E$11+1,1))</f>
        <v>149.5086927376081</v>
      </c>
      <c r="BJ154" s="59">
        <f t="shared" si="146"/>
        <v>364.59164590134498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9.2372420405813607</v>
      </c>
      <c r="BQ154" s="21">
        <f>EXP(-LN(2)/25)*BQ153+(1-EXP(-LN(2)/25))/(LN(2)/25)*Calculateur!BL154*Calculateur!BN154*VLOOKUP('Données projet'!$B$11,Paramètres!$A$1:$I$89,3,0)*0.475*44/12</f>
        <v>0.68114986782499387</v>
      </c>
      <c r="BR154" s="21">
        <f>EXP(-LN(2)/2)*BR153+(1-EXP(-LN(2)/2))/(LN(2)/2)*BL154*BO154*VLOOKUP('Données projet'!$B$11,Paramètres!$A$1:$I$89,3,0)*0.475*44/12</f>
        <v>3.6758065074151986E-19</v>
      </c>
      <c r="BS154" s="22">
        <f t="shared" ref="BS154:BS203" si="169">SUM(BP154:BR154)</f>
        <v>9.9183919084063543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477.70472638813214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5.6843418860808015E-14</v>
      </c>
      <c r="O155" s="13">
        <f>N155*VLOOKUP('Données projet'!$B$9,Paramètres!$A$1:$I$89,3,0)*VLOOKUP('Données projet'!$B$9,Paramètres!$A$1:$I$89,5,0)</f>
        <v>3.3992364478763198E-14</v>
      </c>
      <c r="P155" s="13">
        <f t="shared" si="141"/>
        <v>5.790027782444094E-13</v>
      </c>
      <c r="Q155" s="20">
        <f t="shared" si="162"/>
        <v>1.0676332069095257E-12</v>
      </c>
      <c r="R155" s="59">
        <f t="shared" si="109"/>
        <v>293.33333333333439</v>
      </c>
      <c r="S155" s="59">
        <f ca="1">AVERAGE(OFFSET($R$3,0,0,'Données projet'!$E$9+1,1))-AVERAGE(OFFSET($H$3,0,0,'Données projet'!$E$9+1,1))</f>
        <v>153.00981126776304</v>
      </c>
      <c r="T155" s="59">
        <f t="shared" si="142"/>
        <v>309.90400623462932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10.085185764614451</v>
      </c>
      <c r="AA155" s="21">
        <f>EXP(-LN(2)/25)*AA154+(1-EXP(-LN(2)/25))/(LN(2)/25)*Calculateur!V155*Calculateur!X155*VLOOKUP('Données projet'!$B$9,Paramètres!$A$1:$I$89,3,0)*0.475*44/12</f>
        <v>0.71506701723452115</v>
      </c>
      <c r="AB155" s="21">
        <f>EXP(-LN(2)/2)*AB154+(1-EXP(-LN(2)/2))/(LN(2)/2)*V155*Y155*VLOOKUP('Données projet'!$B$9,Paramètres!$A$1:$I$89,3,0)*0.475*44/12</f>
        <v>3.3851018276329717E-19</v>
      </c>
      <c r="AC155" s="22">
        <f t="shared" si="163"/>
        <v>10.800252781848972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1.1368683772161603E-13</v>
      </c>
      <c r="AJ155" s="13">
        <f>AI155*VLOOKUP('Données projet'!$B$10,Paramètres!$A$1:$I$89,3,0)*VLOOKUP('Données projet'!$B$10,Paramètres!$A$1:$I$89,5,0)</f>
        <v>6.7984728957526396E-14</v>
      </c>
      <c r="AK155" s="13">
        <f t="shared" si="164"/>
        <v>1.0682447123141398E-12</v>
      </c>
      <c r="AL155" s="20">
        <f t="shared" si="165"/>
        <v>1.978932943548152E-12</v>
      </c>
      <c r="AM155" s="59">
        <f t="shared" si="113"/>
        <v>293.3333333333353</v>
      </c>
      <c r="AN155" s="59">
        <f ca="1">AVERAGE(OFFSET($AM$3,0,0,'Données projet'!$E$10+1,1))-AVERAGE(OFFSET($H$3,0,0,'Données projet'!$E$10+1,1))</f>
        <v>149.5086927376081</v>
      </c>
      <c r="AO155" s="59">
        <f t="shared" si="144"/>
        <v>364.59164590134498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9.056105358326878</v>
      </c>
      <c r="AV155" s="21">
        <f>EXP(-LN(2)/25)*AV154+(1-EXP(-LN(2)/25))/(LN(2)/25)*Calculateur!AQ155*Calculateur!AS155*VLOOKUP('Données projet'!$B$10,Paramètres!$A$1:$I$89,3,0)*0.475*44/12</f>
        <v>0.6625237888692046</v>
      </c>
      <c r="AW155" s="21">
        <f>EXP(-LN(2)/2)*AW154+(1-EXP(-LN(2)/2))/(LN(2)/2)*AQ155*AT155*VLOOKUP('Données projet'!$B$10,Paramètres!$A$1:$I$89,3,0)*0.475*44/12</f>
        <v>2.5991877077229263E-19</v>
      </c>
      <c r="AX155" s="21">
        <f t="shared" si="166"/>
        <v>9.7186291471960828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1.1368683772161603E-13</v>
      </c>
      <c r="BE155" s="13">
        <f>BD155*VLOOKUP('Données projet'!$B$11,Paramètres!$A$1:$I$89,3,0)*VLOOKUP('Données projet'!$B$11,Paramètres!$A$1:$I$89,5,0)</f>
        <v>6.7984728957526396E-14</v>
      </c>
      <c r="BF155" s="13">
        <f t="shared" si="167"/>
        <v>1.0682447123141398E-12</v>
      </c>
      <c r="BG155" s="20">
        <f t="shared" si="168"/>
        <v>1.978932943548152E-12</v>
      </c>
      <c r="BH155" s="59">
        <f t="shared" si="116"/>
        <v>293.3333333333353</v>
      </c>
      <c r="BI155" s="59">
        <f ca="1">AVERAGE(OFFSET($BH$3,0,0,'Données projet'!$E$11+1,1))-AVERAGE(OFFSET($H$3,0,0,'Données projet'!$E$11+1,1))</f>
        <v>149.5086927376081</v>
      </c>
      <c r="BJ155" s="59">
        <f t="shared" si="146"/>
        <v>364.59164590134498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9.056105358326878</v>
      </c>
      <c r="BQ155" s="21">
        <f>EXP(-LN(2)/25)*BQ154+(1-EXP(-LN(2)/25))/(LN(2)/25)*Calculateur!BL155*Calculateur!BN155*VLOOKUP('Données projet'!$B$11,Paramètres!$A$1:$I$89,3,0)*0.475*44/12</f>
        <v>0.6625237888692046</v>
      </c>
      <c r="BR155" s="21">
        <f>EXP(-LN(2)/2)*BR154+(1-EXP(-LN(2)/2))/(LN(2)/2)*BL155*BO155*VLOOKUP('Données projet'!$B$11,Paramètres!$A$1:$I$89,3,0)*0.475*44/12</f>
        <v>2.5991877077229263E-19</v>
      </c>
      <c r="BS155" s="22">
        <f t="shared" si="169"/>
        <v>9.7186291471960828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478.88710855549317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5.6843418860808015E-14</v>
      </c>
      <c r="O156" s="13">
        <f>N156*VLOOKUP('Données projet'!$B$9,Paramètres!$A$1:$I$89,3,0)*VLOOKUP('Données projet'!$B$9,Paramètres!$A$1:$I$89,5,0)</f>
        <v>3.3992364478763198E-14</v>
      </c>
      <c r="P156" s="13">
        <f t="shared" si="141"/>
        <v>5.790027782444094E-13</v>
      </c>
      <c r="Q156" s="20">
        <f t="shared" si="162"/>
        <v>1.0676332069095257E-12</v>
      </c>
      <c r="R156" s="59">
        <f t="shared" si="109"/>
        <v>293.33333333333439</v>
      </c>
      <c r="S156" s="59">
        <f ca="1">AVERAGE(OFFSET($R$3,0,0,'Données projet'!$E$9+1,1))-AVERAGE(OFFSET($H$3,0,0,'Données projet'!$E$9+1,1))</f>
        <v>153.00981126776304</v>
      </c>
      <c r="T156" s="59">
        <f t="shared" si="142"/>
        <v>309.90400623462932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9.8874214231262822</v>
      </c>
      <c r="AA156" s="21">
        <f>EXP(-LN(2)/25)*AA155+(1-EXP(-LN(2)/25))/(LN(2)/25)*Calculateur!V156*Calculateur!X156*VLOOKUP('Données projet'!$B$9,Paramètres!$A$1:$I$89,3,0)*0.475*44/12</f>
        <v>0.69551347204450309</v>
      </c>
      <c r="AB156" s="21">
        <f>EXP(-LN(2)/2)*AB155+(1-EXP(-LN(2)/2))/(LN(2)/2)*V156*Y156*VLOOKUP('Données projet'!$B$9,Paramètres!$A$1:$I$89,3,0)*0.475*44/12</f>
        <v>2.3936284573262498E-19</v>
      </c>
      <c r="AC156" s="22">
        <f t="shared" si="163"/>
        <v>10.582934895170785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1.1368683772161603E-13</v>
      </c>
      <c r="AJ156" s="13">
        <f>AI156*VLOOKUP('Données projet'!$B$10,Paramètres!$A$1:$I$89,3,0)*VLOOKUP('Données projet'!$B$10,Paramètres!$A$1:$I$89,5,0)</f>
        <v>6.7984728957526396E-14</v>
      </c>
      <c r="AK156" s="13">
        <f t="shared" si="164"/>
        <v>1.0682447123141398E-12</v>
      </c>
      <c r="AL156" s="20">
        <f t="shared" si="165"/>
        <v>1.978932943548152E-12</v>
      </c>
      <c r="AM156" s="59">
        <f t="shared" si="113"/>
        <v>293.3333333333353</v>
      </c>
      <c r="AN156" s="59">
        <f ca="1">AVERAGE(OFFSET($AM$3,0,0,'Données projet'!$E$10+1,1))-AVERAGE(OFFSET($H$3,0,0,'Données projet'!$E$10+1,1))</f>
        <v>149.5086927376081</v>
      </c>
      <c r="AO156" s="59">
        <f t="shared" si="144"/>
        <v>364.59164590134498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8.8785206559289378</v>
      </c>
      <c r="AV156" s="21">
        <f>EXP(-LN(2)/25)*AV155+(1-EXP(-LN(2)/25))/(LN(2)/25)*Calculateur!AQ156*Calculateur!AS156*VLOOKUP('Données projet'!$B$10,Paramètres!$A$1:$I$89,3,0)*0.475*44/12</f>
        <v>0.64440704102196433</v>
      </c>
      <c r="AW156" s="21">
        <f>EXP(-LN(2)/2)*AW155+(1-EXP(-LN(2)/2))/(LN(2)/2)*AQ156*AT156*VLOOKUP('Données projet'!$B$10,Paramètres!$A$1:$I$89,3,0)*0.475*44/12</f>
        <v>1.8379032537075993E-19</v>
      </c>
      <c r="AX156" s="21">
        <f t="shared" si="166"/>
        <v>9.5229276969509016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1.1368683772161603E-13</v>
      </c>
      <c r="BE156" s="13">
        <f>BD156*VLOOKUP('Données projet'!$B$11,Paramètres!$A$1:$I$89,3,0)*VLOOKUP('Données projet'!$B$11,Paramètres!$A$1:$I$89,5,0)</f>
        <v>6.7984728957526396E-14</v>
      </c>
      <c r="BF156" s="13">
        <f t="shared" si="167"/>
        <v>1.0682447123141398E-12</v>
      </c>
      <c r="BG156" s="20">
        <f t="shared" si="168"/>
        <v>1.978932943548152E-12</v>
      </c>
      <c r="BH156" s="59">
        <f t="shared" si="116"/>
        <v>293.3333333333353</v>
      </c>
      <c r="BI156" s="59">
        <f ca="1">AVERAGE(OFFSET($BH$3,0,0,'Données projet'!$E$11+1,1))-AVERAGE(OFFSET($H$3,0,0,'Données projet'!$E$11+1,1))</f>
        <v>149.5086927376081</v>
      </c>
      <c r="BJ156" s="59">
        <f t="shared" si="146"/>
        <v>364.59164590134498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8.8785206559289378</v>
      </c>
      <c r="BQ156" s="21">
        <f>EXP(-LN(2)/25)*BQ155+(1-EXP(-LN(2)/25))/(LN(2)/25)*Calculateur!BL156*Calculateur!BN156*VLOOKUP('Données projet'!$B$11,Paramètres!$A$1:$I$89,3,0)*0.475*44/12</f>
        <v>0.64440704102196433</v>
      </c>
      <c r="BR156" s="21">
        <f>EXP(-LN(2)/2)*BR155+(1-EXP(-LN(2)/2))/(LN(2)/2)*BL156*BO156*VLOOKUP('Données projet'!$B$11,Paramètres!$A$1:$I$89,3,0)*0.475*44/12</f>
        <v>1.8379032537075993E-19</v>
      </c>
      <c r="BS156" s="22">
        <f t="shared" si="169"/>
        <v>9.5229276969509016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480.06931471852465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5.6843418860808015E-14</v>
      </c>
      <c r="O157" s="13">
        <f>N157*VLOOKUP('Données projet'!$B$9,Paramètres!$A$1:$I$89,3,0)*VLOOKUP('Données projet'!$B$9,Paramètres!$A$1:$I$89,5,0)</f>
        <v>3.3992364478763198E-14</v>
      </c>
      <c r="P157" s="13">
        <f t="shared" si="141"/>
        <v>5.790027782444094E-13</v>
      </c>
      <c r="Q157" s="20">
        <f t="shared" si="162"/>
        <v>1.0676332069095257E-12</v>
      </c>
      <c r="R157" s="59">
        <f t="shared" si="109"/>
        <v>293.33333333333439</v>
      </c>
      <c r="S157" s="59">
        <f ca="1">AVERAGE(OFFSET($R$3,0,0,'Données projet'!$E$9+1,1))-AVERAGE(OFFSET($H$3,0,0,'Données projet'!$E$9+1,1))</f>
        <v>153.00981126776304</v>
      </c>
      <c r="T157" s="59">
        <f t="shared" si="142"/>
        <v>309.90400623462932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9.6935351197503579</v>
      </c>
      <c r="AA157" s="21">
        <f>EXP(-LN(2)/25)*AA156+(1-EXP(-LN(2)/25))/(LN(2)/25)*Calculateur!V157*Calculateur!X157*VLOOKUP('Données projet'!$B$9,Paramètres!$A$1:$I$89,3,0)*0.475*44/12</f>
        <v>0.67649461957598223</v>
      </c>
      <c r="AB157" s="21">
        <f>EXP(-LN(2)/2)*AB156+(1-EXP(-LN(2)/2))/(LN(2)/2)*V157*Y157*VLOOKUP('Données projet'!$B$9,Paramètres!$A$1:$I$89,3,0)*0.475*44/12</f>
        <v>1.6925509138164858E-19</v>
      </c>
      <c r="AC157" s="22">
        <f t="shared" si="163"/>
        <v>10.370029739326339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1.1368683772161603E-13</v>
      </c>
      <c r="AJ157" s="13">
        <f>AI157*VLOOKUP('Données projet'!$B$10,Paramètres!$A$1:$I$89,3,0)*VLOOKUP('Données projet'!$B$10,Paramètres!$A$1:$I$89,5,0)</f>
        <v>6.7984728957526396E-14</v>
      </c>
      <c r="AK157" s="13">
        <f t="shared" si="164"/>
        <v>1.0682447123141398E-12</v>
      </c>
      <c r="AL157" s="20">
        <f t="shared" si="165"/>
        <v>1.978932943548152E-12</v>
      </c>
      <c r="AM157" s="59">
        <f t="shared" si="113"/>
        <v>293.3333333333353</v>
      </c>
      <c r="AN157" s="59">
        <f ca="1">AVERAGE(OFFSET($AM$3,0,0,'Données projet'!$E$10+1,1))-AVERAGE(OFFSET($H$3,0,0,'Données projet'!$E$10+1,1))</f>
        <v>149.5086927376081</v>
      </c>
      <c r="AO157" s="59">
        <f t="shared" si="144"/>
        <v>364.59164590134498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8.7044182812290494</v>
      </c>
      <c r="AV157" s="21">
        <f>EXP(-LN(2)/25)*AV156+(1-EXP(-LN(2)/25))/(LN(2)/25)*Calculateur!AQ157*Calculateur!AS157*VLOOKUP('Données projet'!$B$10,Paramètres!$A$1:$I$89,3,0)*0.475*44/12</f>
        <v>0.62678569659732519</v>
      </c>
      <c r="AW157" s="21">
        <f>EXP(-LN(2)/2)*AW156+(1-EXP(-LN(2)/2))/(LN(2)/2)*AQ157*AT157*VLOOKUP('Données projet'!$B$10,Paramètres!$A$1:$I$89,3,0)*0.475*44/12</f>
        <v>1.2995938538614632E-19</v>
      </c>
      <c r="AX157" s="21">
        <f t="shared" si="166"/>
        <v>9.3312039778263749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1.1368683772161603E-13</v>
      </c>
      <c r="BE157" s="13">
        <f>BD157*VLOOKUP('Données projet'!$B$11,Paramètres!$A$1:$I$89,3,0)*VLOOKUP('Données projet'!$B$11,Paramètres!$A$1:$I$89,5,0)</f>
        <v>6.7984728957526396E-14</v>
      </c>
      <c r="BF157" s="13">
        <f t="shared" si="167"/>
        <v>1.0682447123141398E-12</v>
      </c>
      <c r="BG157" s="20">
        <f t="shared" si="168"/>
        <v>1.978932943548152E-12</v>
      </c>
      <c r="BH157" s="59">
        <f t="shared" si="116"/>
        <v>293.3333333333353</v>
      </c>
      <c r="BI157" s="59">
        <f ca="1">AVERAGE(OFFSET($BH$3,0,0,'Données projet'!$E$11+1,1))-AVERAGE(OFFSET($H$3,0,0,'Données projet'!$E$11+1,1))</f>
        <v>149.5086927376081</v>
      </c>
      <c r="BJ157" s="59">
        <f t="shared" si="146"/>
        <v>364.59164590134498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8.7044182812290494</v>
      </c>
      <c r="BQ157" s="21">
        <f>EXP(-LN(2)/25)*BQ156+(1-EXP(-LN(2)/25))/(LN(2)/25)*Calculateur!BL157*Calculateur!BN157*VLOOKUP('Données projet'!$B$11,Paramètres!$A$1:$I$89,3,0)*0.475*44/12</f>
        <v>0.62678569659732519</v>
      </c>
      <c r="BR157" s="21">
        <f>EXP(-LN(2)/2)*BR156+(1-EXP(-LN(2)/2))/(LN(2)/2)*BL157*BO157*VLOOKUP('Données projet'!$B$11,Paramètres!$A$1:$I$89,3,0)*0.475*44/12</f>
        <v>1.2995938538614632E-19</v>
      </c>
      <c r="BS157" s="22">
        <f t="shared" si="169"/>
        <v>9.3312039778263749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481.25134615267967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5.6843418860808015E-14</v>
      </c>
      <c r="O158" s="13">
        <f>N158*VLOOKUP('Données projet'!$B$9,Paramètres!$A$1:$I$89,3,0)*VLOOKUP('Données projet'!$B$9,Paramètres!$A$1:$I$89,5,0)</f>
        <v>3.3992364478763198E-14</v>
      </c>
      <c r="P158" s="13">
        <f t="shared" si="141"/>
        <v>5.790027782444094E-13</v>
      </c>
      <c r="Q158" s="20">
        <f t="shared" si="162"/>
        <v>1.0676332069095257E-12</v>
      </c>
      <c r="R158" s="59">
        <f t="shared" si="109"/>
        <v>293.33333333333439</v>
      </c>
      <c r="S158" s="59">
        <f ca="1">AVERAGE(OFFSET($R$3,0,0,'Données projet'!$E$9+1,1))-AVERAGE(OFFSET($H$3,0,0,'Données projet'!$E$9+1,1))</f>
        <v>153.00981126776304</v>
      </c>
      <c r="T158" s="59">
        <f t="shared" si="142"/>
        <v>309.90400623462932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9.5034508085246685</v>
      </c>
      <c r="AA158" s="21">
        <f>EXP(-LN(2)/25)*AA157+(1-EXP(-LN(2)/25))/(LN(2)/25)*Calculateur!V158*Calculateur!X158*VLOOKUP('Données projet'!$B$9,Paramètres!$A$1:$I$89,3,0)*0.475*44/12</f>
        <v>0.65799583862837108</v>
      </c>
      <c r="AB158" s="21">
        <f>EXP(-LN(2)/2)*AB157+(1-EXP(-LN(2)/2))/(LN(2)/2)*V158*Y158*VLOOKUP('Données projet'!$B$9,Paramètres!$A$1:$I$89,3,0)*0.475*44/12</f>
        <v>1.1968142286631249E-19</v>
      </c>
      <c r="AC158" s="22">
        <f t="shared" si="163"/>
        <v>10.16144664715304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1.1368683772161603E-13</v>
      </c>
      <c r="AJ158" s="13">
        <f>AI158*VLOOKUP('Données projet'!$B$10,Paramètres!$A$1:$I$89,3,0)*VLOOKUP('Données projet'!$B$10,Paramètres!$A$1:$I$89,5,0)</f>
        <v>6.7984728957526396E-14</v>
      </c>
      <c r="AK158" s="13">
        <f t="shared" si="164"/>
        <v>1.0682447123141398E-12</v>
      </c>
      <c r="AL158" s="20">
        <f t="shared" si="165"/>
        <v>1.978932943548152E-12</v>
      </c>
      <c r="AM158" s="59">
        <f t="shared" si="113"/>
        <v>293.3333333333353</v>
      </c>
      <c r="AN158" s="59">
        <f ca="1">AVERAGE(OFFSET($AM$3,0,0,'Données projet'!$E$10+1,1))-AVERAGE(OFFSET($H$3,0,0,'Données projet'!$E$10+1,1))</f>
        <v>149.5086927376081</v>
      </c>
      <c r="AO158" s="59">
        <f t="shared" si="144"/>
        <v>364.59164590134498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8.5337299479050621</v>
      </c>
      <c r="AV158" s="21">
        <f>EXP(-LN(2)/25)*AV157+(1-EXP(-LN(2)/25))/(LN(2)/25)*Calculateur!AQ158*Calculateur!AS158*VLOOKUP('Données projet'!$B$10,Paramètres!$A$1:$I$89,3,0)*0.475*44/12</f>
        <v>0.60964620876264408</v>
      </c>
      <c r="AW158" s="21">
        <f>EXP(-LN(2)/2)*AW157+(1-EXP(-LN(2)/2))/(LN(2)/2)*AQ158*AT158*VLOOKUP('Données projet'!$B$10,Paramètres!$A$1:$I$89,3,0)*0.475*44/12</f>
        <v>9.1895162685379966E-20</v>
      </c>
      <c r="AX158" s="21">
        <f t="shared" si="166"/>
        <v>9.1433761566677063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1.1368683772161603E-13</v>
      </c>
      <c r="BE158" s="13">
        <f>BD158*VLOOKUP('Données projet'!$B$11,Paramètres!$A$1:$I$89,3,0)*VLOOKUP('Données projet'!$B$11,Paramètres!$A$1:$I$89,5,0)</f>
        <v>6.7984728957526396E-14</v>
      </c>
      <c r="BF158" s="13">
        <f t="shared" si="167"/>
        <v>1.0682447123141398E-12</v>
      </c>
      <c r="BG158" s="20">
        <f t="shared" si="168"/>
        <v>1.978932943548152E-12</v>
      </c>
      <c r="BH158" s="59">
        <f t="shared" si="116"/>
        <v>293.3333333333353</v>
      </c>
      <c r="BI158" s="59">
        <f ca="1">AVERAGE(OFFSET($BH$3,0,0,'Données projet'!$E$11+1,1))-AVERAGE(OFFSET($H$3,0,0,'Données projet'!$E$11+1,1))</f>
        <v>149.5086927376081</v>
      </c>
      <c r="BJ158" s="59">
        <f t="shared" si="146"/>
        <v>364.59164590134498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8.5337299479050621</v>
      </c>
      <c r="BQ158" s="21">
        <f>EXP(-LN(2)/25)*BQ157+(1-EXP(-LN(2)/25))/(LN(2)/25)*Calculateur!BL158*Calculateur!BN158*VLOOKUP('Données projet'!$B$11,Paramètres!$A$1:$I$89,3,0)*0.475*44/12</f>
        <v>0.60964620876264408</v>
      </c>
      <c r="BR158" s="21">
        <f>EXP(-LN(2)/2)*BR157+(1-EXP(-LN(2)/2))/(LN(2)/2)*BL158*BO158*VLOOKUP('Données projet'!$B$11,Paramètres!$A$1:$I$89,3,0)*0.475*44/12</f>
        <v>9.1895162685379966E-20</v>
      </c>
      <c r="BS158" s="22">
        <f t="shared" si="169"/>
        <v>9.1433761566677063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482.433204116002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5.6843418860808015E-14</v>
      </c>
      <c r="O159" s="13">
        <f>N159*VLOOKUP('Données projet'!$B$9,Paramètres!$A$1:$I$89,3,0)*VLOOKUP('Données projet'!$B$9,Paramètres!$A$1:$I$89,5,0)</f>
        <v>3.3992364478763198E-14</v>
      </c>
      <c r="P159" s="13">
        <f t="shared" si="141"/>
        <v>5.790027782444094E-13</v>
      </c>
      <c r="Q159" s="20">
        <f t="shared" si="162"/>
        <v>1.0676332069095257E-12</v>
      </c>
      <c r="R159" s="59">
        <f t="shared" si="109"/>
        <v>293.33333333333439</v>
      </c>
      <c r="S159" s="59">
        <f ca="1">AVERAGE(OFFSET($R$3,0,0,'Données projet'!$E$9+1,1))-AVERAGE(OFFSET($H$3,0,0,'Données projet'!$E$9+1,1))</f>
        <v>153.00981126776304</v>
      </c>
      <c r="T159" s="59">
        <f t="shared" si="142"/>
        <v>309.90400623462932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9.3170939347021324</v>
      </c>
      <c r="AA159" s="21">
        <f>EXP(-LN(2)/25)*AA158+(1-EXP(-LN(2)/25))/(LN(2)/25)*Calculateur!V159*Calculateur!X159*VLOOKUP('Données projet'!$B$9,Paramètres!$A$1:$I$89,3,0)*0.475*44/12</f>
        <v>0.64000290781858094</v>
      </c>
      <c r="AB159" s="21">
        <f>EXP(-LN(2)/2)*AB158+(1-EXP(-LN(2)/2))/(LN(2)/2)*V159*Y159*VLOOKUP('Données projet'!$B$9,Paramètres!$A$1:$I$89,3,0)*0.475*44/12</f>
        <v>8.4627545690824292E-20</v>
      </c>
      <c r="AC159" s="22">
        <f t="shared" si="163"/>
        <v>9.9570968425207127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1.1368683772161603E-13</v>
      </c>
      <c r="AJ159" s="13">
        <f>AI159*VLOOKUP('Données projet'!$B$10,Paramètres!$A$1:$I$89,3,0)*VLOOKUP('Données projet'!$B$10,Paramètres!$A$1:$I$89,5,0)</f>
        <v>6.7984728957526396E-14</v>
      </c>
      <c r="AK159" s="13">
        <f t="shared" si="164"/>
        <v>1.0682447123141398E-12</v>
      </c>
      <c r="AL159" s="20">
        <f t="shared" si="165"/>
        <v>1.978932943548152E-12</v>
      </c>
      <c r="AM159" s="59">
        <f t="shared" si="113"/>
        <v>293.3333333333353</v>
      </c>
      <c r="AN159" s="59">
        <f ca="1">AVERAGE(OFFSET($AM$3,0,0,'Données projet'!$E$10+1,1))-AVERAGE(OFFSET($H$3,0,0,'Données projet'!$E$10+1,1))</f>
        <v>149.5086927376081</v>
      </c>
      <c r="AO159" s="59">
        <f t="shared" si="144"/>
        <v>364.59164590134498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8.3663887086879551</v>
      </c>
      <c r="AV159" s="21">
        <f>EXP(-LN(2)/25)*AV158+(1-EXP(-LN(2)/25))/(LN(2)/25)*Calculateur!AQ159*Calculateur!AS159*VLOOKUP('Données projet'!$B$10,Paramètres!$A$1:$I$89,3,0)*0.475*44/12</f>
        <v>0.59297540112412883</v>
      </c>
      <c r="AW159" s="21">
        <f>EXP(-LN(2)/2)*AW158+(1-EXP(-LN(2)/2))/(LN(2)/2)*AQ159*AT159*VLOOKUP('Données projet'!$B$10,Paramètres!$A$1:$I$89,3,0)*0.475*44/12</f>
        <v>6.4979692693073158E-20</v>
      </c>
      <c r="AX159" s="21">
        <f t="shared" si="166"/>
        <v>8.9593641098120838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1.1368683772161603E-13</v>
      </c>
      <c r="BE159" s="13">
        <f>BD159*VLOOKUP('Données projet'!$B$11,Paramètres!$A$1:$I$89,3,0)*VLOOKUP('Données projet'!$B$11,Paramètres!$A$1:$I$89,5,0)</f>
        <v>6.7984728957526396E-14</v>
      </c>
      <c r="BF159" s="13">
        <f t="shared" si="167"/>
        <v>1.0682447123141398E-12</v>
      </c>
      <c r="BG159" s="20">
        <f t="shared" si="168"/>
        <v>1.978932943548152E-12</v>
      </c>
      <c r="BH159" s="59">
        <f t="shared" si="116"/>
        <v>293.3333333333353</v>
      </c>
      <c r="BI159" s="59">
        <f ca="1">AVERAGE(OFFSET($BH$3,0,0,'Données projet'!$E$11+1,1))-AVERAGE(OFFSET($H$3,0,0,'Données projet'!$E$11+1,1))</f>
        <v>149.5086927376081</v>
      </c>
      <c r="BJ159" s="59">
        <f t="shared" si="146"/>
        <v>364.59164590134498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8.3663887086879551</v>
      </c>
      <c r="BQ159" s="21">
        <f>EXP(-LN(2)/25)*BQ158+(1-EXP(-LN(2)/25))/(LN(2)/25)*Calculateur!BL159*Calculateur!BN159*VLOOKUP('Données projet'!$B$11,Paramètres!$A$1:$I$89,3,0)*0.475*44/12</f>
        <v>0.59297540112412883</v>
      </c>
      <c r="BR159" s="21">
        <f>EXP(-LN(2)/2)*BR158+(1-EXP(-LN(2)/2))/(LN(2)/2)*BL159*BO159*VLOOKUP('Données projet'!$B$11,Paramètres!$A$1:$I$89,3,0)*0.475*44/12</f>
        <v>6.4979692693073158E-20</v>
      </c>
      <c r="BS159" s="22">
        <f t="shared" si="169"/>
        <v>8.9593641098120838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483.61488984947425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5.6843418860808015E-14</v>
      </c>
      <c r="O160" s="13">
        <f>N160*VLOOKUP('Données projet'!$B$9,Paramètres!$A$1:$I$89,3,0)*VLOOKUP('Données projet'!$B$9,Paramètres!$A$1:$I$89,5,0)</f>
        <v>3.3992364478763198E-14</v>
      </c>
      <c r="P160" s="13">
        <f t="shared" si="141"/>
        <v>5.790027782444094E-13</v>
      </c>
      <c r="Q160" s="20">
        <f t="shared" si="162"/>
        <v>1.0676332069095257E-12</v>
      </c>
      <c r="R160" s="59">
        <f t="shared" si="109"/>
        <v>293.33333333333439</v>
      </c>
      <c r="S160" s="59">
        <f ca="1">AVERAGE(OFFSET($R$3,0,0,'Données projet'!$E$9+1,1))-AVERAGE(OFFSET($H$3,0,0,'Données projet'!$E$9+1,1))</f>
        <v>153.00981126776304</v>
      </c>
      <c r="T160" s="59">
        <f t="shared" si="142"/>
        <v>309.90400623462932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9.1343914055087865</v>
      </c>
      <c r="AA160" s="21">
        <f>EXP(-LN(2)/25)*AA159+(1-EXP(-LN(2)/25))/(LN(2)/25)*Calculateur!V160*Calculateur!X160*VLOOKUP('Données projet'!$B$9,Paramètres!$A$1:$I$89,3,0)*0.475*44/12</f>
        <v>0.62250199464799172</v>
      </c>
      <c r="AB160" s="21">
        <f>EXP(-LN(2)/2)*AB159+(1-EXP(-LN(2)/2))/(LN(2)/2)*V160*Y160*VLOOKUP('Données projet'!$B$9,Paramètres!$A$1:$I$89,3,0)*0.475*44/12</f>
        <v>5.9840711433156245E-20</v>
      </c>
      <c r="AC160" s="22">
        <f t="shared" si="163"/>
        <v>9.7568934001567786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1.1368683772161603E-13</v>
      </c>
      <c r="AJ160" s="13">
        <f>AI160*VLOOKUP('Données projet'!$B$10,Paramètres!$A$1:$I$89,3,0)*VLOOKUP('Données projet'!$B$10,Paramètres!$A$1:$I$89,5,0)</f>
        <v>6.7984728957526396E-14</v>
      </c>
      <c r="AK160" s="13">
        <f t="shared" si="164"/>
        <v>1.0682447123141398E-12</v>
      </c>
      <c r="AL160" s="20">
        <f t="shared" si="165"/>
        <v>1.978932943548152E-12</v>
      </c>
      <c r="AM160" s="59">
        <f t="shared" si="113"/>
        <v>293.3333333333353</v>
      </c>
      <c r="AN160" s="59">
        <f ca="1">AVERAGE(OFFSET($AM$3,0,0,'Données projet'!$E$10+1,1))-AVERAGE(OFFSET($H$3,0,0,'Données projet'!$E$10+1,1))</f>
        <v>149.5086927376081</v>
      </c>
      <c r="AO160" s="59">
        <f t="shared" si="144"/>
        <v>364.59164590134498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8.2023289291038175</v>
      </c>
      <c r="AV160" s="21">
        <f>EXP(-LN(2)/25)*AV159+(1-EXP(-LN(2)/25))/(LN(2)/25)*Calculateur!AQ160*Calculateur!AS160*VLOOKUP('Données projet'!$B$10,Paramètres!$A$1:$I$89,3,0)*0.475*44/12</f>
        <v>0.57676045759716843</v>
      </c>
      <c r="AW160" s="21">
        <f>EXP(-LN(2)/2)*AW159+(1-EXP(-LN(2)/2))/(LN(2)/2)*AQ160*AT160*VLOOKUP('Données projet'!$B$10,Paramètres!$A$1:$I$89,3,0)*0.475*44/12</f>
        <v>4.5947581342689983E-20</v>
      </c>
      <c r="AX160" s="21">
        <f t="shared" si="166"/>
        <v>8.7790893867009867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1.1368683772161603E-13</v>
      </c>
      <c r="BE160" s="13">
        <f>BD160*VLOOKUP('Données projet'!$B$11,Paramètres!$A$1:$I$89,3,0)*VLOOKUP('Données projet'!$B$11,Paramètres!$A$1:$I$89,5,0)</f>
        <v>6.7984728957526396E-14</v>
      </c>
      <c r="BF160" s="13">
        <f t="shared" si="167"/>
        <v>1.0682447123141398E-12</v>
      </c>
      <c r="BG160" s="20">
        <f t="shared" si="168"/>
        <v>1.978932943548152E-12</v>
      </c>
      <c r="BH160" s="59">
        <f t="shared" si="116"/>
        <v>293.3333333333353</v>
      </c>
      <c r="BI160" s="59">
        <f ca="1">AVERAGE(OFFSET($BH$3,0,0,'Données projet'!$E$11+1,1))-AVERAGE(OFFSET($H$3,0,0,'Données projet'!$E$11+1,1))</f>
        <v>149.5086927376081</v>
      </c>
      <c r="BJ160" s="59">
        <f t="shared" si="146"/>
        <v>364.59164590134498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8.2023289291038175</v>
      </c>
      <c r="BQ160" s="21">
        <f>EXP(-LN(2)/25)*BQ159+(1-EXP(-LN(2)/25))/(LN(2)/25)*Calculateur!BL160*Calculateur!BN160*VLOOKUP('Données projet'!$B$11,Paramètres!$A$1:$I$89,3,0)*0.475*44/12</f>
        <v>0.57676045759716843</v>
      </c>
      <c r="BR160" s="21">
        <f>EXP(-LN(2)/2)*BR159+(1-EXP(-LN(2)/2))/(LN(2)/2)*BL160*BO160*VLOOKUP('Données projet'!$B$11,Paramètres!$A$1:$I$89,3,0)*0.475*44/12</f>
        <v>4.5947581342689983E-20</v>
      </c>
      <c r="BS160" s="22">
        <f t="shared" si="169"/>
        <v>8.7790893867009867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484.79640457735582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5.6843418860808015E-14</v>
      </c>
      <c r="O161" s="13">
        <f>N161*VLOOKUP('Données projet'!$B$9,Paramètres!$A$1:$I$89,3,0)*VLOOKUP('Données projet'!$B$9,Paramètres!$A$1:$I$89,5,0)</f>
        <v>3.3992364478763198E-14</v>
      </c>
      <c r="P161" s="13">
        <f t="shared" si="141"/>
        <v>5.790027782444094E-13</v>
      </c>
      <c r="Q161" s="20">
        <f t="shared" si="162"/>
        <v>1.0676332069095257E-12</v>
      </c>
      <c r="R161" s="59">
        <f t="shared" si="109"/>
        <v>293.33333333333439</v>
      </c>
      <c r="S161" s="59">
        <f ca="1">AVERAGE(OFFSET($R$3,0,0,'Données projet'!$E$9+1,1))-AVERAGE(OFFSET($H$3,0,0,'Données projet'!$E$9+1,1))</f>
        <v>153.00981126776304</v>
      </c>
      <c r="T161" s="59">
        <f t="shared" si="142"/>
        <v>309.90400623462932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8.9552715614753833</v>
      </c>
      <c r="AA161" s="21">
        <f>EXP(-LN(2)/25)*AA160+(1-EXP(-LN(2)/25))/(LN(2)/25)*Calculateur!V161*Calculateur!X161*VLOOKUP('Données projet'!$B$9,Paramètres!$A$1:$I$89,3,0)*0.475*44/12</f>
        <v>0.60547964486838524</v>
      </c>
      <c r="AB161" s="21">
        <f>EXP(-LN(2)/2)*AB160+(1-EXP(-LN(2)/2))/(LN(2)/2)*V161*Y161*VLOOKUP('Données projet'!$B$9,Paramètres!$A$1:$I$89,3,0)*0.475*44/12</f>
        <v>4.2313772845412146E-20</v>
      </c>
      <c r="AC161" s="22">
        <f t="shared" si="163"/>
        <v>9.5607512063437685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1.1368683772161603E-13</v>
      </c>
      <c r="AJ161" s="13">
        <f>AI161*VLOOKUP('Données projet'!$B$10,Paramètres!$A$1:$I$89,3,0)*VLOOKUP('Données projet'!$B$10,Paramètres!$A$1:$I$89,5,0)</f>
        <v>6.7984728957526396E-14</v>
      </c>
      <c r="AK161" s="13">
        <f t="shared" si="164"/>
        <v>1.0682447123141398E-12</v>
      </c>
      <c r="AL161" s="20">
        <f t="shared" si="165"/>
        <v>1.978932943548152E-12</v>
      </c>
      <c r="AM161" s="59">
        <f t="shared" si="113"/>
        <v>293.3333333333353</v>
      </c>
      <c r="AN161" s="59">
        <f ca="1">AVERAGE(OFFSET($AM$3,0,0,'Données projet'!$E$10+1,1))-AVERAGE(OFFSET($H$3,0,0,'Données projet'!$E$10+1,1))</f>
        <v>149.5086927376081</v>
      </c>
      <c r="AO161" s="59">
        <f t="shared" si="144"/>
        <v>364.59164590134498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8.041486261730741</v>
      </c>
      <c r="AV161" s="21">
        <f>EXP(-LN(2)/25)*AV160+(1-EXP(-LN(2)/25))/(LN(2)/25)*Calculateur!AQ161*Calculateur!AS161*VLOOKUP('Données projet'!$B$10,Paramètres!$A$1:$I$89,3,0)*0.475*44/12</f>
        <v>0.56098891255365957</v>
      </c>
      <c r="AW161" s="21">
        <f>EXP(-LN(2)/2)*AW160+(1-EXP(-LN(2)/2))/(LN(2)/2)*AQ161*AT161*VLOOKUP('Données projet'!$B$10,Paramètres!$A$1:$I$89,3,0)*0.475*44/12</f>
        <v>3.2489846346536579E-20</v>
      </c>
      <c r="AX161" s="21">
        <f t="shared" si="166"/>
        <v>8.6024751742844003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1.1368683772161603E-13</v>
      </c>
      <c r="BE161" s="13">
        <f>BD161*VLOOKUP('Données projet'!$B$11,Paramètres!$A$1:$I$89,3,0)*VLOOKUP('Données projet'!$B$11,Paramètres!$A$1:$I$89,5,0)</f>
        <v>6.7984728957526396E-14</v>
      </c>
      <c r="BF161" s="13">
        <f t="shared" si="167"/>
        <v>1.0682447123141398E-12</v>
      </c>
      <c r="BG161" s="20">
        <f t="shared" si="168"/>
        <v>1.978932943548152E-12</v>
      </c>
      <c r="BH161" s="59">
        <f t="shared" si="116"/>
        <v>293.3333333333353</v>
      </c>
      <c r="BI161" s="59">
        <f ca="1">AVERAGE(OFFSET($BH$3,0,0,'Données projet'!$E$11+1,1))-AVERAGE(OFFSET($H$3,0,0,'Données projet'!$E$11+1,1))</f>
        <v>149.5086927376081</v>
      </c>
      <c r="BJ161" s="59">
        <f t="shared" si="146"/>
        <v>364.59164590134498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8.041486261730741</v>
      </c>
      <c r="BQ161" s="21">
        <f>EXP(-LN(2)/25)*BQ160+(1-EXP(-LN(2)/25))/(LN(2)/25)*Calculateur!BL161*Calculateur!BN161*VLOOKUP('Données projet'!$B$11,Paramètres!$A$1:$I$89,3,0)*0.475*44/12</f>
        <v>0.56098891255365957</v>
      </c>
      <c r="BR161" s="21">
        <f>EXP(-LN(2)/2)*BR160+(1-EXP(-LN(2)/2))/(LN(2)/2)*BL161*BO161*VLOOKUP('Données projet'!$B$11,Paramètres!$A$1:$I$89,3,0)*0.475*44/12</f>
        <v>3.2489846346536579E-20</v>
      </c>
      <c r="BS161" s="22">
        <f t="shared" si="169"/>
        <v>8.6024751742844003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485.97774950751329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5.6843418860808015E-14</v>
      </c>
      <c r="O162" s="13">
        <f>N162*VLOOKUP('Données projet'!$B$9,Paramètres!$A$1:$I$89,3,0)*VLOOKUP('Données projet'!$B$9,Paramètres!$A$1:$I$89,5,0)</f>
        <v>3.3992364478763198E-14</v>
      </c>
      <c r="P162" s="13">
        <f t="shared" si="141"/>
        <v>5.790027782444094E-13</v>
      </c>
      <c r="Q162" s="20">
        <f t="shared" si="162"/>
        <v>1.0676332069095257E-12</v>
      </c>
      <c r="R162" s="59">
        <f t="shared" si="109"/>
        <v>293.33333333333439</v>
      </c>
      <c r="S162" s="59">
        <f ca="1">AVERAGE(OFFSET($R$3,0,0,'Données projet'!$E$9+1,1))-AVERAGE(OFFSET($H$3,0,0,'Données projet'!$E$9+1,1))</f>
        <v>153.00981126776304</v>
      </c>
      <c r="T162" s="59">
        <f t="shared" si="142"/>
        <v>309.90400623462932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8.7796641483311593</v>
      </c>
      <c r="AA162" s="21">
        <f>EXP(-LN(2)/25)*AA161+(1-EXP(-LN(2)/25))/(LN(2)/25)*Calculateur!V162*Calculateur!X162*VLOOKUP('Données projet'!$B$9,Paramètres!$A$1:$I$89,3,0)*0.475*44/12</f>
        <v>0.58892277213866862</v>
      </c>
      <c r="AB162" s="21">
        <f>EXP(-LN(2)/2)*AB161+(1-EXP(-LN(2)/2))/(LN(2)/2)*V162*Y162*VLOOKUP('Données projet'!$B$9,Paramètres!$A$1:$I$89,3,0)*0.475*44/12</f>
        <v>2.9920355716578122E-20</v>
      </c>
      <c r="AC162" s="22">
        <f t="shared" si="163"/>
        <v>9.3685869204698271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1.1368683772161603E-13</v>
      </c>
      <c r="AJ162" s="13">
        <f>AI162*VLOOKUP('Données projet'!$B$10,Paramètres!$A$1:$I$89,3,0)*VLOOKUP('Données projet'!$B$10,Paramètres!$A$1:$I$89,5,0)</f>
        <v>6.7984728957526396E-14</v>
      </c>
      <c r="AK162" s="13">
        <f t="shared" si="164"/>
        <v>1.0682447123141398E-12</v>
      </c>
      <c r="AL162" s="20">
        <f t="shared" si="165"/>
        <v>1.978932943548152E-12</v>
      </c>
      <c r="AM162" s="59">
        <f t="shared" si="113"/>
        <v>293.3333333333353</v>
      </c>
      <c r="AN162" s="59">
        <f ca="1">AVERAGE(OFFSET($AM$3,0,0,'Données projet'!$E$10+1,1))-AVERAGE(OFFSET($H$3,0,0,'Données projet'!$E$10+1,1))</f>
        <v>149.5086927376081</v>
      </c>
      <c r="AO162" s="59">
        <f t="shared" si="144"/>
        <v>364.59164590134498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7.8837976209605101</v>
      </c>
      <c r="AV162" s="21">
        <f>EXP(-LN(2)/25)*AV161+(1-EXP(-LN(2)/25))/(LN(2)/25)*Calculateur!AQ162*Calculateur!AS162*VLOOKUP('Données projet'!$B$10,Paramètres!$A$1:$I$89,3,0)*0.475*44/12</f>
        <v>0.54564864123875501</v>
      </c>
      <c r="AW162" s="21">
        <f>EXP(-LN(2)/2)*AW161+(1-EXP(-LN(2)/2))/(LN(2)/2)*AQ162*AT162*VLOOKUP('Données projet'!$B$10,Paramètres!$A$1:$I$89,3,0)*0.475*44/12</f>
        <v>2.2973790671344992E-20</v>
      </c>
      <c r="AX162" s="21">
        <f t="shared" si="166"/>
        <v>8.4294462621992654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1.1368683772161603E-13</v>
      </c>
      <c r="BE162" s="13">
        <f>BD162*VLOOKUP('Données projet'!$B$11,Paramètres!$A$1:$I$89,3,0)*VLOOKUP('Données projet'!$B$11,Paramètres!$A$1:$I$89,5,0)</f>
        <v>6.7984728957526396E-14</v>
      </c>
      <c r="BF162" s="13">
        <f t="shared" si="167"/>
        <v>1.0682447123141398E-12</v>
      </c>
      <c r="BG162" s="20">
        <f t="shared" si="168"/>
        <v>1.978932943548152E-12</v>
      </c>
      <c r="BH162" s="59">
        <f t="shared" si="116"/>
        <v>293.3333333333353</v>
      </c>
      <c r="BI162" s="59">
        <f ca="1">AVERAGE(OFFSET($BH$3,0,0,'Données projet'!$E$11+1,1))-AVERAGE(OFFSET($H$3,0,0,'Données projet'!$E$11+1,1))</f>
        <v>149.5086927376081</v>
      </c>
      <c r="BJ162" s="59">
        <f t="shared" si="146"/>
        <v>364.59164590134498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7.8837976209605101</v>
      </c>
      <c r="BQ162" s="21">
        <f>EXP(-LN(2)/25)*BQ161+(1-EXP(-LN(2)/25))/(LN(2)/25)*Calculateur!BL162*Calculateur!BN162*VLOOKUP('Données projet'!$B$11,Paramètres!$A$1:$I$89,3,0)*0.475*44/12</f>
        <v>0.54564864123875501</v>
      </c>
      <c r="BR162" s="21">
        <f>EXP(-LN(2)/2)*BR161+(1-EXP(-LN(2)/2))/(LN(2)/2)*BL162*BO162*VLOOKUP('Données projet'!$B$11,Paramètres!$A$1:$I$89,3,0)*0.475*44/12</f>
        <v>2.2973790671344992E-20</v>
      </c>
      <c r="BS162" s="22">
        <f t="shared" si="169"/>
        <v>8.4294462621992654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487.15892583174093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5.6843418860808015E-14</v>
      </c>
      <c r="O163" s="13">
        <f>N163*VLOOKUP('Données projet'!$B$9,Paramètres!$A$1:$I$89,3,0)*VLOOKUP('Données projet'!$B$9,Paramètres!$A$1:$I$89,5,0)</f>
        <v>3.3992364478763198E-14</v>
      </c>
      <c r="P163" s="13">
        <f t="shared" si="141"/>
        <v>5.790027782444094E-13</v>
      </c>
      <c r="Q163" s="20">
        <f t="shared" si="162"/>
        <v>1.0676332069095257E-12</v>
      </c>
      <c r="R163" s="59">
        <f t="shared" si="109"/>
        <v>293.33333333333439</v>
      </c>
      <c r="S163" s="59">
        <f ca="1">AVERAGE(OFFSET($R$3,0,0,'Données projet'!$E$9+1,1))-AVERAGE(OFFSET($H$3,0,0,'Données projet'!$E$9+1,1))</f>
        <v>153.00981126776304</v>
      </c>
      <c r="T163" s="59">
        <f t="shared" si="142"/>
        <v>309.90400623462932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8.6075002894487476</v>
      </c>
      <c r="AA163" s="21">
        <f>EXP(-LN(2)/25)*AA162+(1-EXP(-LN(2)/25))/(LN(2)/25)*Calculateur!V163*Calculateur!X163*VLOOKUP('Données projet'!$B$9,Paramètres!$A$1:$I$89,3,0)*0.475*44/12</f>
        <v>0.57281864796443416</v>
      </c>
      <c r="AB163" s="21">
        <f>EXP(-LN(2)/2)*AB162+(1-EXP(-LN(2)/2))/(LN(2)/2)*V163*Y163*VLOOKUP('Données projet'!$B$9,Paramètres!$A$1:$I$89,3,0)*0.475*44/12</f>
        <v>2.1156886422706073E-20</v>
      </c>
      <c r="AC163" s="22">
        <f t="shared" si="163"/>
        <v>9.1803189374131815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1.1368683772161603E-13</v>
      </c>
      <c r="AJ163" s="13">
        <f>AI163*VLOOKUP('Données projet'!$B$10,Paramètres!$A$1:$I$89,3,0)*VLOOKUP('Données projet'!$B$10,Paramètres!$A$1:$I$89,5,0)</f>
        <v>6.7984728957526396E-14</v>
      </c>
      <c r="AK163" s="13">
        <f t="shared" si="164"/>
        <v>1.0682447123141398E-12</v>
      </c>
      <c r="AL163" s="20">
        <f t="shared" si="165"/>
        <v>1.978932943548152E-12</v>
      </c>
      <c r="AM163" s="59">
        <f t="shared" si="113"/>
        <v>293.3333333333353</v>
      </c>
      <c r="AN163" s="59">
        <f ca="1">AVERAGE(OFFSET($AM$3,0,0,'Données projet'!$E$10+1,1))-AVERAGE(OFFSET($H$3,0,0,'Données projet'!$E$10+1,1))</f>
        <v>149.5086927376081</v>
      </c>
      <c r="AO163" s="59">
        <f t="shared" si="144"/>
        <v>364.59164590134498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7.7292011582552096</v>
      </c>
      <c r="AV163" s="21">
        <f>EXP(-LN(2)/25)*AV162+(1-EXP(-LN(2)/25))/(LN(2)/25)*Calculateur!AQ163*Calculateur!AS163*VLOOKUP('Données projet'!$B$10,Paramètres!$A$1:$I$89,3,0)*0.475*44/12</f>
        <v>0.53072785044966631</v>
      </c>
      <c r="AW163" s="21">
        <f>EXP(-LN(2)/2)*AW162+(1-EXP(-LN(2)/2))/(LN(2)/2)*AQ163*AT163*VLOOKUP('Données projet'!$B$10,Paramètres!$A$1:$I$89,3,0)*0.475*44/12</f>
        <v>1.6244923173268289E-20</v>
      </c>
      <c r="AX163" s="21">
        <f t="shared" si="166"/>
        <v>8.2599290087048765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1.1368683772161603E-13</v>
      </c>
      <c r="BE163" s="13">
        <f>BD163*VLOOKUP('Données projet'!$B$11,Paramètres!$A$1:$I$89,3,0)*VLOOKUP('Données projet'!$B$11,Paramètres!$A$1:$I$89,5,0)</f>
        <v>6.7984728957526396E-14</v>
      </c>
      <c r="BF163" s="13">
        <f t="shared" si="167"/>
        <v>1.0682447123141398E-12</v>
      </c>
      <c r="BG163" s="20">
        <f t="shared" si="168"/>
        <v>1.978932943548152E-12</v>
      </c>
      <c r="BH163" s="59">
        <f t="shared" si="116"/>
        <v>293.3333333333353</v>
      </c>
      <c r="BI163" s="59">
        <f ca="1">AVERAGE(OFFSET($BH$3,0,0,'Données projet'!$E$11+1,1))-AVERAGE(OFFSET($H$3,0,0,'Données projet'!$E$11+1,1))</f>
        <v>149.5086927376081</v>
      </c>
      <c r="BJ163" s="59">
        <f t="shared" si="146"/>
        <v>364.59164590134498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7.7292011582552096</v>
      </c>
      <c r="BQ163" s="21">
        <f>EXP(-LN(2)/25)*BQ162+(1-EXP(-LN(2)/25))/(LN(2)/25)*Calculateur!BL163*Calculateur!BN163*VLOOKUP('Données projet'!$B$11,Paramètres!$A$1:$I$89,3,0)*0.475*44/12</f>
        <v>0.53072785044966631</v>
      </c>
      <c r="BR163" s="21">
        <f>EXP(-LN(2)/2)*BR162+(1-EXP(-LN(2)/2))/(LN(2)/2)*BL163*BO163*VLOOKUP('Données projet'!$B$11,Paramètres!$A$1:$I$89,3,0)*0.475*44/12</f>
        <v>1.6244923173268289E-20</v>
      </c>
      <c r="BS163" s="22">
        <f t="shared" si="169"/>
        <v>8.2599290087048765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488.33993472607426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5.6843418860808015E-14</v>
      </c>
      <c r="O164" s="13">
        <f>N164*VLOOKUP('Données projet'!$B$9,Paramètres!$A$1:$I$89,3,0)*VLOOKUP('Données projet'!$B$9,Paramètres!$A$1:$I$89,5,0)</f>
        <v>3.3992364478763198E-14</v>
      </c>
      <c r="P164" s="13">
        <f t="shared" si="141"/>
        <v>5.790027782444094E-13</v>
      </c>
      <c r="Q164" s="20">
        <f t="shared" si="162"/>
        <v>1.0676332069095257E-12</v>
      </c>
      <c r="R164" s="59">
        <f t="shared" si="109"/>
        <v>293.33333333333439</v>
      </c>
      <c r="S164" s="59">
        <f ca="1">AVERAGE(OFFSET($R$3,0,0,'Données projet'!$E$9+1,1))-AVERAGE(OFFSET($H$3,0,0,'Données projet'!$E$9+1,1))</f>
        <v>153.00981126776304</v>
      </c>
      <c r="T164" s="59">
        <f t="shared" si="142"/>
        <v>309.90400623462932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8.4387124588294338</v>
      </c>
      <c r="AA164" s="21">
        <f>EXP(-LN(2)/25)*AA163+(1-EXP(-LN(2)/25))/(LN(2)/25)*Calculateur!V164*Calculateur!X164*VLOOKUP('Données projet'!$B$9,Paramètres!$A$1:$I$89,3,0)*0.475*44/12</f>
        <v>0.55715489191262324</v>
      </c>
      <c r="AB164" s="21">
        <f>EXP(-LN(2)/2)*AB163+(1-EXP(-LN(2)/2))/(LN(2)/2)*V164*Y164*VLOOKUP('Données projet'!$B$9,Paramètres!$A$1:$I$89,3,0)*0.475*44/12</f>
        <v>1.4960177858289061E-20</v>
      </c>
      <c r="AC164" s="22">
        <f t="shared" si="163"/>
        <v>8.9958673507420563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1.1368683772161603E-13</v>
      </c>
      <c r="AJ164" s="13">
        <f>AI164*VLOOKUP('Données projet'!$B$10,Paramètres!$A$1:$I$89,3,0)*VLOOKUP('Données projet'!$B$10,Paramètres!$A$1:$I$89,5,0)</f>
        <v>6.7984728957526396E-14</v>
      </c>
      <c r="AK164" s="13">
        <f t="shared" si="164"/>
        <v>1.0682447123141398E-12</v>
      </c>
      <c r="AL164" s="20">
        <f t="shared" si="165"/>
        <v>1.978932943548152E-12</v>
      </c>
      <c r="AM164" s="59">
        <f t="shared" si="113"/>
        <v>293.3333333333353</v>
      </c>
      <c r="AN164" s="59">
        <f ca="1">AVERAGE(OFFSET($AM$3,0,0,'Données projet'!$E$10+1,1))-AVERAGE(OFFSET($H$3,0,0,'Données projet'!$E$10+1,1))</f>
        <v>149.5086927376081</v>
      </c>
      <c r="AO164" s="59">
        <f t="shared" si="144"/>
        <v>364.59164590134498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7.5776362378890285</v>
      </c>
      <c r="AV164" s="21">
        <f>EXP(-LN(2)/25)*AV163+(1-EXP(-LN(2)/25))/(LN(2)/25)*Calculateur!AQ164*Calculateur!AS164*VLOOKUP('Données projet'!$B$10,Paramètres!$A$1:$I$89,3,0)*0.475*44/12</f>
        <v>0.51621506946935547</v>
      </c>
      <c r="AW164" s="21">
        <f>EXP(-LN(2)/2)*AW163+(1-EXP(-LN(2)/2))/(LN(2)/2)*AQ164*AT164*VLOOKUP('Données projet'!$B$10,Paramètres!$A$1:$I$89,3,0)*0.475*44/12</f>
        <v>1.1486895335672496E-20</v>
      </c>
      <c r="AX164" s="21">
        <f t="shared" si="166"/>
        <v>8.0938513073583849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1.1368683772161603E-13</v>
      </c>
      <c r="BE164" s="13">
        <f>BD164*VLOOKUP('Données projet'!$B$11,Paramètres!$A$1:$I$89,3,0)*VLOOKUP('Données projet'!$B$11,Paramètres!$A$1:$I$89,5,0)</f>
        <v>6.7984728957526396E-14</v>
      </c>
      <c r="BF164" s="13">
        <f t="shared" si="167"/>
        <v>1.0682447123141398E-12</v>
      </c>
      <c r="BG164" s="20">
        <f t="shared" si="168"/>
        <v>1.978932943548152E-12</v>
      </c>
      <c r="BH164" s="59">
        <f t="shared" si="116"/>
        <v>293.3333333333353</v>
      </c>
      <c r="BI164" s="59">
        <f ca="1">AVERAGE(OFFSET($BH$3,0,0,'Données projet'!$E$11+1,1))-AVERAGE(OFFSET($H$3,0,0,'Données projet'!$E$11+1,1))</f>
        <v>149.5086927376081</v>
      </c>
      <c r="BJ164" s="59">
        <f t="shared" si="146"/>
        <v>364.59164590134498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7.5776362378890285</v>
      </c>
      <c r="BQ164" s="21">
        <f>EXP(-LN(2)/25)*BQ163+(1-EXP(-LN(2)/25))/(LN(2)/25)*Calculateur!BL164*Calculateur!BN164*VLOOKUP('Données projet'!$B$11,Paramètres!$A$1:$I$89,3,0)*0.475*44/12</f>
        <v>0.51621506946935547</v>
      </c>
      <c r="BR164" s="21">
        <f>EXP(-LN(2)/2)*BR163+(1-EXP(-LN(2)/2))/(LN(2)/2)*BL164*BO164*VLOOKUP('Données projet'!$B$11,Paramètres!$A$1:$I$89,3,0)*0.475*44/12</f>
        <v>1.1486895335672496E-20</v>
      </c>
      <c r="BS164" s="22">
        <f t="shared" si="169"/>
        <v>8.0938513073583849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489.52077735109452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5.6843418860808015E-14</v>
      </c>
      <c r="O165" s="13">
        <f>N165*VLOOKUP('Données projet'!$B$9,Paramètres!$A$1:$I$89,3,0)*VLOOKUP('Données projet'!$B$9,Paramètres!$A$1:$I$89,5,0)</f>
        <v>3.3992364478763198E-14</v>
      </c>
      <c r="P165" s="13">
        <f t="shared" si="141"/>
        <v>5.790027782444094E-13</v>
      </c>
      <c r="Q165" s="20">
        <f t="shared" si="162"/>
        <v>1.0676332069095257E-12</v>
      </c>
      <c r="R165" s="59">
        <f t="shared" si="109"/>
        <v>293.33333333333439</v>
      </c>
      <c r="S165" s="59">
        <f ca="1">AVERAGE(OFFSET($R$3,0,0,'Données projet'!$E$9+1,1))-AVERAGE(OFFSET($H$3,0,0,'Données projet'!$E$9+1,1))</f>
        <v>153.00981126776304</v>
      </c>
      <c r="T165" s="59">
        <f t="shared" si="142"/>
        <v>309.90400623462932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8.2732344546181533</v>
      </c>
      <c r="AA165" s="21">
        <f>EXP(-LN(2)/25)*AA164+(1-EXP(-LN(2)/25))/(LN(2)/25)*Calculateur!V165*Calculateur!X165*VLOOKUP('Données projet'!$B$9,Paramètres!$A$1:$I$89,3,0)*0.475*44/12</f>
        <v>0.54191946209377018</v>
      </c>
      <c r="AB165" s="21">
        <f>EXP(-LN(2)/2)*AB164+(1-EXP(-LN(2)/2))/(LN(2)/2)*V165*Y165*VLOOKUP('Données projet'!$B$9,Paramètres!$A$1:$I$89,3,0)*0.475*44/12</f>
        <v>1.0578443211353037E-20</v>
      </c>
      <c r="AC165" s="22">
        <f t="shared" si="163"/>
        <v>8.8151539167119228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1.1368683772161603E-13</v>
      </c>
      <c r="AJ165" s="13">
        <f>AI165*VLOOKUP('Données projet'!$B$10,Paramètres!$A$1:$I$89,3,0)*VLOOKUP('Données projet'!$B$10,Paramètres!$A$1:$I$89,5,0)</f>
        <v>6.7984728957526396E-14</v>
      </c>
      <c r="AK165" s="13">
        <f t="shared" si="164"/>
        <v>1.0682447123141398E-12</v>
      </c>
      <c r="AL165" s="20">
        <f t="shared" si="165"/>
        <v>1.978932943548152E-12</v>
      </c>
      <c r="AM165" s="59">
        <f t="shared" si="113"/>
        <v>293.3333333333353</v>
      </c>
      <c r="AN165" s="59">
        <f ca="1">AVERAGE(OFFSET($AM$3,0,0,'Données projet'!$E$10+1,1))-AVERAGE(OFFSET($H$3,0,0,'Données projet'!$E$10+1,1))</f>
        <v>149.5086927376081</v>
      </c>
      <c r="AO165" s="59">
        <f t="shared" si="144"/>
        <v>364.59164590134498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7.429043413165755</v>
      </c>
      <c r="AV165" s="21">
        <f>EXP(-LN(2)/25)*AV164+(1-EXP(-LN(2)/25))/(LN(2)/25)*Calculateur!AQ165*Calculateur!AS165*VLOOKUP('Données projet'!$B$10,Paramètres!$A$1:$I$89,3,0)*0.475*44/12</f>
        <v>0.50209914124814525</v>
      </c>
      <c r="AW165" s="21">
        <f>EXP(-LN(2)/2)*AW164+(1-EXP(-LN(2)/2))/(LN(2)/2)*AQ165*AT165*VLOOKUP('Données projet'!$B$10,Paramètres!$A$1:$I$89,3,0)*0.475*44/12</f>
        <v>8.1224615866341447E-21</v>
      </c>
      <c r="AX165" s="21">
        <f t="shared" si="166"/>
        <v>7.9311425544139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1.1368683772161603E-13</v>
      </c>
      <c r="BE165" s="13">
        <f>BD165*VLOOKUP('Données projet'!$B$11,Paramètres!$A$1:$I$89,3,0)*VLOOKUP('Données projet'!$B$11,Paramètres!$A$1:$I$89,5,0)</f>
        <v>6.7984728957526396E-14</v>
      </c>
      <c r="BF165" s="13">
        <f t="shared" si="167"/>
        <v>1.0682447123141398E-12</v>
      </c>
      <c r="BG165" s="20">
        <f t="shared" si="168"/>
        <v>1.978932943548152E-12</v>
      </c>
      <c r="BH165" s="59">
        <f t="shared" si="116"/>
        <v>293.3333333333353</v>
      </c>
      <c r="BI165" s="59">
        <f ca="1">AVERAGE(OFFSET($BH$3,0,0,'Données projet'!$E$11+1,1))-AVERAGE(OFFSET($H$3,0,0,'Données projet'!$E$11+1,1))</f>
        <v>149.5086927376081</v>
      </c>
      <c r="BJ165" s="59">
        <f t="shared" si="146"/>
        <v>364.59164590134498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7.429043413165755</v>
      </c>
      <c r="BQ165" s="21">
        <f>EXP(-LN(2)/25)*BQ164+(1-EXP(-LN(2)/25))/(LN(2)/25)*Calculateur!BL165*Calculateur!BN165*VLOOKUP('Données projet'!$B$11,Paramètres!$A$1:$I$89,3,0)*0.475*44/12</f>
        <v>0.50209914124814525</v>
      </c>
      <c r="BR165" s="21">
        <f>EXP(-LN(2)/2)*BR164+(1-EXP(-LN(2)/2))/(LN(2)/2)*BL165*BO165*VLOOKUP('Données projet'!$B$11,Paramètres!$A$1:$I$89,3,0)*0.475*44/12</f>
        <v>8.1224615866341447E-21</v>
      </c>
      <c r="BS165" s="22">
        <f t="shared" si="169"/>
        <v>7.9311425544139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490.70145485222611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5.6843418860808015E-14</v>
      </c>
      <c r="O166" s="13">
        <f>N166*VLOOKUP('Données projet'!$B$9,Paramètres!$A$1:$I$89,3,0)*VLOOKUP('Données projet'!$B$9,Paramètres!$A$1:$I$89,5,0)</f>
        <v>3.3992364478763198E-14</v>
      </c>
      <c r="P166" s="13">
        <f t="shared" si="141"/>
        <v>5.790027782444094E-13</v>
      </c>
      <c r="Q166" s="20">
        <f t="shared" si="162"/>
        <v>1.0676332069095257E-12</v>
      </c>
      <c r="R166" s="59">
        <f t="shared" si="109"/>
        <v>293.33333333333439</v>
      </c>
      <c r="S166" s="59">
        <f ca="1">AVERAGE(OFFSET($R$3,0,0,'Données projet'!$E$9+1,1))-AVERAGE(OFFSET($H$3,0,0,'Données projet'!$E$9+1,1))</f>
        <v>153.00981126776304</v>
      </c>
      <c r="T166" s="59">
        <f t="shared" si="142"/>
        <v>309.90400623462932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8.1110013731378405</v>
      </c>
      <c r="AA166" s="21">
        <f>EXP(-LN(2)/25)*AA165+(1-EXP(-LN(2)/25))/(LN(2)/25)*Calculateur!V166*Calculateur!X166*VLOOKUP('Données projet'!$B$9,Paramètres!$A$1:$I$89,3,0)*0.475*44/12</f>
        <v>0.52710064590451011</v>
      </c>
      <c r="AB166" s="21">
        <f>EXP(-LN(2)/2)*AB165+(1-EXP(-LN(2)/2))/(LN(2)/2)*V166*Y166*VLOOKUP('Données projet'!$B$9,Paramètres!$A$1:$I$89,3,0)*0.475*44/12</f>
        <v>7.4800889291445306E-21</v>
      </c>
      <c r="AC166" s="22">
        <f t="shared" si="163"/>
        <v>8.6381020190423499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1.1368683772161603E-13</v>
      </c>
      <c r="AJ166" s="13">
        <f>AI166*VLOOKUP('Données projet'!$B$10,Paramètres!$A$1:$I$89,3,0)*VLOOKUP('Données projet'!$B$10,Paramètres!$A$1:$I$89,5,0)</f>
        <v>6.7984728957526396E-14</v>
      </c>
      <c r="AK166" s="13">
        <f t="shared" si="164"/>
        <v>1.0682447123141398E-12</v>
      </c>
      <c r="AL166" s="20">
        <f t="shared" si="165"/>
        <v>1.978932943548152E-12</v>
      </c>
      <c r="AM166" s="59">
        <f t="shared" si="113"/>
        <v>293.3333333333353</v>
      </c>
      <c r="AN166" s="59">
        <f ca="1">AVERAGE(OFFSET($AM$3,0,0,'Données projet'!$E$10+1,1))-AVERAGE(OFFSET($H$3,0,0,'Données projet'!$E$10+1,1))</f>
        <v>149.5086927376081</v>
      </c>
      <c r="AO166" s="59">
        <f t="shared" si="144"/>
        <v>364.59164590134498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7.283364403102631</v>
      </c>
      <c r="AV166" s="21">
        <f>EXP(-LN(2)/25)*AV165+(1-EXP(-LN(2)/25))/(LN(2)/25)*Calculateur!AQ166*Calculateur!AS166*VLOOKUP('Données projet'!$B$10,Paramètres!$A$1:$I$89,3,0)*0.475*44/12</f>
        <v>0.48836921382646847</v>
      </c>
      <c r="AW166" s="21">
        <f>EXP(-LN(2)/2)*AW165+(1-EXP(-LN(2)/2))/(LN(2)/2)*AQ166*AT166*VLOOKUP('Données projet'!$B$10,Paramètres!$A$1:$I$89,3,0)*0.475*44/12</f>
        <v>5.7434476678362479E-21</v>
      </c>
      <c r="AX166" s="21">
        <f t="shared" si="166"/>
        <v>7.7717336169290991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1.1368683772161603E-13</v>
      </c>
      <c r="BE166" s="13">
        <f>BD166*VLOOKUP('Données projet'!$B$11,Paramètres!$A$1:$I$89,3,0)*VLOOKUP('Données projet'!$B$11,Paramètres!$A$1:$I$89,5,0)</f>
        <v>6.7984728957526396E-14</v>
      </c>
      <c r="BF166" s="13">
        <f t="shared" si="167"/>
        <v>1.0682447123141398E-12</v>
      </c>
      <c r="BG166" s="20">
        <f t="shared" si="168"/>
        <v>1.978932943548152E-12</v>
      </c>
      <c r="BH166" s="59">
        <f t="shared" si="116"/>
        <v>293.3333333333353</v>
      </c>
      <c r="BI166" s="59">
        <f ca="1">AVERAGE(OFFSET($BH$3,0,0,'Données projet'!$E$11+1,1))-AVERAGE(OFFSET($H$3,0,0,'Données projet'!$E$11+1,1))</f>
        <v>149.5086927376081</v>
      </c>
      <c r="BJ166" s="59">
        <f t="shared" si="146"/>
        <v>364.59164590134498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7.283364403102631</v>
      </c>
      <c r="BQ166" s="21">
        <f>EXP(-LN(2)/25)*BQ165+(1-EXP(-LN(2)/25))/(LN(2)/25)*Calculateur!BL166*Calculateur!BN166*VLOOKUP('Données projet'!$B$11,Paramètres!$A$1:$I$89,3,0)*0.475*44/12</f>
        <v>0.48836921382646847</v>
      </c>
      <c r="BR166" s="21">
        <f>EXP(-LN(2)/2)*BR165+(1-EXP(-LN(2)/2))/(LN(2)/2)*BL166*BO166*VLOOKUP('Données projet'!$B$11,Paramètres!$A$1:$I$89,3,0)*0.475*44/12</f>
        <v>5.7434476678362479E-21</v>
      </c>
      <c r="BS166" s="22">
        <f t="shared" si="169"/>
        <v>7.7717336169290991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491.88196836002629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5.6843418860808015E-14</v>
      </c>
      <c r="O167" s="13">
        <f>N167*VLOOKUP('Données projet'!$B$9,Paramètres!$A$1:$I$89,3,0)*VLOOKUP('Données projet'!$B$9,Paramètres!$A$1:$I$89,5,0)</f>
        <v>3.3992364478763198E-14</v>
      </c>
      <c r="P167" s="13">
        <f t="shared" si="141"/>
        <v>5.790027782444094E-13</v>
      </c>
      <c r="Q167" s="20">
        <f t="shared" si="162"/>
        <v>1.0676332069095257E-12</v>
      </c>
      <c r="R167" s="59">
        <f t="shared" si="109"/>
        <v>293.33333333333439</v>
      </c>
      <c r="S167" s="59">
        <f ca="1">AVERAGE(OFFSET($R$3,0,0,'Données projet'!$E$9+1,1))-AVERAGE(OFFSET($H$3,0,0,'Données projet'!$E$9+1,1))</f>
        <v>153.00981126776304</v>
      </c>
      <c r="T167" s="59">
        <f t="shared" si="142"/>
        <v>309.90400623462932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7.9519495834329472</v>
      </c>
      <c r="AA167" s="21">
        <f>EXP(-LN(2)/25)*AA166+(1-EXP(-LN(2)/25))/(LN(2)/25)*Calculateur!V167*Calculateur!X167*VLOOKUP('Données projet'!$B$9,Paramètres!$A$1:$I$89,3,0)*0.475*44/12</f>
        <v>0.51268705102323298</v>
      </c>
      <c r="AB167" s="21">
        <f>EXP(-LN(2)/2)*AB166+(1-EXP(-LN(2)/2))/(LN(2)/2)*V167*Y167*VLOOKUP('Données projet'!$B$9,Paramètres!$A$1:$I$89,3,0)*0.475*44/12</f>
        <v>5.2892216056765183E-21</v>
      </c>
      <c r="AC167" s="22">
        <f t="shared" si="163"/>
        <v>8.4646366344561805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1.1368683772161603E-13</v>
      </c>
      <c r="AJ167" s="13">
        <f>AI167*VLOOKUP('Données projet'!$B$10,Paramètres!$A$1:$I$89,3,0)*VLOOKUP('Données projet'!$B$10,Paramètres!$A$1:$I$89,5,0)</f>
        <v>6.7984728957526396E-14</v>
      </c>
      <c r="AK167" s="13">
        <f t="shared" si="164"/>
        <v>1.0682447123141398E-12</v>
      </c>
      <c r="AL167" s="20">
        <f t="shared" si="165"/>
        <v>1.978932943548152E-12</v>
      </c>
      <c r="AM167" s="59">
        <f t="shared" si="113"/>
        <v>293.3333333333353</v>
      </c>
      <c r="AN167" s="59">
        <f ca="1">AVERAGE(OFFSET($AM$3,0,0,'Données projet'!$E$10+1,1))-AVERAGE(OFFSET($H$3,0,0,'Données projet'!$E$10+1,1))</f>
        <v>149.5086927376081</v>
      </c>
      <c r="AO167" s="59">
        <f t="shared" si="144"/>
        <v>364.59164590134498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7.1405420695714223</v>
      </c>
      <c r="AV167" s="21">
        <f>EXP(-LN(2)/25)*AV166+(1-EXP(-LN(2)/25))/(LN(2)/25)*Calculateur!AQ167*Calculateur!AS167*VLOOKUP('Données projet'!$B$10,Paramètres!$A$1:$I$89,3,0)*0.475*44/12</f>
        <v>0.47501473199216293</v>
      </c>
      <c r="AW167" s="21">
        <f>EXP(-LN(2)/2)*AW166+(1-EXP(-LN(2)/2))/(LN(2)/2)*AQ167*AT167*VLOOKUP('Données projet'!$B$10,Paramètres!$A$1:$I$89,3,0)*0.475*44/12</f>
        <v>4.0612307933170724E-21</v>
      </c>
      <c r="AX167" s="21">
        <f t="shared" si="166"/>
        <v>7.6155568015635851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1.1368683772161603E-13</v>
      </c>
      <c r="BE167" s="13">
        <f>BD167*VLOOKUP('Données projet'!$B$11,Paramètres!$A$1:$I$89,3,0)*VLOOKUP('Données projet'!$B$11,Paramètres!$A$1:$I$89,5,0)</f>
        <v>6.7984728957526396E-14</v>
      </c>
      <c r="BF167" s="13">
        <f t="shared" si="167"/>
        <v>1.0682447123141398E-12</v>
      </c>
      <c r="BG167" s="20">
        <f t="shared" si="168"/>
        <v>1.978932943548152E-12</v>
      </c>
      <c r="BH167" s="59">
        <f t="shared" si="116"/>
        <v>293.3333333333353</v>
      </c>
      <c r="BI167" s="59">
        <f ca="1">AVERAGE(OFFSET($BH$3,0,0,'Données projet'!$E$11+1,1))-AVERAGE(OFFSET($H$3,0,0,'Données projet'!$E$11+1,1))</f>
        <v>149.5086927376081</v>
      </c>
      <c r="BJ167" s="59">
        <f t="shared" si="146"/>
        <v>364.59164590134498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7.1405420695714223</v>
      </c>
      <c r="BQ167" s="21">
        <f>EXP(-LN(2)/25)*BQ166+(1-EXP(-LN(2)/25))/(LN(2)/25)*Calculateur!BL167*Calculateur!BN167*VLOOKUP('Données projet'!$B$11,Paramètres!$A$1:$I$89,3,0)*0.475*44/12</f>
        <v>0.47501473199216293</v>
      </c>
      <c r="BR167" s="21">
        <f>EXP(-LN(2)/2)*BR166+(1-EXP(-LN(2)/2))/(LN(2)/2)*BL167*BO167*VLOOKUP('Données projet'!$B$11,Paramètres!$A$1:$I$89,3,0)*0.475*44/12</f>
        <v>4.0612307933170724E-21</v>
      </c>
      <c r="BS167" s="22">
        <f t="shared" si="169"/>
        <v>7.6155568015635851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493.06231899046742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5.6843418860808015E-14</v>
      </c>
      <c r="O168" s="13">
        <f>N168*VLOOKUP('Données projet'!$B$9,Paramètres!$A$1:$I$89,3,0)*VLOOKUP('Données projet'!$B$9,Paramètres!$A$1:$I$89,5,0)</f>
        <v>3.3992364478763198E-14</v>
      </c>
      <c r="P168" s="13">
        <f t="shared" si="141"/>
        <v>5.790027782444094E-13</v>
      </c>
      <c r="Q168" s="20">
        <f t="shared" si="162"/>
        <v>1.0676332069095257E-12</v>
      </c>
      <c r="R168" s="59">
        <f t="shared" si="109"/>
        <v>293.33333333333439</v>
      </c>
      <c r="S168" s="59">
        <f ca="1">AVERAGE(OFFSET($R$3,0,0,'Données projet'!$E$9+1,1))-AVERAGE(OFFSET($H$3,0,0,'Données projet'!$E$9+1,1))</f>
        <v>153.00981126776304</v>
      </c>
      <c r="T168" s="59">
        <f t="shared" si="142"/>
        <v>309.90400623462932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7.7960167023121549</v>
      </c>
      <c r="AA168" s="21">
        <f>EXP(-LN(2)/25)*AA167+(1-EXP(-LN(2)/25))/(LN(2)/25)*Calculateur!V168*Calculateur!X168*VLOOKUP('Données projet'!$B$9,Paramètres!$A$1:$I$89,3,0)*0.475*44/12</f>
        <v>0.49866759665196242</v>
      </c>
      <c r="AB168" s="21">
        <f>EXP(-LN(2)/2)*AB167+(1-EXP(-LN(2)/2))/(LN(2)/2)*V168*Y168*VLOOKUP('Données projet'!$B$9,Paramètres!$A$1:$I$89,3,0)*0.475*44/12</f>
        <v>3.7400444645722653E-21</v>
      </c>
      <c r="AC168" s="22">
        <f t="shared" si="163"/>
        <v>8.2946842989641176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1.1368683772161603E-13</v>
      </c>
      <c r="AJ168" s="13">
        <f>AI168*VLOOKUP('Données projet'!$B$10,Paramètres!$A$1:$I$89,3,0)*VLOOKUP('Données projet'!$B$10,Paramètres!$A$1:$I$89,5,0)</f>
        <v>6.7984728957526396E-14</v>
      </c>
      <c r="AK168" s="13">
        <f t="shared" si="164"/>
        <v>1.0682447123141398E-12</v>
      </c>
      <c r="AL168" s="20">
        <f t="shared" si="165"/>
        <v>1.978932943548152E-12</v>
      </c>
      <c r="AM168" s="59">
        <f t="shared" si="113"/>
        <v>293.3333333333353</v>
      </c>
      <c r="AN168" s="59">
        <f ca="1">AVERAGE(OFFSET($AM$3,0,0,'Données projet'!$E$10+1,1))-AVERAGE(OFFSET($H$3,0,0,'Données projet'!$E$10+1,1))</f>
        <v>149.5086927376081</v>
      </c>
      <c r="AO168" s="59">
        <f t="shared" si="144"/>
        <v>364.59164590134498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7.0005203948877393</v>
      </c>
      <c r="AV168" s="21">
        <f>EXP(-LN(2)/25)*AV167+(1-EXP(-LN(2)/25))/(LN(2)/25)*Calculateur!AQ168*Calculateur!AS168*VLOOKUP('Données projet'!$B$10,Paramètres!$A$1:$I$89,3,0)*0.475*44/12</f>
        <v>0.46202542916589812</v>
      </c>
      <c r="AW168" s="21">
        <f>EXP(-LN(2)/2)*AW167+(1-EXP(-LN(2)/2))/(LN(2)/2)*AQ168*AT168*VLOOKUP('Données projet'!$B$10,Paramètres!$A$1:$I$89,3,0)*0.475*44/12</f>
        <v>2.8717238339181239E-21</v>
      </c>
      <c r="AX168" s="21">
        <f t="shared" si="166"/>
        <v>7.4625458240536373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1.1368683772161603E-13</v>
      </c>
      <c r="BE168" s="13">
        <f>BD168*VLOOKUP('Données projet'!$B$11,Paramètres!$A$1:$I$89,3,0)*VLOOKUP('Données projet'!$B$11,Paramètres!$A$1:$I$89,5,0)</f>
        <v>6.7984728957526396E-14</v>
      </c>
      <c r="BF168" s="13">
        <f t="shared" si="167"/>
        <v>1.0682447123141398E-12</v>
      </c>
      <c r="BG168" s="20">
        <f t="shared" si="168"/>
        <v>1.978932943548152E-12</v>
      </c>
      <c r="BH168" s="59">
        <f t="shared" si="116"/>
        <v>293.3333333333353</v>
      </c>
      <c r="BI168" s="59">
        <f ca="1">AVERAGE(OFFSET($BH$3,0,0,'Données projet'!$E$11+1,1))-AVERAGE(OFFSET($H$3,0,0,'Données projet'!$E$11+1,1))</f>
        <v>149.5086927376081</v>
      </c>
      <c r="BJ168" s="59">
        <f t="shared" si="146"/>
        <v>364.59164590134498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7.0005203948877393</v>
      </c>
      <c r="BQ168" s="21">
        <f>EXP(-LN(2)/25)*BQ167+(1-EXP(-LN(2)/25))/(LN(2)/25)*Calculateur!BL168*Calculateur!BN168*VLOOKUP('Données projet'!$B$11,Paramètres!$A$1:$I$89,3,0)*0.475*44/12</f>
        <v>0.46202542916589812</v>
      </c>
      <c r="BR168" s="21">
        <f>EXP(-LN(2)/2)*BR167+(1-EXP(-LN(2)/2))/(LN(2)/2)*BL168*BO168*VLOOKUP('Données projet'!$B$11,Paramètres!$A$1:$I$89,3,0)*0.475*44/12</f>
        <v>2.8717238339181239E-21</v>
      </c>
      <c r="BS168" s="22">
        <f t="shared" si="169"/>
        <v>7.4625458240536373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494.24250784521246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5.6843418860808015E-14</v>
      </c>
      <c r="O169" s="13">
        <f>N169*VLOOKUP('Données projet'!$B$9,Paramètres!$A$1:$I$89,3,0)*VLOOKUP('Données projet'!$B$9,Paramètres!$A$1:$I$89,5,0)</f>
        <v>3.3992364478763198E-14</v>
      </c>
      <c r="P169" s="13">
        <f t="shared" si="141"/>
        <v>5.790027782444094E-13</v>
      </c>
      <c r="Q169" s="20">
        <f t="shared" si="162"/>
        <v>1.0676332069095257E-12</v>
      </c>
      <c r="R169" s="59">
        <f t="shared" si="109"/>
        <v>293.33333333333439</v>
      </c>
      <c r="S169" s="59">
        <f ca="1">AVERAGE(OFFSET($R$3,0,0,'Données projet'!$E$9+1,1))-AVERAGE(OFFSET($H$3,0,0,'Données projet'!$E$9+1,1))</f>
        <v>153.00981126776304</v>
      </c>
      <c r="T169" s="59">
        <f t="shared" si="142"/>
        <v>309.90400623462932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7.6431415698804752</v>
      </c>
      <c r="AA169" s="21">
        <f>EXP(-LN(2)/25)*AA168+(1-EXP(-LN(2)/25))/(LN(2)/25)*Calculateur!V169*Calculateur!X169*VLOOKUP('Données projet'!$B$9,Paramètres!$A$1:$I$89,3,0)*0.475*44/12</f>
        <v>0.48503150499772529</v>
      </c>
      <c r="AB169" s="21">
        <f>EXP(-LN(2)/2)*AB168+(1-EXP(-LN(2)/2))/(LN(2)/2)*V169*Y169*VLOOKUP('Données projet'!$B$9,Paramètres!$A$1:$I$89,3,0)*0.475*44/12</f>
        <v>2.6446108028382591E-21</v>
      </c>
      <c r="AC169" s="22">
        <f t="shared" si="163"/>
        <v>8.1281730748782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1.1368683772161603E-13</v>
      </c>
      <c r="AJ169" s="13">
        <f>AI169*VLOOKUP('Données projet'!$B$10,Paramètres!$A$1:$I$89,3,0)*VLOOKUP('Données projet'!$B$10,Paramètres!$A$1:$I$89,5,0)</f>
        <v>6.7984728957526396E-14</v>
      </c>
      <c r="AK169" s="13">
        <f t="shared" si="164"/>
        <v>1.0682447123141398E-12</v>
      </c>
      <c r="AL169" s="20">
        <f t="shared" si="165"/>
        <v>1.978932943548152E-12</v>
      </c>
      <c r="AM169" s="59">
        <f t="shared" si="113"/>
        <v>293.3333333333353</v>
      </c>
      <c r="AN169" s="59">
        <f ca="1">AVERAGE(OFFSET($AM$3,0,0,'Données projet'!$E$10+1,1))-AVERAGE(OFFSET($H$3,0,0,'Données projet'!$E$10+1,1))</f>
        <v>149.5086927376081</v>
      </c>
      <c r="AO169" s="59">
        <f t="shared" si="144"/>
        <v>364.59164590134498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6.8632444598398141</v>
      </c>
      <c r="AV169" s="21">
        <f>EXP(-LN(2)/25)*AV168+(1-EXP(-LN(2)/25))/(LN(2)/25)*Calculateur!AQ169*Calculateur!AS169*VLOOKUP('Données projet'!$B$10,Paramètres!$A$1:$I$89,3,0)*0.475*44/12</f>
        <v>0.44939131950849531</v>
      </c>
      <c r="AW169" s="21">
        <f>EXP(-LN(2)/2)*AW168+(1-EXP(-LN(2)/2))/(LN(2)/2)*AQ169*AT169*VLOOKUP('Données projet'!$B$10,Paramètres!$A$1:$I$89,3,0)*0.475*44/12</f>
        <v>2.0306153966585362E-21</v>
      </c>
      <c r="AX169" s="21">
        <f t="shared" si="166"/>
        <v>7.3126357793483097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1.1368683772161603E-13</v>
      </c>
      <c r="BE169" s="13">
        <f>BD169*VLOOKUP('Données projet'!$B$11,Paramètres!$A$1:$I$89,3,0)*VLOOKUP('Données projet'!$B$11,Paramètres!$A$1:$I$89,5,0)</f>
        <v>6.7984728957526396E-14</v>
      </c>
      <c r="BF169" s="13">
        <f t="shared" si="167"/>
        <v>1.0682447123141398E-12</v>
      </c>
      <c r="BG169" s="20">
        <f t="shared" si="168"/>
        <v>1.978932943548152E-12</v>
      </c>
      <c r="BH169" s="59">
        <f t="shared" si="116"/>
        <v>293.3333333333353</v>
      </c>
      <c r="BI169" s="59">
        <f ca="1">AVERAGE(OFFSET($BH$3,0,0,'Données projet'!$E$11+1,1))-AVERAGE(OFFSET($H$3,0,0,'Données projet'!$E$11+1,1))</f>
        <v>149.5086927376081</v>
      </c>
      <c r="BJ169" s="59">
        <f t="shared" si="146"/>
        <v>364.59164590134498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6.8632444598398141</v>
      </c>
      <c r="BQ169" s="21">
        <f>EXP(-LN(2)/25)*BQ168+(1-EXP(-LN(2)/25))/(LN(2)/25)*Calculateur!BL169*Calculateur!BN169*VLOOKUP('Données projet'!$B$11,Paramètres!$A$1:$I$89,3,0)*0.475*44/12</f>
        <v>0.44939131950849531</v>
      </c>
      <c r="BR169" s="21">
        <f>EXP(-LN(2)/2)*BR168+(1-EXP(-LN(2)/2))/(LN(2)/2)*BL169*BO169*VLOOKUP('Données projet'!$B$11,Paramètres!$A$1:$I$89,3,0)*0.475*44/12</f>
        <v>2.0306153966585362E-21</v>
      </c>
      <c r="BS169" s="22">
        <f t="shared" si="169"/>
        <v>7.3126357793483097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495.42253601188349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5.6843418860808015E-14</v>
      </c>
      <c r="O170" s="13">
        <f>N170*VLOOKUP('Données projet'!$B$9,Paramètres!$A$1:$I$89,3,0)*VLOOKUP('Données projet'!$B$9,Paramètres!$A$1:$I$89,5,0)</f>
        <v>3.3992364478763198E-14</v>
      </c>
      <c r="P170" s="13">
        <f t="shared" si="141"/>
        <v>5.790027782444094E-13</v>
      </c>
      <c r="Q170" s="20">
        <f t="shared" si="162"/>
        <v>1.0676332069095257E-12</v>
      </c>
      <c r="R170" s="59">
        <f t="shared" si="109"/>
        <v>293.33333333333439</v>
      </c>
      <c r="S170" s="59">
        <f ca="1">AVERAGE(OFFSET($R$3,0,0,'Données projet'!$E$9+1,1))-AVERAGE(OFFSET($H$3,0,0,'Données projet'!$E$9+1,1))</f>
        <v>153.00981126776304</v>
      </c>
      <c r="T170" s="59">
        <f t="shared" si="142"/>
        <v>309.90400623462932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7.4932642255511563</v>
      </c>
      <c r="AA170" s="21">
        <f>EXP(-LN(2)/25)*AA169+(1-EXP(-LN(2)/25))/(LN(2)/25)*Calculateur!V170*Calculateur!X170*VLOOKUP('Données projet'!$B$9,Paramètres!$A$1:$I$89,3,0)*0.475*44/12</f>
        <v>0.47176829298686418</v>
      </c>
      <c r="AB170" s="21">
        <f>EXP(-LN(2)/2)*AB169+(1-EXP(-LN(2)/2))/(LN(2)/2)*V170*Y170*VLOOKUP('Données projet'!$B$9,Paramètres!$A$1:$I$89,3,0)*0.475*44/12</f>
        <v>1.8700222322861326E-21</v>
      </c>
      <c r="AC170" s="22">
        <f t="shared" si="163"/>
        <v>7.9650325185380204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1.1368683772161603E-13</v>
      </c>
      <c r="AJ170" s="13">
        <f>AI170*VLOOKUP('Données projet'!$B$10,Paramètres!$A$1:$I$89,3,0)*VLOOKUP('Données projet'!$B$10,Paramètres!$A$1:$I$89,5,0)</f>
        <v>6.7984728957526396E-14</v>
      </c>
      <c r="AK170" s="13">
        <f t="shared" si="164"/>
        <v>1.0682447123141398E-12</v>
      </c>
      <c r="AL170" s="20">
        <f t="shared" si="165"/>
        <v>1.978932943548152E-12</v>
      </c>
      <c r="AM170" s="59">
        <f t="shared" si="113"/>
        <v>293.3333333333353</v>
      </c>
      <c r="AN170" s="59">
        <f ca="1">AVERAGE(OFFSET($AM$3,0,0,'Données projet'!$E$10+1,1))-AVERAGE(OFFSET($H$3,0,0,'Données projet'!$E$10+1,1))</f>
        <v>149.5086927376081</v>
      </c>
      <c r="AO170" s="59">
        <f t="shared" si="144"/>
        <v>364.59164590134498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6.7286604221481268</v>
      </c>
      <c r="AV170" s="21">
        <f>EXP(-LN(2)/25)*AV169+(1-EXP(-LN(2)/25))/(LN(2)/25)*Calculateur!AQ170*Calculateur!AS170*VLOOKUP('Données projet'!$B$10,Paramètres!$A$1:$I$89,3,0)*0.475*44/12</f>
        <v>0.43710269024407311</v>
      </c>
      <c r="AW170" s="21">
        <f>EXP(-LN(2)/2)*AW169+(1-EXP(-LN(2)/2))/(LN(2)/2)*AQ170*AT170*VLOOKUP('Données projet'!$B$10,Paramètres!$A$1:$I$89,3,0)*0.475*44/12</f>
        <v>1.435861916959062E-21</v>
      </c>
      <c r="AX170" s="21">
        <f t="shared" si="166"/>
        <v>7.1657631123921997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1.1368683772161603E-13</v>
      </c>
      <c r="BE170" s="13">
        <f>BD170*VLOOKUP('Données projet'!$B$11,Paramètres!$A$1:$I$89,3,0)*VLOOKUP('Données projet'!$B$11,Paramètres!$A$1:$I$89,5,0)</f>
        <v>6.7984728957526396E-14</v>
      </c>
      <c r="BF170" s="13">
        <f t="shared" si="167"/>
        <v>1.0682447123141398E-12</v>
      </c>
      <c r="BG170" s="20">
        <f t="shared" si="168"/>
        <v>1.978932943548152E-12</v>
      </c>
      <c r="BH170" s="59">
        <f t="shared" si="116"/>
        <v>293.3333333333353</v>
      </c>
      <c r="BI170" s="59">
        <f ca="1">AVERAGE(OFFSET($BH$3,0,0,'Données projet'!$E$11+1,1))-AVERAGE(OFFSET($H$3,0,0,'Données projet'!$E$11+1,1))</f>
        <v>149.5086927376081</v>
      </c>
      <c r="BJ170" s="59">
        <f t="shared" si="146"/>
        <v>364.59164590134498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6.7286604221481268</v>
      </c>
      <c r="BQ170" s="21">
        <f>EXP(-LN(2)/25)*BQ169+(1-EXP(-LN(2)/25))/(LN(2)/25)*Calculateur!BL170*Calculateur!BN170*VLOOKUP('Données projet'!$B$11,Paramètres!$A$1:$I$89,3,0)*0.475*44/12</f>
        <v>0.43710269024407311</v>
      </c>
      <c r="BR170" s="21">
        <f>EXP(-LN(2)/2)*BR169+(1-EXP(-LN(2)/2))/(LN(2)/2)*BL170*BO170*VLOOKUP('Données projet'!$B$11,Paramètres!$A$1:$I$89,3,0)*0.475*44/12</f>
        <v>1.435861916959062E-21</v>
      </c>
      <c r="BS170" s="22">
        <f t="shared" si="169"/>
        <v>7.1657631123921997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496.60240456432382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5.6843418860808015E-14</v>
      </c>
      <c r="O171" s="13">
        <f>N171*VLOOKUP('Données projet'!$B$9,Paramètres!$A$1:$I$89,3,0)*VLOOKUP('Données projet'!$B$9,Paramètres!$A$1:$I$89,5,0)</f>
        <v>3.3992364478763198E-14</v>
      </c>
      <c r="P171" s="13">
        <f t="shared" si="141"/>
        <v>5.790027782444094E-13</v>
      </c>
      <c r="Q171" s="20">
        <f t="shared" si="162"/>
        <v>1.0676332069095257E-12</v>
      </c>
      <c r="R171" s="59">
        <f t="shared" si="109"/>
        <v>293.33333333333439</v>
      </c>
      <c r="S171" s="59">
        <f ca="1">AVERAGE(OFFSET($R$3,0,0,'Données projet'!$E$9+1,1))-AVERAGE(OFFSET($H$3,0,0,'Données projet'!$E$9+1,1))</f>
        <v>153.00981126776304</v>
      </c>
      <c r="T171" s="59">
        <f t="shared" si="142"/>
        <v>309.90400623462932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7.3463258845279826</v>
      </c>
      <c r="AA171" s="21">
        <f>EXP(-LN(2)/25)*AA170+(1-EXP(-LN(2)/25))/(LN(2)/25)*Calculateur!V171*Calculateur!X171*VLOOKUP('Données projet'!$B$9,Paramètres!$A$1:$I$89,3,0)*0.475*44/12</f>
        <v>0.45886776420592207</v>
      </c>
      <c r="AB171" s="21">
        <f>EXP(-LN(2)/2)*AB170+(1-EXP(-LN(2)/2))/(LN(2)/2)*V171*Y171*VLOOKUP('Données projet'!$B$9,Paramètres!$A$1:$I$89,3,0)*0.475*44/12</f>
        <v>1.3223054014191296E-21</v>
      </c>
      <c r="AC171" s="22">
        <f t="shared" si="163"/>
        <v>7.8051936487339049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1.1368683772161603E-13</v>
      </c>
      <c r="AJ171" s="13">
        <f>AI171*VLOOKUP('Données projet'!$B$10,Paramètres!$A$1:$I$89,3,0)*VLOOKUP('Données projet'!$B$10,Paramètres!$A$1:$I$89,5,0)</f>
        <v>6.7984728957526396E-14</v>
      </c>
      <c r="AK171" s="13">
        <f t="shared" si="164"/>
        <v>1.0682447123141398E-12</v>
      </c>
      <c r="AL171" s="20">
        <f t="shared" si="165"/>
        <v>1.978932943548152E-12</v>
      </c>
      <c r="AM171" s="59">
        <f t="shared" si="113"/>
        <v>293.3333333333353</v>
      </c>
      <c r="AN171" s="59">
        <f ca="1">AVERAGE(OFFSET($AM$3,0,0,'Données projet'!$E$10+1,1))-AVERAGE(OFFSET($H$3,0,0,'Données projet'!$E$10+1,1))</f>
        <v>149.5086927376081</v>
      </c>
      <c r="AO171" s="59">
        <f t="shared" si="144"/>
        <v>364.59164590134498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6.5967154953474152</v>
      </c>
      <c r="AV171" s="21">
        <f>EXP(-LN(2)/25)*AV170+(1-EXP(-LN(2)/25))/(LN(2)/25)*Calculateur!AQ171*Calculateur!AS171*VLOOKUP('Données projet'!$B$10,Paramètres!$A$1:$I$89,3,0)*0.475*44/12</f>
        <v>0.42515009419311744</v>
      </c>
      <c r="AW171" s="21">
        <f>EXP(-LN(2)/2)*AW170+(1-EXP(-LN(2)/2))/(LN(2)/2)*AQ171*AT171*VLOOKUP('Données projet'!$B$10,Paramètres!$A$1:$I$89,3,0)*0.475*44/12</f>
        <v>1.0153076983292681E-21</v>
      </c>
      <c r="AX171" s="21">
        <f t="shared" si="166"/>
        <v>7.0218655895405329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1.1368683772161603E-13</v>
      </c>
      <c r="BE171" s="13">
        <f>BD171*VLOOKUP('Données projet'!$B$11,Paramètres!$A$1:$I$89,3,0)*VLOOKUP('Données projet'!$B$11,Paramètres!$A$1:$I$89,5,0)</f>
        <v>6.7984728957526396E-14</v>
      </c>
      <c r="BF171" s="13">
        <f t="shared" si="167"/>
        <v>1.0682447123141398E-12</v>
      </c>
      <c r="BG171" s="20">
        <f t="shared" si="168"/>
        <v>1.978932943548152E-12</v>
      </c>
      <c r="BH171" s="59">
        <f t="shared" si="116"/>
        <v>293.3333333333353</v>
      </c>
      <c r="BI171" s="59">
        <f ca="1">AVERAGE(OFFSET($BH$3,0,0,'Données projet'!$E$11+1,1))-AVERAGE(OFFSET($H$3,0,0,'Données projet'!$E$11+1,1))</f>
        <v>149.5086927376081</v>
      </c>
      <c r="BJ171" s="59">
        <f t="shared" si="146"/>
        <v>364.59164590134498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6.5967154953474152</v>
      </c>
      <c r="BQ171" s="21">
        <f>EXP(-LN(2)/25)*BQ170+(1-EXP(-LN(2)/25))/(LN(2)/25)*Calculateur!BL171*Calculateur!BN171*VLOOKUP('Données projet'!$B$11,Paramètres!$A$1:$I$89,3,0)*0.475*44/12</f>
        <v>0.42515009419311744</v>
      </c>
      <c r="BR171" s="21">
        <f>EXP(-LN(2)/2)*BR170+(1-EXP(-LN(2)/2))/(LN(2)/2)*BL171*BO171*VLOOKUP('Données projet'!$B$11,Paramètres!$A$1:$I$89,3,0)*0.475*44/12</f>
        <v>1.0153076983292681E-21</v>
      </c>
      <c r="BS171" s="22">
        <f t="shared" si="169"/>
        <v>7.0218655895405329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497.78211456285305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5.6843418860808015E-14</v>
      </c>
      <c r="O172" s="13">
        <f>N172*VLOOKUP('Données projet'!$B$9,Paramètres!$A$1:$I$89,3,0)*VLOOKUP('Données projet'!$B$9,Paramètres!$A$1:$I$89,5,0)</f>
        <v>3.3992364478763198E-14</v>
      </c>
      <c r="P172" s="13">
        <f t="shared" si="141"/>
        <v>5.790027782444094E-13</v>
      </c>
      <c r="Q172" s="20">
        <f t="shared" si="162"/>
        <v>1.0676332069095257E-12</v>
      </c>
      <c r="R172" s="59">
        <f t="shared" si="109"/>
        <v>293.33333333333439</v>
      </c>
      <c r="S172" s="59">
        <f ca="1">AVERAGE(OFFSET($R$3,0,0,'Données projet'!$E$9+1,1))-AVERAGE(OFFSET($H$3,0,0,'Données projet'!$E$9+1,1))</f>
        <v>153.00981126776304</v>
      </c>
      <c r="T172" s="59">
        <f t="shared" si="142"/>
        <v>309.90400623462932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7.2022689147487347</v>
      </c>
      <c r="AA172" s="21">
        <f>EXP(-LN(2)/25)*AA171+(1-EXP(-LN(2)/25))/(LN(2)/25)*Calculateur!V172*Calculateur!X172*VLOOKUP('Données projet'!$B$9,Paramètres!$A$1:$I$89,3,0)*0.475*44/12</f>
        <v>0.44632000106290415</v>
      </c>
      <c r="AB172" s="21">
        <f>EXP(-LN(2)/2)*AB171+(1-EXP(-LN(2)/2))/(LN(2)/2)*V172*Y172*VLOOKUP('Données projet'!$B$9,Paramètres!$A$1:$I$89,3,0)*0.475*44/12</f>
        <v>9.3501111614306632E-22</v>
      </c>
      <c r="AC172" s="22">
        <f t="shared" si="163"/>
        <v>7.6485889158116391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1.1368683772161603E-13</v>
      </c>
      <c r="AJ172" s="13">
        <f>AI172*VLOOKUP('Données projet'!$B$10,Paramètres!$A$1:$I$89,3,0)*VLOOKUP('Données projet'!$B$10,Paramètres!$A$1:$I$89,5,0)</f>
        <v>6.7984728957526396E-14</v>
      </c>
      <c r="AK172" s="13">
        <f t="shared" si="164"/>
        <v>1.0682447123141398E-12</v>
      </c>
      <c r="AL172" s="20">
        <f t="shared" si="165"/>
        <v>1.978932943548152E-12</v>
      </c>
      <c r="AM172" s="59">
        <f t="shared" si="113"/>
        <v>293.3333333333353</v>
      </c>
      <c r="AN172" s="59">
        <f ca="1">AVERAGE(OFFSET($AM$3,0,0,'Données projet'!$E$10+1,1))-AVERAGE(OFFSET($H$3,0,0,'Données projet'!$E$10+1,1))</f>
        <v>149.5086927376081</v>
      </c>
      <c r="AO172" s="59">
        <f t="shared" si="144"/>
        <v>364.59164590134498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6.4673579280828069</v>
      </c>
      <c r="AV172" s="21">
        <f>EXP(-LN(2)/25)*AV171+(1-EXP(-LN(2)/25))/(LN(2)/25)*Calculateur!AQ172*Calculateur!AS172*VLOOKUP('Données projet'!$B$10,Paramètres!$A$1:$I$89,3,0)*0.475*44/12</f>
        <v>0.41352434250973491</v>
      </c>
      <c r="AW172" s="21">
        <f>EXP(-LN(2)/2)*AW171+(1-EXP(-LN(2)/2))/(LN(2)/2)*AQ172*AT172*VLOOKUP('Données projet'!$B$10,Paramètres!$A$1:$I$89,3,0)*0.475*44/12</f>
        <v>7.1793095847953099E-22</v>
      </c>
      <c r="AX172" s="21">
        <f t="shared" si="166"/>
        <v>6.8808822705925419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1.1368683772161603E-13</v>
      </c>
      <c r="BE172" s="13">
        <f>BD172*VLOOKUP('Données projet'!$B$11,Paramètres!$A$1:$I$89,3,0)*VLOOKUP('Données projet'!$B$11,Paramètres!$A$1:$I$89,5,0)</f>
        <v>6.7984728957526396E-14</v>
      </c>
      <c r="BF172" s="13">
        <f t="shared" si="167"/>
        <v>1.0682447123141398E-12</v>
      </c>
      <c r="BG172" s="20">
        <f t="shared" si="168"/>
        <v>1.978932943548152E-12</v>
      </c>
      <c r="BH172" s="59">
        <f t="shared" si="116"/>
        <v>293.3333333333353</v>
      </c>
      <c r="BI172" s="59">
        <f ca="1">AVERAGE(OFFSET($BH$3,0,0,'Données projet'!$E$11+1,1))-AVERAGE(OFFSET($H$3,0,0,'Données projet'!$E$11+1,1))</f>
        <v>149.5086927376081</v>
      </c>
      <c r="BJ172" s="59">
        <f t="shared" si="146"/>
        <v>364.59164590134498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6.4673579280828069</v>
      </c>
      <c r="BQ172" s="21">
        <f>EXP(-LN(2)/25)*BQ171+(1-EXP(-LN(2)/25))/(LN(2)/25)*Calculateur!BL172*Calculateur!BN172*VLOOKUP('Données projet'!$B$11,Paramètres!$A$1:$I$89,3,0)*0.475*44/12</f>
        <v>0.41352434250973491</v>
      </c>
      <c r="BR172" s="21">
        <f>EXP(-LN(2)/2)*BR171+(1-EXP(-LN(2)/2))/(LN(2)/2)*BL172*BO172*VLOOKUP('Données projet'!$B$11,Paramètres!$A$1:$I$89,3,0)*0.475*44/12</f>
        <v>7.1793095847953099E-22</v>
      </c>
      <c r="BS172" s="22">
        <f t="shared" si="169"/>
        <v>6.8808822705925419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498.96166705451697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5.6843418860808015E-14</v>
      </c>
      <c r="O173" s="13">
        <f>N173*VLOOKUP('Données projet'!$B$9,Paramètres!$A$1:$I$89,3,0)*VLOOKUP('Données projet'!$B$9,Paramètres!$A$1:$I$89,5,0)</f>
        <v>3.3992364478763198E-14</v>
      </c>
      <c r="P173" s="13">
        <f t="shared" si="141"/>
        <v>5.790027782444094E-13</v>
      </c>
      <c r="Q173" s="20">
        <f t="shared" si="162"/>
        <v>1.0676332069095257E-12</v>
      </c>
      <c r="R173" s="59">
        <f t="shared" si="109"/>
        <v>293.33333333333439</v>
      </c>
      <c r="S173" s="59">
        <f ca="1">AVERAGE(OFFSET($R$3,0,0,'Données projet'!$E$9+1,1))-AVERAGE(OFFSET($H$3,0,0,'Données projet'!$E$9+1,1))</f>
        <v>153.00981126776304</v>
      </c>
      <c r="T173" s="59">
        <f t="shared" si="142"/>
        <v>309.90400623462932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7.061036814280782</v>
      </c>
      <c r="AA173" s="21">
        <f>EXP(-LN(2)/25)*AA172+(1-EXP(-LN(2)/25))/(LN(2)/25)*Calculateur!V173*Calculateur!X173*VLOOKUP('Données projet'!$B$9,Paramètres!$A$1:$I$89,3,0)*0.475*44/12</f>
        <v>0.43411535716289024</v>
      </c>
      <c r="AB173" s="21">
        <f>EXP(-LN(2)/2)*AB172+(1-EXP(-LN(2)/2))/(LN(2)/2)*V173*Y173*VLOOKUP('Données projet'!$B$9,Paramètres!$A$1:$I$89,3,0)*0.475*44/12</f>
        <v>6.6115270070956478E-22</v>
      </c>
      <c r="AC173" s="22">
        <f t="shared" si="163"/>
        <v>7.4951521714436726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1.1368683772161603E-13</v>
      </c>
      <c r="AJ173" s="13">
        <f>AI173*VLOOKUP('Données projet'!$B$10,Paramètres!$A$1:$I$89,3,0)*VLOOKUP('Données projet'!$B$10,Paramètres!$A$1:$I$89,5,0)</f>
        <v>6.7984728957526396E-14</v>
      </c>
      <c r="AK173" s="13">
        <f t="shared" si="164"/>
        <v>1.0682447123141398E-12</v>
      </c>
      <c r="AL173" s="20">
        <f t="shared" si="165"/>
        <v>1.978932943548152E-12</v>
      </c>
      <c r="AM173" s="59">
        <f t="shared" si="113"/>
        <v>293.3333333333353</v>
      </c>
      <c r="AN173" s="59">
        <f ca="1">AVERAGE(OFFSET($AM$3,0,0,'Données projet'!$E$10+1,1))-AVERAGE(OFFSET($H$3,0,0,'Données projet'!$E$10+1,1))</f>
        <v>149.5086927376081</v>
      </c>
      <c r="AO173" s="59">
        <f t="shared" si="144"/>
        <v>364.59164590134498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6.3405369838119325</v>
      </c>
      <c r="AV173" s="21">
        <f>EXP(-LN(2)/25)*AV172+(1-EXP(-LN(2)/25))/(LN(2)/25)*Calculateur!AQ173*Calculateur!AS173*VLOOKUP('Données projet'!$B$10,Paramètres!$A$1:$I$89,3,0)*0.475*44/12</f>
        <v>0.40221649761750616</v>
      </c>
      <c r="AW173" s="21">
        <f>EXP(-LN(2)/2)*AW172+(1-EXP(-LN(2)/2))/(LN(2)/2)*AQ173*AT173*VLOOKUP('Données projet'!$B$10,Paramètres!$A$1:$I$89,3,0)*0.475*44/12</f>
        <v>5.0765384916463404E-22</v>
      </c>
      <c r="AX173" s="21">
        <f t="shared" si="166"/>
        <v>6.742753481429439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1.1368683772161603E-13</v>
      </c>
      <c r="BE173" s="13">
        <f>BD173*VLOOKUP('Données projet'!$B$11,Paramètres!$A$1:$I$89,3,0)*VLOOKUP('Données projet'!$B$11,Paramètres!$A$1:$I$89,5,0)</f>
        <v>6.7984728957526396E-14</v>
      </c>
      <c r="BF173" s="13">
        <f t="shared" si="167"/>
        <v>1.0682447123141398E-12</v>
      </c>
      <c r="BG173" s="20">
        <f t="shared" si="168"/>
        <v>1.978932943548152E-12</v>
      </c>
      <c r="BH173" s="59">
        <f t="shared" si="116"/>
        <v>293.3333333333353</v>
      </c>
      <c r="BI173" s="59">
        <f ca="1">AVERAGE(OFFSET($BH$3,0,0,'Données projet'!$E$11+1,1))-AVERAGE(OFFSET($H$3,0,0,'Données projet'!$E$11+1,1))</f>
        <v>149.5086927376081</v>
      </c>
      <c r="BJ173" s="59">
        <f t="shared" si="146"/>
        <v>364.59164590134498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6.3405369838119325</v>
      </c>
      <c r="BQ173" s="21">
        <f>EXP(-LN(2)/25)*BQ172+(1-EXP(-LN(2)/25))/(LN(2)/25)*Calculateur!BL173*Calculateur!BN173*VLOOKUP('Données projet'!$B$11,Paramètres!$A$1:$I$89,3,0)*0.475*44/12</f>
        <v>0.40221649761750616</v>
      </c>
      <c r="BR173" s="21">
        <f>EXP(-LN(2)/2)*BR172+(1-EXP(-LN(2)/2))/(LN(2)/2)*BL173*BO173*VLOOKUP('Données projet'!$B$11,Paramètres!$A$1:$I$89,3,0)*0.475*44/12</f>
        <v>5.0765384916463404E-22</v>
      </c>
      <c r="BS173" s="22">
        <f t="shared" si="169"/>
        <v>6.742753481429439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500.1410630733302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5.6843418860808015E-14</v>
      </c>
      <c r="O174" s="13">
        <f>N174*VLOOKUP('Données projet'!$B$9,Paramètres!$A$1:$I$89,3,0)*VLOOKUP('Données projet'!$B$9,Paramètres!$A$1:$I$89,5,0)</f>
        <v>3.3992364478763198E-14</v>
      </c>
      <c r="P174" s="13">
        <f t="shared" si="141"/>
        <v>5.790027782444094E-13</v>
      </c>
      <c r="Q174" s="20">
        <f t="shared" si="162"/>
        <v>1.0676332069095257E-12</v>
      </c>
      <c r="R174" s="59">
        <f t="shared" si="109"/>
        <v>293.33333333333439</v>
      </c>
      <c r="S174" s="59">
        <f ca="1">AVERAGE(OFFSET($R$3,0,0,'Données projet'!$E$9+1,1))-AVERAGE(OFFSET($H$3,0,0,'Données projet'!$E$9+1,1))</f>
        <v>153.00981126776304</v>
      </c>
      <c r="T174" s="59">
        <f t="shared" si="142"/>
        <v>309.90400623462932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6.9225741891599304</v>
      </c>
      <c r="AA174" s="21">
        <f>EXP(-LN(2)/25)*AA173+(1-EXP(-LN(2)/25))/(LN(2)/25)*Calculateur!V174*Calculateur!X174*VLOOKUP('Données projet'!$B$9,Paramètres!$A$1:$I$89,3,0)*0.475*44/12</f>
        <v>0.42224444989213655</v>
      </c>
      <c r="AB174" s="21">
        <f>EXP(-LN(2)/2)*AB173+(1-EXP(-LN(2)/2))/(LN(2)/2)*V174*Y174*VLOOKUP('Données projet'!$B$9,Paramètres!$A$1:$I$89,3,0)*0.475*44/12</f>
        <v>4.6750555807153316E-22</v>
      </c>
      <c r="AC174" s="22">
        <f t="shared" si="163"/>
        <v>7.3448186390520673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1.1368683772161603E-13</v>
      </c>
      <c r="AJ174" s="13">
        <f>AI174*VLOOKUP('Données projet'!$B$10,Paramètres!$A$1:$I$89,3,0)*VLOOKUP('Données projet'!$B$10,Paramètres!$A$1:$I$89,5,0)</f>
        <v>6.7984728957526396E-14</v>
      </c>
      <c r="AK174" s="13">
        <f t="shared" si="164"/>
        <v>1.0682447123141398E-12</v>
      </c>
      <c r="AL174" s="20">
        <f t="shared" si="165"/>
        <v>1.978932943548152E-12</v>
      </c>
      <c r="AM174" s="59">
        <f t="shared" si="113"/>
        <v>293.3333333333353</v>
      </c>
      <c r="AN174" s="59">
        <f ca="1">AVERAGE(OFFSET($AM$3,0,0,'Données projet'!$E$10+1,1))-AVERAGE(OFFSET($H$3,0,0,'Données projet'!$E$10+1,1))</f>
        <v>149.5086927376081</v>
      </c>
      <c r="AO174" s="59">
        <f t="shared" si="144"/>
        <v>364.59164590134498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6.2162029209050722</v>
      </c>
      <c r="AV174" s="21">
        <f>EXP(-LN(2)/25)*AV173+(1-EXP(-LN(2)/25))/(LN(2)/25)*Calculateur!AQ174*Calculateur!AS174*VLOOKUP('Données projet'!$B$10,Paramètres!$A$1:$I$89,3,0)*0.475*44/12</f>
        <v>0.39121786633850913</v>
      </c>
      <c r="AW174" s="21">
        <f>EXP(-LN(2)/2)*AW173+(1-EXP(-LN(2)/2))/(LN(2)/2)*AQ174*AT174*VLOOKUP('Données projet'!$B$10,Paramètres!$A$1:$I$89,3,0)*0.475*44/12</f>
        <v>3.5896547923976549E-22</v>
      </c>
      <c r="AX174" s="21">
        <f t="shared" si="166"/>
        <v>6.6074207872435817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1.1368683772161603E-13</v>
      </c>
      <c r="BE174" s="13">
        <f>BD174*VLOOKUP('Données projet'!$B$11,Paramètres!$A$1:$I$89,3,0)*VLOOKUP('Données projet'!$B$11,Paramètres!$A$1:$I$89,5,0)</f>
        <v>6.7984728957526396E-14</v>
      </c>
      <c r="BF174" s="13">
        <f t="shared" si="167"/>
        <v>1.0682447123141398E-12</v>
      </c>
      <c r="BG174" s="20">
        <f t="shared" si="168"/>
        <v>1.978932943548152E-12</v>
      </c>
      <c r="BH174" s="59">
        <f t="shared" si="116"/>
        <v>293.3333333333353</v>
      </c>
      <c r="BI174" s="59">
        <f ca="1">AVERAGE(OFFSET($BH$3,0,0,'Données projet'!$E$11+1,1))-AVERAGE(OFFSET($H$3,0,0,'Données projet'!$E$11+1,1))</f>
        <v>149.5086927376081</v>
      </c>
      <c r="BJ174" s="59">
        <f t="shared" si="146"/>
        <v>364.59164590134498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6.2162029209050722</v>
      </c>
      <c r="BQ174" s="21">
        <f>EXP(-LN(2)/25)*BQ173+(1-EXP(-LN(2)/25))/(LN(2)/25)*Calculateur!BL174*Calculateur!BN174*VLOOKUP('Données projet'!$B$11,Paramètres!$A$1:$I$89,3,0)*0.475*44/12</f>
        <v>0.39121786633850913</v>
      </c>
      <c r="BR174" s="21">
        <f>EXP(-LN(2)/2)*BR173+(1-EXP(-LN(2)/2))/(LN(2)/2)*BL174*BO174*VLOOKUP('Données projet'!$B$11,Paramètres!$A$1:$I$89,3,0)*0.475*44/12</f>
        <v>3.5896547923976549E-22</v>
      </c>
      <c r="BS174" s="22">
        <f t="shared" si="169"/>
        <v>6.6074207872435817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501.32030364051411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5.6843418860808015E-14</v>
      </c>
      <c r="O175" s="13">
        <f>N175*VLOOKUP('Données projet'!$B$9,Paramètres!$A$1:$I$89,3,0)*VLOOKUP('Données projet'!$B$9,Paramètres!$A$1:$I$89,5,0)</f>
        <v>3.3992364478763198E-14</v>
      </c>
      <c r="P175" s="13">
        <f t="shared" si="141"/>
        <v>5.790027782444094E-13</v>
      </c>
      <c r="Q175" s="20">
        <f t="shared" si="162"/>
        <v>1.0676332069095257E-12</v>
      </c>
      <c r="R175" s="59">
        <f t="shared" si="109"/>
        <v>293.33333333333439</v>
      </c>
      <c r="S175" s="59">
        <f ca="1">AVERAGE(OFFSET($R$3,0,0,'Données projet'!$E$9+1,1))-AVERAGE(OFFSET($H$3,0,0,'Données projet'!$E$9+1,1))</f>
        <v>153.00981126776304</v>
      </c>
      <c r="T175" s="59">
        <f t="shared" si="142"/>
        <v>309.90400623462932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6.7868267316638367</v>
      </c>
      <c r="AA175" s="21">
        <f>EXP(-LN(2)/25)*AA174+(1-EXP(-LN(2)/25))/(LN(2)/25)*Calculateur!V175*Calculateur!X175*VLOOKUP('Données projet'!$B$9,Paramètres!$A$1:$I$89,3,0)*0.475*44/12</f>
        <v>0.4106981532049655</v>
      </c>
      <c r="AB175" s="21">
        <f>EXP(-LN(2)/2)*AB174+(1-EXP(-LN(2)/2))/(LN(2)/2)*V175*Y175*VLOOKUP('Données projet'!$B$9,Paramètres!$A$1:$I$89,3,0)*0.475*44/12</f>
        <v>3.3057635035478239E-22</v>
      </c>
      <c r="AC175" s="22">
        <f t="shared" si="163"/>
        <v>7.1975248848688018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1.1368683772161603E-13</v>
      </c>
      <c r="AJ175" s="13">
        <f>AI175*VLOOKUP('Données projet'!$B$10,Paramètres!$A$1:$I$89,3,0)*VLOOKUP('Données projet'!$B$10,Paramètres!$A$1:$I$89,5,0)</f>
        <v>6.7984728957526396E-14</v>
      </c>
      <c r="AK175" s="13">
        <f t="shared" si="164"/>
        <v>1.0682447123141398E-12</v>
      </c>
      <c r="AL175" s="20">
        <f t="shared" si="165"/>
        <v>1.978932943548152E-12</v>
      </c>
      <c r="AM175" s="59">
        <f t="shared" si="113"/>
        <v>293.3333333333353</v>
      </c>
      <c r="AN175" s="59">
        <f ca="1">AVERAGE(OFFSET($AM$3,0,0,'Données projet'!$E$10+1,1))-AVERAGE(OFFSET($H$3,0,0,'Données projet'!$E$10+1,1))</f>
        <v>149.5086927376081</v>
      </c>
      <c r="AO175" s="59">
        <f t="shared" si="144"/>
        <v>364.59164590134498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6.0943069731355246</v>
      </c>
      <c r="AV175" s="21">
        <f>EXP(-LN(2)/25)*AV174+(1-EXP(-LN(2)/25))/(LN(2)/25)*Calculateur!AQ175*Calculateur!AS175*VLOOKUP('Données projet'!$B$10,Paramètres!$A$1:$I$89,3,0)*0.475*44/12</f>
        <v>0.38051999321022917</v>
      </c>
      <c r="AW175" s="21">
        <f>EXP(-LN(2)/2)*AW174+(1-EXP(-LN(2)/2))/(LN(2)/2)*AQ175*AT175*VLOOKUP('Données projet'!$B$10,Paramètres!$A$1:$I$89,3,0)*0.475*44/12</f>
        <v>2.5382692458231702E-22</v>
      </c>
      <c r="AX175" s="21">
        <f t="shared" si="166"/>
        <v>6.4748269663457538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1.1368683772161603E-13</v>
      </c>
      <c r="BE175" s="13">
        <f>BD175*VLOOKUP('Données projet'!$B$11,Paramètres!$A$1:$I$89,3,0)*VLOOKUP('Données projet'!$B$11,Paramètres!$A$1:$I$89,5,0)</f>
        <v>6.7984728957526396E-14</v>
      </c>
      <c r="BF175" s="13">
        <f t="shared" si="167"/>
        <v>1.0682447123141398E-12</v>
      </c>
      <c r="BG175" s="20">
        <f t="shared" si="168"/>
        <v>1.978932943548152E-12</v>
      </c>
      <c r="BH175" s="59">
        <f t="shared" si="116"/>
        <v>293.3333333333353</v>
      </c>
      <c r="BI175" s="59">
        <f ca="1">AVERAGE(OFFSET($BH$3,0,0,'Données projet'!$E$11+1,1))-AVERAGE(OFFSET($H$3,0,0,'Données projet'!$E$11+1,1))</f>
        <v>149.5086927376081</v>
      </c>
      <c r="BJ175" s="59">
        <f t="shared" si="146"/>
        <v>364.59164590134498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6.0943069731355246</v>
      </c>
      <c r="BQ175" s="21">
        <f>EXP(-LN(2)/25)*BQ174+(1-EXP(-LN(2)/25))/(LN(2)/25)*Calculateur!BL175*Calculateur!BN175*VLOOKUP('Données projet'!$B$11,Paramètres!$A$1:$I$89,3,0)*0.475*44/12</f>
        <v>0.38051999321022917</v>
      </c>
      <c r="BR175" s="21">
        <f>EXP(-LN(2)/2)*BR174+(1-EXP(-LN(2)/2))/(LN(2)/2)*BL175*BO175*VLOOKUP('Données projet'!$B$11,Paramètres!$A$1:$I$89,3,0)*0.475*44/12</f>
        <v>2.5382692458231702E-22</v>
      </c>
      <c r="BS175" s="22">
        <f t="shared" si="169"/>
        <v>6.4748269663457538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502.49938976472833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5.6843418860808015E-14</v>
      </c>
      <c r="O176" s="13">
        <f>N176*VLOOKUP('Données projet'!$B$9,Paramètres!$A$1:$I$89,3,0)*VLOOKUP('Données projet'!$B$9,Paramètres!$A$1:$I$89,5,0)</f>
        <v>3.3992364478763198E-14</v>
      </c>
      <c r="P176" s="13">
        <f t="shared" si="141"/>
        <v>5.790027782444094E-13</v>
      </c>
      <c r="Q176" s="20">
        <f t="shared" si="162"/>
        <v>1.0676332069095257E-12</v>
      </c>
      <c r="R176" s="59">
        <f t="shared" si="109"/>
        <v>293.33333333333439</v>
      </c>
      <c r="S176" s="59">
        <f ca="1">AVERAGE(OFFSET($R$3,0,0,'Données projet'!$E$9+1,1))-AVERAGE(OFFSET($H$3,0,0,'Données projet'!$E$9+1,1))</f>
        <v>153.00981126776304</v>
      </c>
      <c r="T176" s="59">
        <f t="shared" si="142"/>
        <v>309.90400623462932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6.6537411990114679</v>
      </c>
      <c r="AA176" s="21">
        <f>EXP(-LN(2)/25)*AA175+(1-EXP(-LN(2)/25))/(LN(2)/25)*Calculateur!V176*Calculateur!X176*VLOOKUP('Données projet'!$B$9,Paramètres!$A$1:$I$89,3,0)*0.475*44/12</f>
        <v>0.39946759060789849</v>
      </c>
      <c r="AB176" s="21">
        <f>EXP(-LN(2)/2)*AB175+(1-EXP(-LN(2)/2))/(LN(2)/2)*V176*Y176*VLOOKUP('Données projet'!$B$9,Paramètres!$A$1:$I$89,3,0)*0.475*44/12</f>
        <v>2.3375277903576658E-22</v>
      </c>
      <c r="AC176" s="22">
        <f t="shared" si="163"/>
        <v>7.053208789619366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1.1368683772161603E-13</v>
      </c>
      <c r="AJ176" s="13">
        <f>AI176*VLOOKUP('Données projet'!$B$10,Paramètres!$A$1:$I$89,3,0)*VLOOKUP('Données projet'!$B$10,Paramètres!$A$1:$I$89,5,0)</f>
        <v>6.7984728957526396E-14</v>
      </c>
      <c r="AK176" s="13">
        <f t="shared" si="164"/>
        <v>1.0682447123141398E-12</v>
      </c>
      <c r="AL176" s="20">
        <f t="shared" si="165"/>
        <v>1.978932943548152E-12</v>
      </c>
      <c r="AM176" s="59">
        <f t="shared" si="113"/>
        <v>293.3333333333353</v>
      </c>
      <c r="AN176" s="59">
        <f ca="1">AVERAGE(OFFSET($AM$3,0,0,'Données projet'!$E$10+1,1))-AVERAGE(OFFSET($H$3,0,0,'Données projet'!$E$10+1,1))</f>
        <v>149.5086927376081</v>
      </c>
      <c r="AO176" s="59">
        <f t="shared" si="144"/>
        <v>364.59164590134498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5.9748013305525518</v>
      </c>
      <c r="AV176" s="21">
        <f>EXP(-LN(2)/25)*AV175+(1-EXP(-LN(2)/25))/(LN(2)/25)*Calculateur!AQ176*Calculateur!AS176*VLOOKUP('Données projet'!$B$10,Paramètres!$A$1:$I$89,3,0)*0.475*44/12</f>
        <v>0.3701146539852187</v>
      </c>
      <c r="AW176" s="21">
        <f>EXP(-LN(2)/2)*AW175+(1-EXP(-LN(2)/2))/(LN(2)/2)*AQ176*AT176*VLOOKUP('Données projet'!$B$10,Paramètres!$A$1:$I$89,3,0)*0.475*44/12</f>
        <v>1.7948273961988275E-22</v>
      </c>
      <c r="AX176" s="21">
        <f t="shared" si="166"/>
        <v>6.3449159845377707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1.1368683772161603E-13</v>
      </c>
      <c r="BE176" s="13">
        <f>BD176*VLOOKUP('Données projet'!$B$11,Paramètres!$A$1:$I$89,3,0)*VLOOKUP('Données projet'!$B$11,Paramètres!$A$1:$I$89,5,0)</f>
        <v>6.7984728957526396E-14</v>
      </c>
      <c r="BF176" s="13">
        <f t="shared" si="167"/>
        <v>1.0682447123141398E-12</v>
      </c>
      <c r="BG176" s="20">
        <f t="shared" si="168"/>
        <v>1.978932943548152E-12</v>
      </c>
      <c r="BH176" s="59">
        <f t="shared" si="116"/>
        <v>293.3333333333353</v>
      </c>
      <c r="BI176" s="59">
        <f ca="1">AVERAGE(OFFSET($BH$3,0,0,'Données projet'!$E$11+1,1))-AVERAGE(OFFSET($H$3,0,0,'Données projet'!$E$11+1,1))</f>
        <v>149.5086927376081</v>
      </c>
      <c r="BJ176" s="59">
        <f t="shared" si="146"/>
        <v>364.59164590134498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5.9748013305525518</v>
      </c>
      <c r="BQ176" s="21">
        <f>EXP(-LN(2)/25)*BQ175+(1-EXP(-LN(2)/25))/(LN(2)/25)*Calculateur!BL176*Calculateur!BN176*VLOOKUP('Données projet'!$B$11,Paramètres!$A$1:$I$89,3,0)*0.475*44/12</f>
        <v>0.3701146539852187</v>
      </c>
      <c r="BR176" s="21">
        <f>EXP(-LN(2)/2)*BR175+(1-EXP(-LN(2)/2))/(LN(2)/2)*BL176*BO176*VLOOKUP('Données projet'!$B$11,Paramètres!$A$1:$I$89,3,0)*0.475*44/12</f>
        <v>1.7948273961988275E-22</v>
      </c>
      <c r="BS176" s="22">
        <f t="shared" si="169"/>
        <v>6.3449159845377707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503.67832244229692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5.6843418860808015E-14</v>
      </c>
      <c r="O177" s="13">
        <f>N177*VLOOKUP('Données projet'!$B$9,Paramètres!$A$1:$I$89,3,0)*VLOOKUP('Données projet'!$B$9,Paramètres!$A$1:$I$89,5,0)</f>
        <v>3.3992364478763198E-14</v>
      </c>
      <c r="P177" s="13">
        <f t="shared" si="141"/>
        <v>5.790027782444094E-13</v>
      </c>
      <c r="Q177" s="20">
        <f t="shared" si="162"/>
        <v>1.0676332069095257E-12</v>
      </c>
      <c r="R177" s="59">
        <f t="shared" si="109"/>
        <v>293.33333333333439</v>
      </c>
      <c r="S177" s="59">
        <f ca="1">AVERAGE(OFFSET($R$3,0,0,'Données projet'!$E$9+1,1))-AVERAGE(OFFSET($H$3,0,0,'Données projet'!$E$9+1,1))</f>
        <v>153.00981126776304</v>
      </c>
      <c r="T177" s="59">
        <f t="shared" si="142"/>
        <v>309.90400623462932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6.5232653924802522</v>
      </c>
      <c r="AA177" s="21">
        <f>EXP(-LN(2)/25)*AA176+(1-EXP(-LN(2)/25))/(LN(2)/25)*Calculateur!V177*Calculateur!X177*VLOOKUP('Données projet'!$B$9,Paramètres!$A$1:$I$89,3,0)*0.475*44/12</f>
        <v>0.38854412833563789</v>
      </c>
      <c r="AB177" s="21">
        <f>EXP(-LN(2)/2)*AB176+(1-EXP(-LN(2)/2))/(LN(2)/2)*V177*Y177*VLOOKUP('Données projet'!$B$9,Paramètres!$A$1:$I$89,3,0)*0.475*44/12</f>
        <v>1.652881751773912E-22</v>
      </c>
      <c r="AC177" s="22">
        <f t="shared" si="163"/>
        <v>6.9118095208158898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1.1368683772161603E-13</v>
      </c>
      <c r="AJ177" s="13">
        <f>AI177*VLOOKUP('Données projet'!$B$10,Paramètres!$A$1:$I$89,3,0)*VLOOKUP('Données projet'!$B$10,Paramètres!$A$1:$I$89,5,0)</f>
        <v>6.7984728957526396E-14</v>
      </c>
      <c r="AK177" s="13">
        <f t="shared" si="164"/>
        <v>1.0682447123141398E-12</v>
      </c>
      <c r="AL177" s="20">
        <f t="shared" si="165"/>
        <v>1.978932943548152E-12</v>
      </c>
      <c r="AM177" s="59">
        <f t="shared" si="113"/>
        <v>293.3333333333353</v>
      </c>
      <c r="AN177" s="59">
        <f ca="1">AVERAGE(OFFSET($AM$3,0,0,'Données projet'!$E$10+1,1))-AVERAGE(OFFSET($H$3,0,0,'Données projet'!$E$10+1,1))</f>
        <v>149.5086927376081</v>
      </c>
      <c r="AO177" s="59">
        <f t="shared" si="144"/>
        <v>364.59164590134498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5.8576391207293863</v>
      </c>
      <c r="AV177" s="21">
        <f>EXP(-LN(2)/25)*AV176+(1-EXP(-LN(2)/25))/(LN(2)/25)*Calculateur!AQ177*Calculateur!AS177*VLOOKUP('Données projet'!$B$10,Paramètres!$A$1:$I$89,3,0)*0.475*44/12</f>
        <v>0.35999384930850914</v>
      </c>
      <c r="AW177" s="21">
        <f>EXP(-LN(2)/2)*AW176+(1-EXP(-LN(2)/2))/(LN(2)/2)*AQ177*AT177*VLOOKUP('Données projet'!$B$10,Paramètres!$A$1:$I$89,3,0)*0.475*44/12</f>
        <v>1.2691346229115851E-22</v>
      </c>
      <c r="AX177" s="21">
        <f t="shared" si="166"/>
        <v>6.2176329700378954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1.1368683772161603E-13</v>
      </c>
      <c r="BE177" s="13">
        <f>BD177*VLOOKUP('Données projet'!$B$11,Paramètres!$A$1:$I$89,3,0)*VLOOKUP('Données projet'!$B$11,Paramètres!$A$1:$I$89,5,0)</f>
        <v>6.7984728957526396E-14</v>
      </c>
      <c r="BF177" s="13">
        <f t="shared" si="167"/>
        <v>1.0682447123141398E-12</v>
      </c>
      <c r="BG177" s="20">
        <f t="shared" si="168"/>
        <v>1.978932943548152E-12</v>
      </c>
      <c r="BH177" s="59">
        <f t="shared" si="116"/>
        <v>293.3333333333353</v>
      </c>
      <c r="BI177" s="59">
        <f ca="1">AVERAGE(OFFSET($BH$3,0,0,'Données projet'!$E$11+1,1))-AVERAGE(OFFSET($H$3,0,0,'Données projet'!$E$11+1,1))</f>
        <v>149.5086927376081</v>
      </c>
      <c r="BJ177" s="59">
        <f t="shared" si="146"/>
        <v>364.59164590134498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5.8576391207293863</v>
      </c>
      <c r="BQ177" s="21">
        <f>EXP(-LN(2)/25)*BQ176+(1-EXP(-LN(2)/25))/(LN(2)/25)*Calculateur!BL177*Calculateur!BN177*VLOOKUP('Données projet'!$B$11,Paramètres!$A$1:$I$89,3,0)*0.475*44/12</f>
        <v>0.35999384930850914</v>
      </c>
      <c r="BR177" s="21">
        <f>EXP(-LN(2)/2)*BR176+(1-EXP(-LN(2)/2))/(LN(2)/2)*BL177*BO177*VLOOKUP('Données projet'!$B$11,Paramètres!$A$1:$I$89,3,0)*0.475*44/12</f>
        <v>1.2691346229115851E-22</v>
      </c>
      <c r="BS177" s="22">
        <f t="shared" si="169"/>
        <v>6.2176329700378954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504.85710265742932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5.6843418860808015E-14</v>
      </c>
      <c r="O178" s="13">
        <f>N178*VLOOKUP('Données projet'!$B$9,Paramètres!$A$1:$I$89,3,0)*VLOOKUP('Données projet'!$B$9,Paramètres!$A$1:$I$89,5,0)</f>
        <v>3.3992364478763198E-14</v>
      </c>
      <c r="P178" s="13">
        <f t="shared" si="141"/>
        <v>5.790027782444094E-13</v>
      </c>
      <c r="Q178" s="20">
        <f t="shared" si="162"/>
        <v>1.0676332069095257E-12</v>
      </c>
      <c r="R178" s="59">
        <f t="shared" si="109"/>
        <v>293.33333333333439</v>
      </c>
      <c r="S178" s="59">
        <f ca="1">AVERAGE(OFFSET($R$3,0,0,'Données projet'!$E$9+1,1))-AVERAGE(OFFSET($H$3,0,0,'Données projet'!$E$9+1,1))</f>
        <v>153.00981126776304</v>
      </c>
      <c r="T178" s="59">
        <f t="shared" si="142"/>
        <v>309.90400623462932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6.3953481369327303</v>
      </c>
      <c r="AA178" s="21">
        <f>EXP(-LN(2)/25)*AA177+(1-EXP(-LN(2)/25))/(LN(2)/25)*Calculateur!V178*Calculateur!X178*VLOOKUP('Données projet'!$B$9,Paramètres!$A$1:$I$89,3,0)*0.475*44/12</f>
        <v>0.37791936871365217</v>
      </c>
      <c r="AB178" s="21">
        <f>EXP(-LN(2)/2)*AB177+(1-EXP(-LN(2)/2))/(LN(2)/2)*V178*Y178*VLOOKUP('Données projet'!$B$9,Paramètres!$A$1:$I$89,3,0)*0.475*44/12</f>
        <v>1.1687638951788329E-22</v>
      </c>
      <c r="AC178" s="22">
        <f t="shared" si="163"/>
        <v>6.7732675056463822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1.1368683772161603E-13</v>
      </c>
      <c r="AJ178" s="13">
        <f>AI178*VLOOKUP('Données projet'!$B$10,Paramètres!$A$1:$I$89,3,0)*VLOOKUP('Données projet'!$B$10,Paramètres!$A$1:$I$89,5,0)</f>
        <v>6.7984728957526396E-14</v>
      </c>
      <c r="AK178" s="13">
        <f t="shared" si="164"/>
        <v>1.0682447123141398E-12</v>
      </c>
      <c r="AL178" s="20">
        <f t="shared" si="165"/>
        <v>1.978932943548152E-12</v>
      </c>
      <c r="AM178" s="59">
        <f t="shared" si="113"/>
        <v>293.3333333333353</v>
      </c>
      <c r="AN178" s="59">
        <f ca="1">AVERAGE(OFFSET($AM$3,0,0,'Données projet'!$E$10+1,1))-AVERAGE(OFFSET($H$3,0,0,'Données projet'!$E$10+1,1))</f>
        <v>149.5086927376081</v>
      </c>
      <c r="AO178" s="59">
        <f t="shared" si="144"/>
        <v>364.59164590134498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5.742774390378961</v>
      </c>
      <c r="AV178" s="21">
        <f>EXP(-LN(2)/25)*AV177+(1-EXP(-LN(2)/25))/(LN(2)/25)*Calculateur!AQ178*Calculateur!AS178*VLOOKUP('Données projet'!$B$10,Paramètres!$A$1:$I$89,3,0)*0.475*44/12</f>
        <v>0.35014979856791417</v>
      </c>
      <c r="AW178" s="21">
        <f>EXP(-LN(2)/2)*AW177+(1-EXP(-LN(2)/2))/(LN(2)/2)*AQ178*AT178*VLOOKUP('Données projet'!$B$10,Paramètres!$A$1:$I$89,3,0)*0.475*44/12</f>
        <v>8.9741369809941373E-23</v>
      </c>
      <c r="AX178" s="21">
        <f t="shared" si="166"/>
        <v>6.092924188946875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1.1368683772161603E-13</v>
      </c>
      <c r="BE178" s="13">
        <f>BD178*VLOOKUP('Données projet'!$B$11,Paramètres!$A$1:$I$89,3,0)*VLOOKUP('Données projet'!$B$11,Paramètres!$A$1:$I$89,5,0)</f>
        <v>6.7984728957526396E-14</v>
      </c>
      <c r="BF178" s="13">
        <f t="shared" si="167"/>
        <v>1.0682447123141398E-12</v>
      </c>
      <c r="BG178" s="20">
        <f t="shared" si="168"/>
        <v>1.978932943548152E-12</v>
      </c>
      <c r="BH178" s="59">
        <f t="shared" si="116"/>
        <v>293.3333333333353</v>
      </c>
      <c r="BI178" s="59">
        <f ca="1">AVERAGE(OFFSET($BH$3,0,0,'Données projet'!$E$11+1,1))-AVERAGE(OFFSET($H$3,0,0,'Données projet'!$E$11+1,1))</f>
        <v>149.5086927376081</v>
      </c>
      <c r="BJ178" s="59">
        <f t="shared" si="146"/>
        <v>364.59164590134498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5.742774390378961</v>
      </c>
      <c r="BQ178" s="21">
        <f>EXP(-LN(2)/25)*BQ177+(1-EXP(-LN(2)/25))/(LN(2)/25)*Calculateur!BL178*Calculateur!BN178*VLOOKUP('Données projet'!$B$11,Paramètres!$A$1:$I$89,3,0)*0.475*44/12</f>
        <v>0.35014979856791417</v>
      </c>
      <c r="BR178" s="21">
        <f>EXP(-LN(2)/2)*BR177+(1-EXP(-LN(2)/2))/(LN(2)/2)*BL178*BO178*VLOOKUP('Données projet'!$B$11,Paramètres!$A$1:$I$89,3,0)*0.475*44/12</f>
        <v>8.9741369809941373E-23</v>
      </c>
      <c r="BS178" s="22">
        <f t="shared" si="169"/>
        <v>6.092924188946875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506.03573138243593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5.6843418860808015E-14</v>
      </c>
      <c r="O179" s="13">
        <f>N179*VLOOKUP('Données projet'!$B$9,Paramètres!$A$1:$I$89,3,0)*VLOOKUP('Données projet'!$B$9,Paramètres!$A$1:$I$89,5,0)</f>
        <v>3.3992364478763198E-14</v>
      </c>
      <c r="P179" s="13">
        <f t="shared" si="141"/>
        <v>5.790027782444094E-13</v>
      </c>
      <c r="Q179" s="20">
        <f t="shared" si="162"/>
        <v>1.0676332069095257E-12</v>
      </c>
      <c r="R179" s="59">
        <f t="shared" si="109"/>
        <v>293.33333333333439</v>
      </c>
      <c r="S179" s="59">
        <f ca="1">AVERAGE(OFFSET($R$3,0,0,'Données projet'!$E$9+1,1))-AVERAGE(OFFSET($H$3,0,0,'Données projet'!$E$9+1,1))</f>
        <v>153.00981126776304</v>
      </c>
      <c r="T179" s="59">
        <f t="shared" si="142"/>
        <v>309.90400623462932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6.2699392607446729</v>
      </c>
      <c r="AA179" s="21">
        <f>EXP(-LN(2)/25)*AA178+(1-EXP(-LN(2)/25))/(LN(2)/25)*Calculateur!V179*Calculateur!X179*VLOOKUP('Données projet'!$B$9,Paramètres!$A$1:$I$89,3,0)*0.475*44/12</f>
        <v>0.36758514370226147</v>
      </c>
      <c r="AB179" s="21">
        <f>EXP(-LN(2)/2)*AB178+(1-EXP(-LN(2)/2))/(LN(2)/2)*V179*Y179*VLOOKUP('Données projet'!$B$9,Paramètres!$A$1:$I$89,3,0)*0.475*44/12</f>
        <v>8.2644087588695598E-23</v>
      </c>
      <c r="AC179" s="22">
        <f t="shared" si="163"/>
        <v>6.6375244044469346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1.1368683772161603E-13</v>
      </c>
      <c r="AJ179" s="13">
        <f>AI179*VLOOKUP('Données projet'!$B$10,Paramètres!$A$1:$I$89,3,0)*VLOOKUP('Données projet'!$B$10,Paramètres!$A$1:$I$89,5,0)</f>
        <v>6.7984728957526396E-14</v>
      </c>
      <c r="AK179" s="13">
        <f t="shared" si="164"/>
        <v>1.0682447123141398E-12</v>
      </c>
      <c r="AL179" s="20">
        <f t="shared" si="165"/>
        <v>1.978932943548152E-12</v>
      </c>
      <c r="AM179" s="59">
        <f t="shared" si="113"/>
        <v>293.3333333333353</v>
      </c>
      <c r="AN179" s="59">
        <f ca="1">AVERAGE(OFFSET($AM$3,0,0,'Données projet'!$E$10+1,1))-AVERAGE(OFFSET($H$3,0,0,'Données projet'!$E$10+1,1))</f>
        <v>149.5086927376081</v>
      </c>
      <c r="AO179" s="59">
        <f t="shared" si="144"/>
        <v>364.59164590134498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5.6301620873301399</v>
      </c>
      <c r="AV179" s="21">
        <f>EXP(-LN(2)/25)*AV178+(1-EXP(-LN(2)/25))/(LN(2)/25)*Calculateur!AQ179*Calculateur!AS179*VLOOKUP('Données projet'!$B$10,Paramètres!$A$1:$I$89,3,0)*0.475*44/12</f>
        <v>0.34057493391249694</v>
      </c>
      <c r="AW179" s="21">
        <f>EXP(-LN(2)/2)*AW178+(1-EXP(-LN(2)/2))/(LN(2)/2)*AQ179*AT179*VLOOKUP('Données projet'!$B$10,Paramètres!$A$1:$I$89,3,0)*0.475*44/12</f>
        <v>6.3456731145579256E-23</v>
      </c>
      <c r="AX179" s="21">
        <f t="shared" si="166"/>
        <v>5.9707370212426367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1.1368683772161603E-13</v>
      </c>
      <c r="BE179" s="13">
        <f>BD179*VLOOKUP('Données projet'!$B$11,Paramètres!$A$1:$I$89,3,0)*VLOOKUP('Données projet'!$B$11,Paramètres!$A$1:$I$89,5,0)</f>
        <v>6.7984728957526396E-14</v>
      </c>
      <c r="BF179" s="13">
        <f t="shared" si="167"/>
        <v>1.0682447123141398E-12</v>
      </c>
      <c r="BG179" s="20">
        <f t="shared" si="168"/>
        <v>1.978932943548152E-12</v>
      </c>
      <c r="BH179" s="59">
        <f t="shared" si="116"/>
        <v>293.3333333333353</v>
      </c>
      <c r="BI179" s="59">
        <f ca="1">AVERAGE(OFFSET($BH$3,0,0,'Données projet'!$E$11+1,1))-AVERAGE(OFFSET($H$3,0,0,'Données projet'!$E$11+1,1))</f>
        <v>149.5086927376081</v>
      </c>
      <c r="BJ179" s="59">
        <f t="shared" si="146"/>
        <v>364.59164590134498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5.6301620873301399</v>
      </c>
      <c r="BQ179" s="21">
        <f>EXP(-LN(2)/25)*BQ178+(1-EXP(-LN(2)/25))/(LN(2)/25)*Calculateur!BL179*Calculateur!BN179*VLOOKUP('Données projet'!$B$11,Paramètres!$A$1:$I$89,3,0)*0.475*44/12</f>
        <v>0.34057493391249694</v>
      </c>
      <c r="BR179" s="21">
        <f>EXP(-LN(2)/2)*BR178+(1-EXP(-LN(2)/2))/(LN(2)/2)*BL179*BO179*VLOOKUP('Données projet'!$B$11,Paramètres!$A$1:$I$89,3,0)*0.475*44/12</f>
        <v>6.3456731145579256E-23</v>
      </c>
      <c r="BS179" s="22">
        <f t="shared" si="169"/>
        <v>5.9707370212426367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507.21420957793879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5.6843418860808015E-14</v>
      </c>
      <c r="O180" s="13">
        <f>N180*VLOOKUP('Données projet'!$B$9,Paramètres!$A$1:$I$89,3,0)*VLOOKUP('Données projet'!$B$9,Paramètres!$A$1:$I$89,5,0)</f>
        <v>3.3992364478763198E-14</v>
      </c>
      <c r="P180" s="13">
        <f t="shared" si="141"/>
        <v>5.790027782444094E-13</v>
      </c>
      <c r="Q180" s="20">
        <f t="shared" si="162"/>
        <v>1.0676332069095257E-12</v>
      </c>
      <c r="R180" s="59">
        <f t="shared" si="109"/>
        <v>293.33333333333439</v>
      </c>
      <c r="S180" s="59">
        <f ca="1">AVERAGE(OFFSET($R$3,0,0,'Données projet'!$E$9+1,1))-AVERAGE(OFFSET($H$3,0,0,'Données projet'!$E$9+1,1))</f>
        <v>153.00981126776304</v>
      </c>
      <c r="T180" s="59">
        <f t="shared" si="142"/>
        <v>309.90400623462932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6.1469895761268019</v>
      </c>
      <c r="AA180" s="21">
        <f>EXP(-LN(2)/25)*AA179+(1-EXP(-LN(2)/25))/(LN(2)/25)*Calculateur!V180*Calculateur!X180*VLOOKUP('Données projet'!$B$9,Paramètres!$A$1:$I$89,3,0)*0.475*44/12</f>
        <v>0.35753350861726058</v>
      </c>
      <c r="AB180" s="21">
        <f>EXP(-LN(2)/2)*AB179+(1-EXP(-LN(2)/2))/(LN(2)/2)*V180*Y180*VLOOKUP('Données projet'!$B$9,Paramètres!$A$1:$I$89,3,0)*0.475*44/12</f>
        <v>5.8438194758941645E-23</v>
      </c>
      <c r="AC180" s="22">
        <f t="shared" si="163"/>
        <v>6.5045230847440623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1.1368683772161603E-13</v>
      </c>
      <c r="AJ180" s="13">
        <f>AI180*VLOOKUP('Données projet'!$B$10,Paramètres!$A$1:$I$89,3,0)*VLOOKUP('Données projet'!$B$10,Paramètres!$A$1:$I$89,5,0)</f>
        <v>6.7984728957526396E-14</v>
      </c>
      <c r="AK180" s="13">
        <f t="shared" si="164"/>
        <v>1.0682447123141398E-12</v>
      </c>
      <c r="AL180" s="20">
        <f t="shared" si="165"/>
        <v>1.978932943548152E-12</v>
      </c>
      <c r="AM180" s="59">
        <f t="shared" si="113"/>
        <v>293.3333333333353</v>
      </c>
      <c r="AN180" s="59">
        <f ca="1">AVERAGE(OFFSET($AM$3,0,0,'Données projet'!$E$10+1,1))-AVERAGE(OFFSET($H$3,0,0,'Données projet'!$E$10+1,1))</f>
        <v>149.5086927376081</v>
      </c>
      <c r="AO180" s="59">
        <f t="shared" si="144"/>
        <v>364.59164590134498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5.5197580428573838</v>
      </c>
      <c r="AV180" s="21">
        <f>EXP(-LN(2)/25)*AV179+(1-EXP(-LN(2)/25))/(LN(2)/25)*Calculateur!AQ180*Calculateur!AS180*VLOOKUP('Données projet'!$B$10,Paramètres!$A$1:$I$89,3,0)*0.475*44/12</f>
        <v>0.3312618944346023</v>
      </c>
      <c r="AW180" s="21">
        <f>EXP(-LN(2)/2)*AW179+(1-EXP(-LN(2)/2))/(LN(2)/2)*AQ180*AT180*VLOOKUP('Données projet'!$B$10,Paramètres!$A$1:$I$89,3,0)*0.475*44/12</f>
        <v>4.4870684904970687E-23</v>
      </c>
      <c r="AX180" s="21">
        <f t="shared" si="166"/>
        <v>5.8510199372919862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1.1368683772161603E-13</v>
      </c>
      <c r="BE180" s="13">
        <f>BD180*VLOOKUP('Données projet'!$B$11,Paramètres!$A$1:$I$89,3,0)*VLOOKUP('Données projet'!$B$11,Paramètres!$A$1:$I$89,5,0)</f>
        <v>6.7984728957526396E-14</v>
      </c>
      <c r="BF180" s="13">
        <f t="shared" si="167"/>
        <v>1.0682447123141398E-12</v>
      </c>
      <c r="BG180" s="20">
        <f t="shared" si="168"/>
        <v>1.978932943548152E-12</v>
      </c>
      <c r="BH180" s="59">
        <f t="shared" si="116"/>
        <v>293.3333333333353</v>
      </c>
      <c r="BI180" s="59">
        <f ca="1">AVERAGE(OFFSET($BH$3,0,0,'Données projet'!$E$11+1,1))-AVERAGE(OFFSET($H$3,0,0,'Données projet'!$E$11+1,1))</f>
        <v>149.5086927376081</v>
      </c>
      <c r="BJ180" s="59">
        <f t="shared" si="146"/>
        <v>364.59164590134498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5.5197580428573838</v>
      </c>
      <c r="BQ180" s="21">
        <f>EXP(-LN(2)/25)*BQ179+(1-EXP(-LN(2)/25))/(LN(2)/25)*Calculateur!BL180*Calculateur!BN180*VLOOKUP('Données projet'!$B$11,Paramètres!$A$1:$I$89,3,0)*0.475*44/12</f>
        <v>0.3312618944346023</v>
      </c>
      <c r="BR180" s="21">
        <f>EXP(-LN(2)/2)*BR179+(1-EXP(-LN(2)/2))/(LN(2)/2)*BL180*BO180*VLOOKUP('Données projet'!$B$11,Paramètres!$A$1:$I$89,3,0)*0.475*44/12</f>
        <v>4.4870684904970687E-23</v>
      </c>
      <c r="BS180" s="22">
        <f t="shared" si="169"/>
        <v>5.8510199372919862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508.39253819307743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5.6843418860808015E-14</v>
      </c>
      <c r="O181" s="13">
        <f>N181*VLOOKUP('Données projet'!$B$9,Paramètres!$A$1:$I$89,3,0)*VLOOKUP('Données projet'!$B$9,Paramètres!$A$1:$I$89,5,0)</f>
        <v>3.3992364478763198E-14</v>
      </c>
      <c r="P181" s="13">
        <f t="shared" si="141"/>
        <v>5.790027782444094E-13</v>
      </c>
      <c r="Q181" s="20">
        <f t="shared" si="162"/>
        <v>1.0676332069095257E-12</v>
      </c>
      <c r="R181" s="59">
        <f t="shared" si="109"/>
        <v>293.33333333333439</v>
      </c>
      <c r="S181" s="59">
        <f ca="1">AVERAGE(OFFSET($R$3,0,0,'Données projet'!$E$9+1,1))-AVERAGE(OFFSET($H$3,0,0,'Données projet'!$E$9+1,1))</f>
        <v>153.00981126776304</v>
      </c>
      <c r="T181" s="59">
        <f t="shared" si="142"/>
        <v>309.90400623462932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6.0264508598323845</v>
      </c>
      <c r="AA181" s="21">
        <f>EXP(-LN(2)/25)*AA180+(1-EXP(-LN(2)/25))/(LN(2)/25)*Calculateur!V181*Calculateur!X181*VLOOKUP('Données projet'!$B$9,Paramètres!$A$1:$I$89,3,0)*0.475*44/12</f>
        <v>0.34775673602225154</v>
      </c>
      <c r="AB181" s="21">
        <f>EXP(-LN(2)/2)*AB180+(1-EXP(-LN(2)/2))/(LN(2)/2)*V181*Y181*VLOOKUP('Données projet'!$B$9,Paramètres!$A$1:$I$89,3,0)*0.475*44/12</f>
        <v>4.1322043794347799E-23</v>
      </c>
      <c r="AC181" s="22">
        <f t="shared" si="163"/>
        <v>6.374207595854636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1.1368683772161603E-13</v>
      </c>
      <c r="AJ181" s="13">
        <f>AI181*VLOOKUP('Données projet'!$B$10,Paramètres!$A$1:$I$89,3,0)*VLOOKUP('Données projet'!$B$10,Paramètres!$A$1:$I$89,5,0)</f>
        <v>6.7984728957526396E-14</v>
      </c>
      <c r="AK181" s="13">
        <f t="shared" si="164"/>
        <v>1.0682447123141398E-12</v>
      </c>
      <c r="AL181" s="20">
        <f t="shared" si="165"/>
        <v>1.978932943548152E-12</v>
      </c>
      <c r="AM181" s="59">
        <f t="shared" si="113"/>
        <v>293.3333333333353</v>
      </c>
      <c r="AN181" s="59">
        <f ca="1">AVERAGE(OFFSET($AM$3,0,0,'Données projet'!$E$10+1,1))-AVERAGE(OFFSET($H$3,0,0,'Données projet'!$E$10+1,1))</f>
        <v>149.5086927376081</v>
      </c>
      <c r="AO181" s="59">
        <f t="shared" si="144"/>
        <v>364.59164590134498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5.4115189543569207</v>
      </c>
      <c r="AV181" s="21">
        <f>EXP(-LN(2)/25)*AV180+(1-EXP(-LN(2)/25))/(LN(2)/25)*Calculateur!AQ181*Calculateur!AS181*VLOOKUP('Données projet'!$B$10,Paramètres!$A$1:$I$89,3,0)*0.475*44/12</f>
        <v>0.32220352051098217</v>
      </c>
      <c r="AW181" s="21">
        <f>EXP(-LN(2)/2)*AW180+(1-EXP(-LN(2)/2))/(LN(2)/2)*AQ181*AT181*VLOOKUP('Données projet'!$B$10,Paramètres!$A$1:$I$89,3,0)*0.475*44/12</f>
        <v>3.1728365572789628E-23</v>
      </c>
      <c r="AX181" s="21">
        <f t="shared" si="166"/>
        <v>5.7337224748679025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1.1368683772161603E-13</v>
      </c>
      <c r="BE181" s="13">
        <f>BD181*VLOOKUP('Données projet'!$B$11,Paramètres!$A$1:$I$89,3,0)*VLOOKUP('Données projet'!$B$11,Paramètres!$A$1:$I$89,5,0)</f>
        <v>6.7984728957526396E-14</v>
      </c>
      <c r="BF181" s="13">
        <f t="shared" si="167"/>
        <v>1.0682447123141398E-12</v>
      </c>
      <c r="BG181" s="20">
        <f t="shared" si="168"/>
        <v>1.978932943548152E-12</v>
      </c>
      <c r="BH181" s="59">
        <f t="shared" si="116"/>
        <v>293.3333333333353</v>
      </c>
      <c r="BI181" s="59">
        <f ca="1">AVERAGE(OFFSET($BH$3,0,0,'Données projet'!$E$11+1,1))-AVERAGE(OFFSET($H$3,0,0,'Données projet'!$E$11+1,1))</f>
        <v>149.5086927376081</v>
      </c>
      <c r="BJ181" s="59">
        <f t="shared" si="146"/>
        <v>364.59164590134498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5.4115189543569207</v>
      </c>
      <c r="BQ181" s="21">
        <f>EXP(-LN(2)/25)*BQ180+(1-EXP(-LN(2)/25))/(LN(2)/25)*Calculateur!BL181*Calculateur!BN181*VLOOKUP('Données projet'!$B$11,Paramètres!$A$1:$I$89,3,0)*0.475*44/12</f>
        <v>0.32220352051098217</v>
      </c>
      <c r="BR181" s="21">
        <f>EXP(-LN(2)/2)*BR180+(1-EXP(-LN(2)/2))/(LN(2)/2)*BL181*BO181*VLOOKUP('Données projet'!$B$11,Paramètres!$A$1:$I$89,3,0)*0.475*44/12</f>
        <v>3.1728365572789628E-23</v>
      </c>
      <c r="BS181" s="22">
        <f t="shared" si="169"/>
        <v>5.7337224748679025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509.57071816570965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5.6843418860808015E-14</v>
      </c>
      <c r="O182" s="13">
        <f>N182*VLOOKUP('Données projet'!$B$9,Paramètres!$A$1:$I$89,3,0)*VLOOKUP('Données projet'!$B$9,Paramètres!$A$1:$I$89,5,0)</f>
        <v>3.3992364478763198E-14</v>
      </c>
      <c r="P182" s="13">
        <f t="shared" si="141"/>
        <v>5.790027782444094E-13</v>
      </c>
      <c r="Q182" s="20">
        <f t="shared" si="162"/>
        <v>1.0676332069095257E-12</v>
      </c>
      <c r="R182" s="59">
        <f t="shared" si="109"/>
        <v>293.33333333333439</v>
      </c>
      <c r="S182" s="59">
        <f ca="1">AVERAGE(OFFSET($R$3,0,0,'Données projet'!$E$9+1,1))-AVERAGE(OFFSET($H$3,0,0,'Données projet'!$E$9+1,1))</f>
        <v>153.00981126776304</v>
      </c>
      <c r="T182" s="59">
        <f t="shared" si="142"/>
        <v>309.90400623462932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5.9082758342431436</v>
      </c>
      <c r="AA182" s="21">
        <f>EXP(-LN(2)/25)*AA181+(1-EXP(-LN(2)/25))/(LN(2)/25)*Calculateur!V182*Calculateur!X182*VLOOKUP('Données projet'!$B$9,Paramètres!$A$1:$I$89,3,0)*0.475*44/12</f>
        <v>0.33824730978799111</v>
      </c>
      <c r="AB182" s="21">
        <f>EXP(-LN(2)/2)*AB181+(1-EXP(-LN(2)/2))/(LN(2)/2)*V182*Y182*VLOOKUP('Données projet'!$B$9,Paramètres!$A$1:$I$89,3,0)*0.475*44/12</f>
        <v>2.9219097379470823E-23</v>
      </c>
      <c r="AC182" s="22">
        <f t="shared" si="163"/>
        <v>6.2465231440311344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1.1368683772161603E-13</v>
      </c>
      <c r="AJ182" s="13">
        <f>AI182*VLOOKUP('Données projet'!$B$10,Paramètres!$A$1:$I$89,3,0)*VLOOKUP('Données projet'!$B$10,Paramètres!$A$1:$I$89,5,0)</f>
        <v>6.7984728957526396E-14</v>
      </c>
      <c r="AK182" s="13">
        <f t="shared" si="164"/>
        <v>1.0682447123141398E-12</v>
      </c>
      <c r="AL182" s="20">
        <f t="shared" si="165"/>
        <v>1.978932943548152E-12</v>
      </c>
      <c r="AM182" s="59">
        <f t="shared" si="113"/>
        <v>293.3333333333353</v>
      </c>
      <c r="AN182" s="59">
        <f ca="1">AVERAGE(OFFSET($AM$3,0,0,'Données projet'!$E$10+1,1))-AVERAGE(OFFSET($H$3,0,0,'Données projet'!$E$10+1,1))</f>
        <v>149.5086927376081</v>
      </c>
      <c r="AO182" s="59">
        <f t="shared" si="144"/>
        <v>364.59164590134498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5.3054023683626266</v>
      </c>
      <c r="AV182" s="21">
        <f>EXP(-LN(2)/25)*AV181+(1-EXP(-LN(2)/25))/(LN(2)/25)*Calculateur!AQ182*Calculateur!AS182*VLOOKUP('Données projet'!$B$10,Paramètres!$A$1:$I$89,3,0)*0.475*44/12</f>
        <v>0.3133928482986626</v>
      </c>
      <c r="AW182" s="21">
        <f>EXP(-LN(2)/2)*AW181+(1-EXP(-LN(2)/2))/(LN(2)/2)*AQ182*AT182*VLOOKUP('Données projet'!$B$10,Paramètres!$A$1:$I$89,3,0)*0.475*44/12</f>
        <v>2.2435342452485343E-23</v>
      </c>
      <c r="AX182" s="21">
        <f t="shared" si="166"/>
        <v>5.6187952166612893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1.1368683772161603E-13</v>
      </c>
      <c r="BE182" s="13">
        <f>BD182*VLOOKUP('Données projet'!$B$11,Paramètres!$A$1:$I$89,3,0)*VLOOKUP('Données projet'!$B$11,Paramètres!$A$1:$I$89,5,0)</f>
        <v>6.7984728957526396E-14</v>
      </c>
      <c r="BF182" s="13">
        <f t="shared" si="167"/>
        <v>1.0682447123141398E-12</v>
      </c>
      <c r="BG182" s="20">
        <f t="shared" si="168"/>
        <v>1.978932943548152E-12</v>
      </c>
      <c r="BH182" s="59">
        <f t="shared" si="116"/>
        <v>293.3333333333353</v>
      </c>
      <c r="BI182" s="59">
        <f ca="1">AVERAGE(OFFSET($BH$3,0,0,'Données projet'!$E$11+1,1))-AVERAGE(OFFSET($H$3,0,0,'Données projet'!$E$11+1,1))</f>
        <v>149.5086927376081</v>
      </c>
      <c r="BJ182" s="59">
        <f t="shared" si="146"/>
        <v>364.59164590134498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5.3054023683626266</v>
      </c>
      <c r="BQ182" s="21">
        <f>EXP(-LN(2)/25)*BQ181+(1-EXP(-LN(2)/25))/(LN(2)/25)*Calculateur!BL182*Calculateur!BN182*VLOOKUP('Données projet'!$B$11,Paramètres!$A$1:$I$89,3,0)*0.475*44/12</f>
        <v>0.3133928482986626</v>
      </c>
      <c r="BR182" s="21">
        <f>EXP(-LN(2)/2)*BR181+(1-EXP(-LN(2)/2))/(LN(2)/2)*BL182*BO182*VLOOKUP('Données projet'!$B$11,Paramètres!$A$1:$I$89,3,0)*0.475*44/12</f>
        <v>2.2435342452485343E-23</v>
      </c>
      <c r="BS182" s="22">
        <f t="shared" si="169"/>
        <v>5.6187952166612893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510.74875042260788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5.6843418860808015E-14</v>
      </c>
      <c r="O183" s="13">
        <f>N183*VLOOKUP('Données projet'!$B$9,Paramètres!$A$1:$I$89,3,0)*VLOOKUP('Données projet'!$B$9,Paramètres!$A$1:$I$89,5,0)</f>
        <v>3.3992364478763198E-14</v>
      </c>
      <c r="P183" s="13">
        <f t="shared" si="141"/>
        <v>5.790027782444094E-13</v>
      </c>
      <c r="Q183" s="20">
        <f t="shared" si="162"/>
        <v>1.0676332069095257E-12</v>
      </c>
      <c r="R183" s="59">
        <f t="shared" si="109"/>
        <v>293.33333333333439</v>
      </c>
      <c r="S183" s="59">
        <f ca="1">AVERAGE(OFFSET($R$3,0,0,'Données projet'!$E$9+1,1))-AVERAGE(OFFSET($H$3,0,0,'Données projet'!$E$9+1,1))</f>
        <v>153.00981126776304</v>
      </c>
      <c r="T183" s="59">
        <f t="shared" si="142"/>
        <v>309.90400623462932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5.7924181488260595</v>
      </c>
      <c r="AA183" s="21">
        <f>EXP(-LN(2)/25)*AA182+(1-EXP(-LN(2)/25))/(LN(2)/25)*Calculateur!V183*Calculateur!X183*VLOOKUP('Données projet'!$B$9,Paramètres!$A$1:$I$89,3,0)*0.475*44/12</f>
        <v>0.32899791931418554</v>
      </c>
      <c r="AB183" s="21">
        <f>EXP(-LN(2)/2)*AB182+(1-EXP(-LN(2)/2))/(LN(2)/2)*V183*Y183*VLOOKUP('Données projet'!$B$9,Paramètres!$A$1:$I$89,3,0)*0.475*44/12</f>
        <v>2.06610218971739E-23</v>
      </c>
      <c r="AC183" s="22">
        <f t="shared" si="163"/>
        <v>6.1214160681402454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1.1368683772161603E-13</v>
      </c>
      <c r="AJ183" s="13">
        <f>AI183*VLOOKUP('Données projet'!$B$10,Paramètres!$A$1:$I$89,3,0)*VLOOKUP('Données projet'!$B$10,Paramètres!$A$1:$I$89,5,0)</f>
        <v>6.7984728957526396E-14</v>
      </c>
      <c r="AK183" s="13">
        <f t="shared" si="164"/>
        <v>1.0682447123141398E-12</v>
      </c>
      <c r="AL183" s="20">
        <f t="shared" si="165"/>
        <v>1.978932943548152E-12</v>
      </c>
      <c r="AM183" s="59">
        <f t="shared" si="113"/>
        <v>293.3333333333353</v>
      </c>
      <c r="AN183" s="59">
        <f ca="1">AVERAGE(OFFSET($AM$3,0,0,'Données projet'!$E$10+1,1))-AVERAGE(OFFSET($H$3,0,0,'Données projet'!$E$10+1,1))</f>
        <v>149.5086927376081</v>
      </c>
      <c r="AO183" s="59">
        <f t="shared" si="144"/>
        <v>364.59164590134498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5.2013666638949543</v>
      </c>
      <c r="AV183" s="21">
        <f>EXP(-LN(2)/25)*AV182+(1-EXP(-LN(2)/25))/(LN(2)/25)*Calculateur!AQ183*Calculateur!AS183*VLOOKUP('Données projet'!$B$10,Paramètres!$A$1:$I$89,3,0)*0.475*44/12</f>
        <v>0.30482310438132204</v>
      </c>
      <c r="AW183" s="21">
        <f>EXP(-LN(2)/2)*AW182+(1-EXP(-LN(2)/2))/(LN(2)/2)*AQ183*AT183*VLOOKUP('Données projet'!$B$10,Paramètres!$A$1:$I$89,3,0)*0.475*44/12</f>
        <v>1.5864182786394814E-23</v>
      </c>
      <c r="AX183" s="21">
        <f t="shared" si="166"/>
        <v>5.5061897682762764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1.1368683772161603E-13</v>
      </c>
      <c r="BE183" s="13">
        <f>BD183*VLOOKUP('Données projet'!$B$11,Paramètres!$A$1:$I$89,3,0)*VLOOKUP('Données projet'!$B$11,Paramètres!$A$1:$I$89,5,0)</f>
        <v>6.7984728957526396E-14</v>
      </c>
      <c r="BF183" s="13">
        <f t="shared" si="167"/>
        <v>1.0682447123141398E-12</v>
      </c>
      <c r="BG183" s="20">
        <f t="shared" si="168"/>
        <v>1.978932943548152E-12</v>
      </c>
      <c r="BH183" s="59">
        <f t="shared" si="116"/>
        <v>293.3333333333353</v>
      </c>
      <c r="BI183" s="59">
        <f ca="1">AVERAGE(OFFSET($BH$3,0,0,'Données projet'!$E$11+1,1))-AVERAGE(OFFSET($H$3,0,0,'Données projet'!$E$11+1,1))</f>
        <v>149.5086927376081</v>
      </c>
      <c r="BJ183" s="59">
        <f t="shared" si="146"/>
        <v>364.59164590134498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5.2013666638949543</v>
      </c>
      <c r="BQ183" s="21">
        <f>EXP(-LN(2)/25)*BQ182+(1-EXP(-LN(2)/25))/(LN(2)/25)*Calculateur!BL183*Calculateur!BN183*VLOOKUP('Données projet'!$B$11,Paramètres!$A$1:$I$89,3,0)*0.475*44/12</f>
        <v>0.30482310438132204</v>
      </c>
      <c r="BR183" s="21">
        <f>EXP(-LN(2)/2)*BR182+(1-EXP(-LN(2)/2))/(LN(2)/2)*BL183*BO183*VLOOKUP('Données projet'!$B$11,Paramètres!$A$1:$I$89,3,0)*0.475*44/12</f>
        <v>1.5864182786394814E-23</v>
      </c>
      <c r="BS183" s="22">
        <f t="shared" si="169"/>
        <v>5.5061897682762764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511.92663587965137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5.6843418860808015E-14</v>
      </c>
      <c r="O184" s="13">
        <f>N184*VLOOKUP('Données projet'!$B$9,Paramètres!$A$1:$I$89,3,0)*VLOOKUP('Données projet'!$B$9,Paramètres!$A$1:$I$89,5,0)</f>
        <v>3.3992364478763198E-14</v>
      </c>
      <c r="P184" s="13">
        <f t="shared" si="141"/>
        <v>5.790027782444094E-13</v>
      </c>
      <c r="Q184" s="20">
        <f t="shared" si="162"/>
        <v>1.0676332069095257E-12</v>
      </c>
      <c r="R184" s="59">
        <f t="shared" si="109"/>
        <v>293.33333333333439</v>
      </c>
      <c r="S184" s="59">
        <f ca="1">AVERAGE(OFFSET($R$3,0,0,'Données projet'!$E$9+1,1))-AVERAGE(OFFSET($H$3,0,0,'Données projet'!$E$9+1,1))</f>
        <v>153.00981126776304</v>
      </c>
      <c r="T184" s="59">
        <f t="shared" si="142"/>
        <v>309.90400623462932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5.6788323619537939</v>
      </c>
      <c r="AA184" s="21">
        <f>EXP(-LN(2)/25)*AA183+(1-EXP(-LN(2)/25))/(LN(2)/25)*Calculateur!V184*Calculateur!X184*VLOOKUP('Données projet'!$B$9,Paramètres!$A$1:$I$89,3,0)*0.475*44/12</f>
        <v>0.32000145390929047</v>
      </c>
      <c r="AB184" s="21">
        <f>EXP(-LN(2)/2)*AB183+(1-EXP(-LN(2)/2))/(LN(2)/2)*V184*Y184*VLOOKUP('Données projet'!$B$9,Paramètres!$A$1:$I$89,3,0)*0.475*44/12</f>
        <v>1.4609548689735411E-23</v>
      </c>
      <c r="AC184" s="22">
        <f t="shared" si="163"/>
        <v>5.9988338158630841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1.1368683772161603E-13</v>
      </c>
      <c r="AJ184" s="13">
        <f>AI184*VLOOKUP('Données projet'!$B$10,Paramètres!$A$1:$I$89,3,0)*VLOOKUP('Données projet'!$B$10,Paramètres!$A$1:$I$89,5,0)</f>
        <v>6.7984728957526396E-14</v>
      </c>
      <c r="AK184" s="13">
        <f t="shared" si="164"/>
        <v>1.0682447123141398E-12</v>
      </c>
      <c r="AL184" s="20">
        <f t="shared" si="165"/>
        <v>1.978932943548152E-12</v>
      </c>
      <c r="AM184" s="59">
        <f t="shared" si="113"/>
        <v>293.3333333333353</v>
      </c>
      <c r="AN184" s="59">
        <f ca="1">AVERAGE(OFFSET($AM$3,0,0,'Données projet'!$E$10+1,1))-AVERAGE(OFFSET($H$3,0,0,'Données projet'!$E$10+1,1))</f>
        <v>149.5086927376081</v>
      </c>
      <c r="AO184" s="59">
        <f t="shared" si="144"/>
        <v>364.59164590134498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5.0993710361363789</v>
      </c>
      <c r="AV184" s="21">
        <f>EXP(-LN(2)/25)*AV183+(1-EXP(-LN(2)/25))/(LN(2)/25)*Calculateur!AQ184*Calculateur!AS184*VLOOKUP('Données projet'!$B$10,Paramètres!$A$1:$I$89,3,0)*0.475*44/12</f>
        <v>0.29648770056206442</v>
      </c>
      <c r="AW184" s="21">
        <f>EXP(-LN(2)/2)*AW183+(1-EXP(-LN(2)/2))/(LN(2)/2)*AQ184*AT184*VLOOKUP('Données projet'!$B$10,Paramètres!$A$1:$I$89,3,0)*0.475*44/12</f>
        <v>1.1217671226242672E-23</v>
      </c>
      <c r="AX184" s="21">
        <f t="shared" si="166"/>
        <v>5.3958587366984432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1.1368683772161603E-13</v>
      </c>
      <c r="BE184" s="13">
        <f>BD184*VLOOKUP('Données projet'!$B$11,Paramètres!$A$1:$I$89,3,0)*VLOOKUP('Données projet'!$B$11,Paramètres!$A$1:$I$89,5,0)</f>
        <v>6.7984728957526396E-14</v>
      </c>
      <c r="BF184" s="13">
        <f t="shared" si="167"/>
        <v>1.0682447123141398E-12</v>
      </c>
      <c r="BG184" s="20">
        <f t="shared" si="168"/>
        <v>1.978932943548152E-12</v>
      </c>
      <c r="BH184" s="59">
        <f t="shared" si="116"/>
        <v>293.3333333333353</v>
      </c>
      <c r="BI184" s="59">
        <f ca="1">AVERAGE(OFFSET($BH$3,0,0,'Données projet'!$E$11+1,1))-AVERAGE(OFFSET($H$3,0,0,'Données projet'!$E$11+1,1))</f>
        <v>149.5086927376081</v>
      </c>
      <c r="BJ184" s="59">
        <f t="shared" si="146"/>
        <v>364.59164590134498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5.0993710361363789</v>
      </c>
      <c r="BQ184" s="21">
        <f>EXP(-LN(2)/25)*BQ183+(1-EXP(-LN(2)/25))/(LN(2)/25)*Calculateur!BL184*Calculateur!BN184*VLOOKUP('Données projet'!$B$11,Paramètres!$A$1:$I$89,3,0)*0.475*44/12</f>
        <v>0.29648770056206442</v>
      </c>
      <c r="BR184" s="21">
        <f>EXP(-LN(2)/2)*BR183+(1-EXP(-LN(2)/2))/(LN(2)/2)*BL184*BO184*VLOOKUP('Données projet'!$B$11,Paramètres!$A$1:$I$89,3,0)*0.475*44/12</f>
        <v>1.1217671226242672E-23</v>
      </c>
      <c r="BS184" s="22">
        <f t="shared" si="169"/>
        <v>5.3958587366984432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513.10437544201318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5.6843418860808015E-14</v>
      </c>
      <c r="O185" s="13">
        <f>N185*VLOOKUP('Données projet'!$B$9,Paramètres!$A$1:$I$89,3,0)*VLOOKUP('Données projet'!$B$9,Paramètres!$A$1:$I$89,5,0)</f>
        <v>3.3992364478763198E-14</v>
      </c>
      <c r="P185" s="13">
        <f t="shared" si="141"/>
        <v>5.790027782444094E-13</v>
      </c>
      <c r="Q185" s="20">
        <f t="shared" si="162"/>
        <v>1.0676332069095257E-12</v>
      </c>
      <c r="R185" s="59">
        <f t="shared" si="109"/>
        <v>293.33333333333439</v>
      </c>
      <c r="S185" s="59">
        <f ca="1">AVERAGE(OFFSET($R$3,0,0,'Données projet'!$E$9+1,1))-AVERAGE(OFFSET($H$3,0,0,'Données projet'!$E$9+1,1))</f>
        <v>153.00981126776304</v>
      </c>
      <c r="T185" s="59">
        <f t="shared" si="142"/>
        <v>309.90400623462932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5.5674739230816046</v>
      </c>
      <c r="AA185" s="21">
        <f>EXP(-LN(2)/25)*AA184+(1-EXP(-LN(2)/25))/(LN(2)/25)*Calculateur!V185*Calculateur!X185*VLOOKUP('Données projet'!$B$9,Paramètres!$A$1:$I$89,3,0)*0.475*44/12</f>
        <v>0.31125099732399586</v>
      </c>
      <c r="AB185" s="21">
        <f>EXP(-LN(2)/2)*AB184+(1-EXP(-LN(2)/2))/(LN(2)/2)*V185*Y185*VLOOKUP('Données projet'!$B$9,Paramètres!$A$1:$I$89,3,0)*0.475*44/12</f>
        <v>1.033051094858695E-23</v>
      </c>
      <c r="AC185" s="22">
        <f t="shared" si="163"/>
        <v>5.8787249204056007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1.1368683772161603E-13</v>
      </c>
      <c r="AJ185" s="13">
        <f>AI185*VLOOKUP('Données projet'!$B$10,Paramètres!$A$1:$I$89,3,0)*VLOOKUP('Données projet'!$B$10,Paramètres!$A$1:$I$89,5,0)</f>
        <v>6.7984728957526396E-14</v>
      </c>
      <c r="AK185" s="13">
        <f t="shared" si="164"/>
        <v>1.0682447123141398E-12</v>
      </c>
      <c r="AL185" s="20">
        <f t="shared" si="165"/>
        <v>1.978932943548152E-12</v>
      </c>
      <c r="AM185" s="59">
        <f t="shared" si="113"/>
        <v>293.3333333333353</v>
      </c>
      <c r="AN185" s="59">
        <f ca="1">AVERAGE(OFFSET($AM$3,0,0,'Données projet'!$E$10+1,1))-AVERAGE(OFFSET($H$3,0,0,'Données projet'!$E$10+1,1))</f>
        <v>149.5086927376081</v>
      </c>
      <c r="AO185" s="59">
        <f t="shared" si="144"/>
        <v>364.59164590134498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4.9993754804269592</v>
      </c>
      <c r="AV185" s="21">
        <f>EXP(-LN(2)/25)*AV184+(1-EXP(-LN(2)/25))/(LN(2)/25)*Calculateur!AQ185*Calculateur!AS185*VLOOKUP('Données projet'!$B$10,Paramètres!$A$1:$I$89,3,0)*0.475*44/12</f>
        <v>0.28838022879858421</v>
      </c>
      <c r="AW185" s="21">
        <f>EXP(-LN(2)/2)*AW184+(1-EXP(-LN(2)/2))/(LN(2)/2)*AQ185*AT185*VLOOKUP('Données projet'!$B$10,Paramètres!$A$1:$I$89,3,0)*0.475*44/12</f>
        <v>7.9320913931974069E-24</v>
      </c>
      <c r="AX185" s="21">
        <f t="shared" si="166"/>
        <v>5.2877557092255438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1.1368683772161603E-13</v>
      </c>
      <c r="BE185" s="13">
        <f>BD185*VLOOKUP('Données projet'!$B$11,Paramètres!$A$1:$I$89,3,0)*VLOOKUP('Données projet'!$B$11,Paramètres!$A$1:$I$89,5,0)</f>
        <v>6.7984728957526396E-14</v>
      </c>
      <c r="BF185" s="13">
        <f t="shared" si="167"/>
        <v>1.0682447123141398E-12</v>
      </c>
      <c r="BG185" s="20">
        <f t="shared" si="168"/>
        <v>1.978932943548152E-12</v>
      </c>
      <c r="BH185" s="59">
        <f t="shared" si="116"/>
        <v>293.3333333333353</v>
      </c>
      <c r="BI185" s="59">
        <f ca="1">AVERAGE(OFFSET($BH$3,0,0,'Données projet'!$E$11+1,1))-AVERAGE(OFFSET($H$3,0,0,'Données projet'!$E$11+1,1))</f>
        <v>149.5086927376081</v>
      </c>
      <c r="BJ185" s="59">
        <f t="shared" si="146"/>
        <v>364.59164590134498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4.9993754804269592</v>
      </c>
      <c r="BQ185" s="21">
        <f>EXP(-LN(2)/25)*BQ184+(1-EXP(-LN(2)/25))/(LN(2)/25)*Calculateur!BL185*Calculateur!BN185*VLOOKUP('Données projet'!$B$11,Paramètres!$A$1:$I$89,3,0)*0.475*44/12</f>
        <v>0.28838022879858421</v>
      </c>
      <c r="BR185" s="21">
        <f>EXP(-LN(2)/2)*BR184+(1-EXP(-LN(2)/2))/(LN(2)/2)*BL185*BO185*VLOOKUP('Données projet'!$B$11,Paramètres!$A$1:$I$89,3,0)*0.475*44/12</f>
        <v>7.9320913931974069E-24</v>
      </c>
      <c r="BS185" s="22">
        <f t="shared" si="169"/>
        <v>5.2877557092255438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514.28197000434375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5.6843418860808015E-14</v>
      </c>
      <c r="O186" s="13">
        <f>N186*VLOOKUP('Données projet'!$B$9,Paramètres!$A$1:$I$89,3,0)*VLOOKUP('Données projet'!$B$9,Paramètres!$A$1:$I$89,5,0)</f>
        <v>3.3992364478763198E-14</v>
      </c>
      <c r="P186" s="13">
        <f t="shared" si="141"/>
        <v>5.790027782444094E-13</v>
      </c>
      <c r="Q186" s="20">
        <f t="shared" si="162"/>
        <v>1.0676332069095257E-12</v>
      </c>
      <c r="R186" s="59">
        <f t="shared" si="109"/>
        <v>293.33333333333439</v>
      </c>
      <c r="S186" s="59">
        <f ca="1">AVERAGE(OFFSET($R$3,0,0,'Données projet'!$E$9+1,1))-AVERAGE(OFFSET($H$3,0,0,'Données projet'!$E$9+1,1))</f>
        <v>153.00981126776304</v>
      </c>
      <c r="T186" s="59">
        <f t="shared" si="142"/>
        <v>309.90400623462932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5.4582991552737576</v>
      </c>
      <c r="AA186" s="21">
        <f>EXP(-LN(2)/25)*AA185+(1-EXP(-LN(2)/25))/(LN(2)/25)*Calculateur!V186*Calculateur!X186*VLOOKUP('Données projet'!$B$9,Paramètres!$A$1:$I$89,3,0)*0.475*44/12</f>
        <v>0.30273982243419262</v>
      </c>
      <c r="AB186" s="21">
        <f>EXP(-LN(2)/2)*AB185+(1-EXP(-LN(2)/2))/(LN(2)/2)*V186*Y186*VLOOKUP('Données projet'!$B$9,Paramètres!$A$1:$I$89,3,0)*0.475*44/12</f>
        <v>7.3047743448677057E-24</v>
      </c>
      <c r="AC186" s="22">
        <f t="shared" si="163"/>
        <v>5.7610389777079503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1.1368683772161603E-13</v>
      </c>
      <c r="AJ186" s="13">
        <f>AI186*VLOOKUP('Données projet'!$B$10,Paramètres!$A$1:$I$89,3,0)*VLOOKUP('Données projet'!$B$10,Paramètres!$A$1:$I$89,5,0)</f>
        <v>6.7984728957526396E-14</v>
      </c>
      <c r="AK186" s="13">
        <f t="shared" si="164"/>
        <v>1.0682447123141398E-12</v>
      </c>
      <c r="AL186" s="20">
        <f t="shared" si="165"/>
        <v>1.978932943548152E-12</v>
      </c>
      <c r="AM186" s="59">
        <f t="shared" si="113"/>
        <v>293.3333333333353</v>
      </c>
      <c r="AN186" s="59">
        <f ca="1">AVERAGE(OFFSET($AM$3,0,0,'Données projet'!$E$10+1,1))-AVERAGE(OFFSET($H$3,0,0,'Données projet'!$E$10+1,1))</f>
        <v>149.5086927376081</v>
      </c>
      <c r="AO186" s="59">
        <f t="shared" si="144"/>
        <v>364.59164590134498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4.9013407765737345</v>
      </c>
      <c r="AV186" s="21">
        <f>EXP(-LN(2)/25)*AV185+(1-EXP(-LN(2)/25))/(LN(2)/25)*Calculateur!AQ186*Calculateur!AS186*VLOOKUP('Données projet'!$B$10,Paramètres!$A$1:$I$89,3,0)*0.475*44/12</f>
        <v>0.28049445627682978</v>
      </c>
      <c r="AW186" s="21">
        <f>EXP(-LN(2)/2)*AW185+(1-EXP(-LN(2)/2))/(LN(2)/2)*AQ186*AT186*VLOOKUP('Données projet'!$B$10,Paramètres!$A$1:$I$89,3,0)*0.475*44/12</f>
        <v>5.6088356131213358E-24</v>
      </c>
      <c r="AX186" s="21">
        <f t="shared" si="166"/>
        <v>5.1818352328505641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1.1368683772161603E-13</v>
      </c>
      <c r="BE186" s="13">
        <f>BD186*VLOOKUP('Données projet'!$B$11,Paramètres!$A$1:$I$89,3,0)*VLOOKUP('Données projet'!$B$11,Paramètres!$A$1:$I$89,5,0)</f>
        <v>6.7984728957526396E-14</v>
      </c>
      <c r="BF186" s="13">
        <f t="shared" si="167"/>
        <v>1.0682447123141398E-12</v>
      </c>
      <c r="BG186" s="20">
        <f t="shared" si="168"/>
        <v>1.978932943548152E-12</v>
      </c>
      <c r="BH186" s="59">
        <f t="shared" si="116"/>
        <v>293.3333333333353</v>
      </c>
      <c r="BI186" s="59">
        <f ca="1">AVERAGE(OFFSET($BH$3,0,0,'Données projet'!$E$11+1,1))-AVERAGE(OFFSET($H$3,0,0,'Données projet'!$E$11+1,1))</f>
        <v>149.5086927376081</v>
      </c>
      <c r="BJ186" s="59">
        <f t="shared" si="146"/>
        <v>364.59164590134498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4.9013407765737345</v>
      </c>
      <c r="BQ186" s="21">
        <f>EXP(-LN(2)/25)*BQ185+(1-EXP(-LN(2)/25))/(LN(2)/25)*Calculateur!BL186*Calculateur!BN186*VLOOKUP('Données projet'!$B$11,Paramètres!$A$1:$I$89,3,0)*0.475*44/12</f>
        <v>0.28049445627682978</v>
      </c>
      <c r="BR186" s="21">
        <f>EXP(-LN(2)/2)*BR185+(1-EXP(-LN(2)/2))/(LN(2)/2)*BL186*BO186*VLOOKUP('Données projet'!$B$11,Paramètres!$A$1:$I$89,3,0)*0.475*44/12</f>
        <v>5.6088356131213358E-24</v>
      </c>
      <c r="BS186" s="22">
        <f t="shared" si="169"/>
        <v>5.1818352328505641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515.45942045095035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5.6843418860808015E-14</v>
      </c>
      <c r="O187" s="13">
        <f>N187*VLOOKUP('Données projet'!$B$9,Paramètres!$A$1:$I$89,3,0)*VLOOKUP('Données projet'!$B$9,Paramètres!$A$1:$I$89,5,0)</f>
        <v>3.3992364478763198E-14</v>
      </c>
      <c r="P187" s="13">
        <f t="shared" si="141"/>
        <v>5.790027782444094E-13</v>
      </c>
      <c r="Q187" s="20">
        <f t="shared" si="162"/>
        <v>1.0676332069095257E-12</v>
      </c>
      <c r="R187" s="59">
        <f t="shared" si="109"/>
        <v>293.33333333333439</v>
      </c>
      <c r="S187" s="59">
        <f ca="1">AVERAGE(OFFSET($R$3,0,0,'Données projet'!$E$9+1,1))-AVERAGE(OFFSET($H$3,0,0,'Données projet'!$E$9+1,1))</f>
        <v>153.00981126776304</v>
      </c>
      <c r="T187" s="59">
        <f t="shared" si="142"/>
        <v>309.90400623462932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5.3512652380725898</v>
      </c>
      <c r="AA187" s="21">
        <f>EXP(-LN(2)/25)*AA186+(1-EXP(-LN(2)/25))/(LN(2)/25)*Calculateur!V187*Calculateur!X187*VLOOKUP('Données projet'!$B$9,Paramètres!$A$1:$I$89,3,0)*0.475*44/12</f>
        <v>0.29446138606933431</v>
      </c>
      <c r="AB187" s="21">
        <f>EXP(-LN(2)/2)*AB186+(1-EXP(-LN(2)/2))/(LN(2)/2)*V187*Y187*VLOOKUP('Données projet'!$B$9,Paramètres!$A$1:$I$89,3,0)*0.475*44/12</f>
        <v>5.1652554742934749E-24</v>
      </c>
      <c r="AC187" s="22">
        <f t="shared" si="163"/>
        <v>5.6457266241419237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1.1368683772161603E-13</v>
      </c>
      <c r="AJ187" s="13">
        <f>AI187*VLOOKUP('Données projet'!$B$10,Paramètres!$A$1:$I$89,3,0)*VLOOKUP('Données projet'!$B$10,Paramètres!$A$1:$I$89,5,0)</f>
        <v>6.7984728957526396E-14</v>
      </c>
      <c r="AK187" s="13">
        <f t="shared" si="164"/>
        <v>1.0682447123141398E-12</v>
      </c>
      <c r="AL187" s="20">
        <f t="shared" si="165"/>
        <v>1.978932943548152E-12</v>
      </c>
      <c r="AM187" s="59">
        <f t="shared" si="113"/>
        <v>293.3333333333353</v>
      </c>
      <c r="AN187" s="59">
        <f ca="1">AVERAGE(OFFSET($AM$3,0,0,'Données projet'!$E$10+1,1))-AVERAGE(OFFSET($H$3,0,0,'Données projet'!$E$10+1,1))</f>
        <v>149.5086927376081</v>
      </c>
      <c r="AO187" s="59">
        <f t="shared" si="144"/>
        <v>364.59164590134498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4.8052284734678068</v>
      </c>
      <c r="AV187" s="21">
        <f>EXP(-LN(2)/25)*AV186+(1-EXP(-LN(2)/25))/(LN(2)/25)*Calculateur!AQ187*Calculateur!AS187*VLOOKUP('Données projet'!$B$10,Paramètres!$A$1:$I$89,3,0)*0.475*44/12</f>
        <v>0.2728243206193775</v>
      </c>
      <c r="AW187" s="21">
        <f>EXP(-LN(2)/2)*AW186+(1-EXP(-LN(2)/2))/(LN(2)/2)*AQ187*AT187*VLOOKUP('Données projet'!$B$10,Paramètres!$A$1:$I$89,3,0)*0.475*44/12</f>
        <v>3.9660456965987035E-24</v>
      </c>
      <c r="AX187" s="21">
        <f t="shared" si="166"/>
        <v>5.078052794087184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1.1368683772161603E-13</v>
      </c>
      <c r="BE187" s="13">
        <f>BD187*VLOOKUP('Données projet'!$B$11,Paramètres!$A$1:$I$89,3,0)*VLOOKUP('Données projet'!$B$11,Paramètres!$A$1:$I$89,5,0)</f>
        <v>6.7984728957526396E-14</v>
      </c>
      <c r="BF187" s="13">
        <f t="shared" si="167"/>
        <v>1.0682447123141398E-12</v>
      </c>
      <c r="BG187" s="20">
        <f t="shared" si="168"/>
        <v>1.978932943548152E-12</v>
      </c>
      <c r="BH187" s="59">
        <f t="shared" si="116"/>
        <v>293.3333333333353</v>
      </c>
      <c r="BI187" s="59">
        <f ca="1">AVERAGE(OFFSET($BH$3,0,0,'Données projet'!$E$11+1,1))-AVERAGE(OFFSET($H$3,0,0,'Données projet'!$E$11+1,1))</f>
        <v>149.5086927376081</v>
      </c>
      <c r="BJ187" s="59">
        <f t="shared" si="146"/>
        <v>364.59164590134498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4.8052284734678068</v>
      </c>
      <c r="BQ187" s="21">
        <f>EXP(-LN(2)/25)*BQ186+(1-EXP(-LN(2)/25))/(LN(2)/25)*Calculateur!BL187*Calculateur!BN187*VLOOKUP('Données projet'!$B$11,Paramètres!$A$1:$I$89,3,0)*0.475*44/12</f>
        <v>0.2728243206193775</v>
      </c>
      <c r="BR187" s="21">
        <f>EXP(-LN(2)/2)*BR186+(1-EXP(-LN(2)/2))/(LN(2)/2)*BL187*BO187*VLOOKUP('Données projet'!$B$11,Paramètres!$A$1:$I$89,3,0)*0.475*44/12</f>
        <v>3.9660456965987035E-24</v>
      </c>
      <c r="BS187" s="22">
        <f t="shared" si="169"/>
        <v>5.078052794087184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516.63672765597119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5.6843418860808015E-14</v>
      </c>
      <c r="O188" s="13">
        <f>N188*VLOOKUP('Données projet'!$B$9,Paramètres!$A$1:$I$89,3,0)*VLOOKUP('Données projet'!$B$9,Paramètres!$A$1:$I$89,5,0)</f>
        <v>3.3992364478763198E-14</v>
      </c>
      <c r="P188" s="13">
        <f t="shared" si="141"/>
        <v>5.790027782444094E-13</v>
      </c>
      <c r="Q188" s="20">
        <f t="shared" si="162"/>
        <v>1.0676332069095257E-12</v>
      </c>
      <c r="R188" s="59">
        <f t="shared" si="109"/>
        <v>293.33333333333439</v>
      </c>
      <c r="S188" s="59">
        <f ca="1">AVERAGE(OFFSET($R$3,0,0,'Données projet'!$E$9+1,1))-AVERAGE(OFFSET($H$3,0,0,'Données projet'!$E$9+1,1))</f>
        <v>153.00981126776304</v>
      </c>
      <c r="T188" s="59">
        <f t="shared" si="142"/>
        <v>309.90400623462932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5.2463301907034934</v>
      </c>
      <c r="AA188" s="21">
        <f>EXP(-LN(2)/25)*AA187+(1-EXP(-LN(2)/25))/(LN(2)/25)*Calculateur!V188*Calculateur!X188*VLOOKUP('Données projet'!$B$9,Paramètres!$A$1:$I$89,3,0)*0.475*44/12</f>
        <v>0.28640932398221708</v>
      </c>
      <c r="AB188" s="21">
        <f>EXP(-LN(2)/2)*AB187+(1-EXP(-LN(2)/2))/(LN(2)/2)*V188*Y188*VLOOKUP('Données projet'!$B$9,Paramètres!$A$1:$I$89,3,0)*0.475*44/12</f>
        <v>3.6523871724338528E-24</v>
      </c>
      <c r="AC188" s="22">
        <f t="shared" si="163"/>
        <v>5.5327395146857103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1.1368683772161603E-13</v>
      </c>
      <c r="AJ188" s="13">
        <f>AI188*VLOOKUP('Données projet'!$B$10,Paramètres!$A$1:$I$89,3,0)*VLOOKUP('Données projet'!$B$10,Paramètres!$A$1:$I$89,5,0)</f>
        <v>6.7984728957526396E-14</v>
      </c>
      <c r="AK188" s="13">
        <f t="shared" si="164"/>
        <v>1.0682447123141398E-12</v>
      </c>
      <c r="AL188" s="20">
        <f t="shared" si="165"/>
        <v>1.978932943548152E-12</v>
      </c>
      <c r="AM188" s="59">
        <f t="shared" si="113"/>
        <v>293.3333333333353</v>
      </c>
      <c r="AN188" s="59">
        <f ca="1">AVERAGE(OFFSET($AM$3,0,0,'Données projet'!$E$10+1,1))-AVERAGE(OFFSET($H$3,0,0,'Données projet'!$E$10+1,1))</f>
        <v>149.5086927376081</v>
      </c>
      <c r="AO188" s="59">
        <f t="shared" si="144"/>
        <v>364.59164590134498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4.7110008740030693</v>
      </c>
      <c r="AV188" s="21">
        <f>EXP(-LN(2)/25)*AV187+(1-EXP(-LN(2)/25))/(LN(2)/25)*Calculateur!AQ188*Calculateur!AS188*VLOOKUP('Données projet'!$B$10,Paramètres!$A$1:$I$89,3,0)*0.475*44/12</f>
        <v>0.26536392522483315</v>
      </c>
      <c r="AW188" s="21">
        <f>EXP(-LN(2)/2)*AW187+(1-EXP(-LN(2)/2))/(LN(2)/2)*AQ188*AT188*VLOOKUP('Données projet'!$B$10,Paramètres!$A$1:$I$89,3,0)*0.475*44/12</f>
        <v>2.8044178065606679E-24</v>
      </c>
      <c r="AX188" s="21">
        <f t="shared" si="166"/>
        <v>4.9763647992279028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1.1368683772161603E-13</v>
      </c>
      <c r="BE188" s="13">
        <f>BD188*VLOOKUP('Données projet'!$B$11,Paramètres!$A$1:$I$89,3,0)*VLOOKUP('Données projet'!$B$11,Paramètres!$A$1:$I$89,5,0)</f>
        <v>6.7984728957526396E-14</v>
      </c>
      <c r="BF188" s="13">
        <f t="shared" si="167"/>
        <v>1.0682447123141398E-12</v>
      </c>
      <c r="BG188" s="20">
        <f t="shared" si="168"/>
        <v>1.978932943548152E-12</v>
      </c>
      <c r="BH188" s="59">
        <f t="shared" si="116"/>
        <v>293.3333333333353</v>
      </c>
      <c r="BI188" s="59">
        <f ca="1">AVERAGE(OFFSET($BH$3,0,0,'Données projet'!$E$11+1,1))-AVERAGE(OFFSET($H$3,0,0,'Données projet'!$E$11+1,1))</f>
        <v>149.5086927376081</v>
      </c>
      <c r="BJ188" s="59">
        <f t="shared" si="146"/>
        <v>364.59164590134498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4.7110008740030693</v>
      </c>
      <c r="BQ188" s="21">
        <f>EXP(-LN(2)/25)*BQ187+(1-EXP(-LN(2)/25))/(LN(2)/25)*Calculateur!BL188*Calculateur!BN188*VLOOKUP('Données projet'!$B$11,Paramètres!$A$1:$I$89,3,0)*0.475*44/12</f>
        <v>0.26536392522483315</v>
      </c>
      <c r="BR188" s="21">
        <f>EXP(-LN(2)/2)*BR187+(1-EXP(-LN(2)/2))/(LN(2)/2)*BL188*BO188*VLOOKUP('Données projet'!$B$11,Paramètres!$A$1:$I$89,3,0)*0.475*44/12</f>
        <v>2.8044178065606679E-24</v>
      </c>
      <c r="BS188" s="22">
        <f t="shared" si="169"/>
        <v>4.9763647992279028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517.81389248354799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5.6843418860808015E-14</v>
      </c>
      <c r="O189" s="13">
        <f>N189*VLOOKUP('Données projet'!$B$9,Paramètres!$A$1:$I$89,3,0)*VLOOKUP('Données projet'!$B$9,Paramètres!$A$1:$I$89,5,0)</f>
        <v>3.3992364478763198E-14</v>
      </c>
      <c r="P189" s="13">
        <f t="shared" si="141"/>
        <v>5.790027782444094E-13</v>
      </c>
      <c r="Q189" s="20">
        <f t="shared" si="162"/>
        <v>1.0676332069095257E-12</v>
      </c>
      <c r="R189" s="59">
        <f t="shared" si="109"/>
        <v>293.33333333333439</v>
      </c>
      <c r="S189" s="59">
        <f ca="1">AVERAGE(OFFSET($R$3,0,0,'Données projet'!$E$9+1,1))-AVERAGE(OFFSET($H$3,0,0,'Données projet'!$E$9+1,1))</f>
        <v>153.00981126776304</v>
      </c>
      <c r="T189" s="59">
        <f t="shared" si="142"/>
        <v>309.90400623462932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5.1434528556092456</v>
      </c>
      <c r="AA189" s="21">
        <f>EXP(-LN(2)/25)*AA188+(1-EXP(-LN(2)/25))/(LN(2)/25)*Calculateur!V189*Calculateur!X189*VLOOKUP('Données projet'!$B$9,Paramètres!$A$1:$I$89,3,0)*0.475*44/12</f>
        <v>0.27857744595631162</v>
      </c>
      <c r="AB189" s="21">
        <f>EXP(-LN(2)/2)*AB188+(1-EXP(-LN(2)/2))/(LN(2)/2)*V189*Y189*VLOOKUP('Données projet'!$B$9,Paramètres!$A$1:$I$89,3,0)*0.475*44/12</f>
        <v>2.5826277371467374E-24</v>
      </c>
      <c r="AC189" s="22">
        <f t="shared" si="163"/>
        <v>5.4220303015655569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1.1368683772161603E-13</v>
      </c>
      <c r="AJ189" s="13">
        <f>AI189*VLOOKUP('Données projet'!$B$10,Paramètres!$A$1:$I$89,3,0)*VLOOKUP('Données projet'!$B$10,Paramètres!$A$1:$I$89,5,0)</f>
        <v>6.7984728957526396E-14</v>
      </c>
      <c r="AK189" s="13">
        <f t="shared" si="164"/>
        <v>1.0682447123141398E-12</v>
      </c>
      <c r="AL189" s="20">
        <f t="shared" si="165"/>
        <v>1.978932943548152E-12</v>
      </c>
      <c r="AM189" s="59">
        <f t="shared" si="113"/>
        <v>293.3333333333353</v>
      </c>
      <c r="AN189" s="59">
        <f ca="1">AVERAGE(OFFSET($AM$3,0,0,'Données projet'!$E$10+1,1))-AVERAGE(OFFSET($H$3,0,0,'Données projet'!$E$10+1,1))</f>
        <v>149.5086927376081</v>
      </c>
      <c r="AO189" s="59">
        <f t="shared" si="144"/>
        <v>364.59164590134498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4.618621020290675</v>
      </c>
      <c r="AV189" s="21">
        <f>EXP(-LN(2)/25)*AV188+(1-EXP(-LN(2)/25))/(LN(2)/25)*Calculateur!AQ189*Calculateur!AS189*VLOOKUP('Données projet'!$B$10,Paramètres!$A$1:$I$89,3,0)*0.475*44/12</f>
        <v>0.25810753473467773</v>
      </c>
      <c r="AW189" s="21">
        <f>EXP(-LN(2)/2)*AW188+(1-EXP(-LN(2)/2))/(LN(2)/2)*AQ189*AT189*VLOOKUP('Données projet'!$B$10,Paramètres!$A$1:$I$89,3,0)*0.475*44/12</f>
        <v>1.9830228482993517E-24</v>
      </c>
      <c r="AX189" s="21">
        <f t="shared" si="166"/>
        <v>4.8767285550253527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1.1368683772161603E-13</v>
      </c>
      <c r="BE189" s="13">
        <f>BD189*VLOOKUP('Données projet'!$B$11,Paramètres!$A$1:$I$89,3,0)*VLOOKUP('Données projet'!$B$11,Paramètres!$A$1:$I$89,5,0)</f>
        <v>6.7984728957526396E-14</v>
      </c>
      <c r="BF189" s="13">
        <f t="shared" si="167"/>
        <v>1.0682447123141398E-12</v>
      </c>
      <c r="BG189" s="20">
        <f t="shared" si="168"/>
        <v>1.978932943548152E-12</v>
      </c>
      <c r="BH189" s="59">
        <f t="shared" si="116"/>
        <v>293.3333333333353</v>
      </c>
      <c r="BI189" s="59">
        <f ca="1">AVERAGE(OFFSET($BH$3,0,0,'Données projet'!$E$11+1,1))-AVERAGE(OFFSET($H$3,0,0,'Données projet'!$E$11+1,1))</f>
        <v>149.5086927376081</v>
      </c>
      <c r="BJ189" s="59">
        <f t="shared" si="146"/>
        <v>364.59164590134498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4.618621020290675</v>
      </c>
      <c r="BQ189" s="21">
        <f>EXP(-LN(2)/25)*BQ188+(1-EXP(-LN(2)/25))/(LN(2)/25)*Calculateur!BL189*Calculateur!BN189*VLOOKUP('Données projet'!$B$11,Paramètres!$A$1:$I$89,3,0)*0.475*44/12</f>
        <v>0.25810753473467773</v>
      </c>
      <c r="BR189" s="21">
        <f>EXP(-LN(2)/2)*BR188+(1-EXP(-LN(2)/2))/(LN(2)/2)*BL189*BO189*VLOOKUP('Données projet'!$B$11,Paramètres!$A$1:$I$89,3,0)*0.475*44/12</f>
        <v>1.9830228482993517E-24</v>
      </c>
      <c r="BS189" s="22">
        <f t="shared" si="169"/>
        <v>4.8767285550253527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518.99091578799244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5.6843418860808015E-14</v>
      </c>
      <c r="O190" s="13">
        <f>N190*VLOOKUP('Données projet'!$B$9,Paramètres!$A$1:$I$89,3,0)*VLOOKUP('Données projet'!$B$9,Paramètres!$A$1:$I$89,5,0)</f>
        <v>3.3992364478763198E-14</v>
      </c>
      <c r="P190" s="13">
        <f t="shared" si="141"/>
        <v>5.790027782444094E-13</v>
      </c>
      <c r="Q190" s="20">
        <f t="shared" si="162"/>
        <v>1.0676332069095257E-12</v>
      </c>
      <c r="R190" s="59">
        <f t="shared" si="109"/>
        <v>293.33333333333439</v>
      </c>
      <c r="S190" s="59">
        <f ca="1">AVERAGE(OFFSET($R$3,0,0,'Données projet'!$E$9+1,1))-AVERAGE(OFFSET($H$3,0,0,'Données projet'!$E$9+1,1))</f>
        <v>153.00981126776304</v>
      </c>
      <c r="T190" s="59">
        <f t="shared" si="142"/>
        <v>309.90400623462932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5.0425928823072175</v>
      </c>
      <c r="AA190" s="21">
        <f>EXP(-LN(2)/25)*AA189+(1-EXP(-LN(2)/25))/(LN(2)/25)*Calculateur!V190*Calculateur!X190*VLOOKUP('Données projet'!$B$9,Paramètres!$A$1:$I$89,3,0)*0.475*44/12</f>
        <v>0.27095973104688509</v>
      </c>
      <c r="AB190" s="21">
        <f>EXP(-LN(2)/2)*AB189+(1-EXP(-LN(2)/2))/(LN(2)/2)*V190*Y190*VLOOKUP('Données projet'!$B$9,Paramètres!$A$1:$I$89,3,0)*0.475*44/12</f>
        <v>1.8261935862169264E-24</v>
      </c>
      <c r="AC190" s="22">
        <f t="shared" si="163"/>
        <v>5.3135526133541022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1.1368683772161603E-13</v>
      </c>
      <c r="AJ190" s="13">
        <f>AI190*VLOOKUP('Données projet'!$B$10,Paramètres!$A$1:$I$89,3,0)*VLOOKUP('Données projet'!$B$10,Paramètres!$A$1:$I$89,5,0)</f>
        <v>6.7984728957526396E-14</v>
      </c>
      <c r="AK190" s="13">
        <f t="shared" si="164"/>
        <v>1.0682447123141398E-12</v>
      </c>
      <c r="AL190" s="20">
        <f t="shared" si="165"/>
        <v>1.978932943548152E-12</v>
      </c>
      <c r="AM190" s="59">
        <f t="shared" si="113"/>
        <v>293.3333333333353</v>
      </c>
      <c r="AN190" s="59">
        <f ca="1">AVERAGE(OFFSET($AM$3,0,0,'Données projet'!$E$10+1,1))-AVERAGE(OFFSET($H$3,0,0,'Données projet'!$E$10+1,1))</f>
        <v>149.5086927376081</v>
      </c>
      <c r="AO190" s="59">
        <f t="shared" si="144"/>
        <v>364.59164590134498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4.5280526791634337</v>
      </c>
      <c r="AV190" s="21">
        <f>EXP(-LN(2)/25)*AV189+(1-EXP(-LN(2)/25))/(LN(2)/25)*Calculateur!AQ190*Calculateur!AS190*VLOOKUP('Données projet'!$B$10,Paramètres!$A$1:$I$89,3,0)*0.475*44/12</f>
        <v>0.25104957062407263</v>
      </c>
      <c r="AW190" s="21">
        <f>EXP(-LN(2)/2)*AW189+(1-EXP(-LN(2)/2))/(LN(2)/2)*AQ190*AT190*VLOOKUP('Données projet'!$B$10,Paramètres!$A$1:$I$89,3,0)*0.475*44/12</f>
        <v>1.402208903280334E-24</v>
      </c>
      <c r="AX190" s="21">
        <f t="shared" si="166"/>
        <v>4.7791022497875062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1.1368683772161603E-13</v>
      </c>
      <c r="BE190" s="13">
        <f>BD190*VLOOKUP('Données projet'!$B$11,Paramètres!$A$1:$I$89,3,0)*VLOOKUP('Données projet'!$B$11,Paramètres!$A$1:$I$89,5,0)</f>
        <v>6.7984728957526396E-14</v>
      </c>
      <c r="BF190" s="13">
        <f t="shared" si="167"/>
        <v>1.0682447123141398E-12</v>
      </c>
      <c r="BG190" s="20">
        <f t="shared" si="168"/>
        <v>1.978932943548152E-12</v>
      </c>
      <c r="BH190" s="59">
        <f t="shared" si="116"/>
        <v>293.3333333333353</v>
      </c>
      <c r="BI190" s="59">
        <f ca="1">AVERAGE(OFFSET($BH$3,0,0,'Données projet'!$E$11+1,1))-AVERAGE(OFFSET($H$3,0,0,'Données projet'!$E$11+1,1))</f>
        <v>149.5086927376081</v>
      </c>
      <c r="BJ190" s="59">
        <f t="shared" si="146"/>
        <v>364.59164590134498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4.5280526791634337</v>
      </c>
      <c r="BQ190" s="21">
        <f>EXP(-LN(2)/25)*BQ189+(1-EXP(-LN(2)/25))/(LN(2)/25)*Calculateur!BL190*Calculateur!BN190*VLOOKUP('Données projet'!$B$11,Paramètres!$A$1:$I$89,3,0)*0.475*44/12</f>
        <v>0.25104957062407263</v>
      </c>
      <c r="BR190" s="21">
        <f>EXP(-LN(2)/2)*BR189+(1-EXP(-LN(2)/2))/(LN(2)/2)*BL190*BO190*VLOOKUP('Données projet'!$B$11,Paramètres!$A$1:$I$89,3,0)*0.475*44/12</f>
        <v>1.402208903280334E-24</v>
      </c>
      <c r="BS190" s="22">
        <f t="shared" si="169"/>
        <v>4.7791022497875062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520.16779841395021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5.6843418860808015E-14</v>
      </c>
      <c r="O191" s="13">
        <f>N191*VLOOKUP('Données projet'!$B$9,Paramètres!$A$1:$I$89,3,0)*VLOOKUP('Données projet'!$B$9,Paramètres!$A$1:$I$89,5,0)</f>
        <v>3.3992364478763198E-14</v>
      </c>
      <c r="P191" s="13">
        <f t="shared" si="141"/>
        <v>5.790027782444094E-13</v>
      </c>
      <c r="Q191" s="20">
        <f t="shared" si="162"/>
        <v>1.0676332069095257E-12</v>
      </c>
      <c r="R191" s="59">
        <f t="shared" si="109"/>
        <v>293.33333333333439</v>
      </c>
      <c r="S191" s="59">
        <f ca="1">AVERAGE(OFFSET($R$3,0,0,'Données projet'!$E$9+1,1))-AVERAGE(OFFSET($H$3,0,0,'Données projet'!$E$9+1,1))</f>
        <v>153.00981126776304</v>
      </c>
      <c r="T191" s="59">
        <f t="shared" si="142"/>
        <v>309.90400623462932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4.9437107115631331</v>
      </c>
      <c r="AA191" s="21">
        <f>EXP(-LN(2)/25)*AA190+(1-EXP(-LN(2)/25))/(LN(2)/25)*Calculateur!V191*Calculateur!X191*VLOOKUP('Données projet'!$B$9,Paramètres!$A$1:$I$89,3,0)*0.475*44/12</f>
        <v>0.26355032295225506</v>
      </c>
      <c r="AB191" s="21">
        <f>EXP(-LN(2)/2)*AB190+(1-EXP(-LN(2)/2))/(LN(2)/2)*V191*Y191*VLOOKUP('Données projet'!$B$9,Paramètres!$A$1:$I$89,3,0)*0.475*44/12</f>
        <v>1.2913138685733687E-24</v>
      </c>
      <c r="AC191" s="22">
        <f t="shared" si="163"/>
        <v>5.2072610345153878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1.1368683772161603E-13</v>
      </c>
      <c r="AJ191" s="13">
        <f>AI191*VLOOKUP('Données projet'!$B$10,Paramètres!$A$1:$I$89,3,0)*VLOOKUP('Données projet'!$B$10,Paramètres!$A$1:$I$89,5,0)</f>
        <v>6.7984728957526396E-14</v>
      </c>
      <c r="AK191" s="13">
        <f t="shared" si="164"/>
        <v>1.0682447123141398E-12</v>
      </c>
      <c r="AL191" s="20">
        <f t="shared" si="165"/>
        <v>1.978932943548152E-12</v>
      </c>
      <c r="AM191" s="59">
        <f t="shared" si="113"/>
        <v>293.3333333333353</v>
      </c>
      <c r="AN191" s="59">
        <f ca="1">AVERAGE(OFFSET($AM$3,0,0,'Données projet'!$E$10+1,1))-AVERAGE(OFFSET($H$3,0,0,'Données projet'!$E$10+1,1))</f>
        <v>149.5086927376081</v>
      </c>
      <c r="AO191" s="59">
        <f t="shared" si="144"/>
        <v>364.59164590134498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4.4392603279644645</v>
      </c>
      <c r="AV191" s="21">
        <f>EXP(-LN(2)/25)*AV190+(1-EXP(-LN(2)/25))/(LN(2)/25)*Calculateur!AQ191*Calculateur!AS191*VLOOKUP('Données projet'!$B$10,Paramètres!$A$1:$I$89,3,0)*0.475*44/12</f>
        <v>0.24418460691323424</v>
      </c>
      <c r="AW191" s="21">
        <f>EXP(-LN(2)/2)*AW190+(1-EXP(-LN(2)/2))/(LN(2)/2)*AQ191*AT191*VLOOKUP('Données projet'!$B$10,Paramètres!$A$1:$I$89,3,0)*0.475*44/12</f>
        <v>9.9151142414967587E-25</v>
      </c>
      <c r="AX191" s="21">
        <f t="shared" si="166"/>
        <v>4.6834449348776985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1.1368683772161603E-13</v>
      </c>
      <c r="BE191" s="13">
        <f>BD191*VLOOKUP('Données projet'!$B$11,Paramètres!$A$1:$I$89,3,0)*VLOOKUP('Données projet'!$B$11,Paramètres!$A$1:$I$89,5,0)</f>
        <v>6.7984728957526396E-14</v>
      </c>
      <c r="BF191" s="13">
        <f t="shared" si="167"/>
        <v>1.0682447123141398E-12</v>
      </c>
      <c r="BG191" s="20">
        <f t="shared" si="168"/>
        <v>1.978932943548152E-12</v>
      </c>
      <c r="BH191" s="59">
        <f t="shared" si="116"/>
        <v>293.3333333333353</v>
      </c>
      <c r="BI191" s="59">
        <f ca="1">AVERAGE(OFFSET($BH$3,0,0,'Données projet'!$E$11+1,1))-AVERAGE(OFFSET($H$3,0,0,'Données projet'!$E$11+1,1))</f>
        <v>149.5086927376081</v>
      </c>
      <c r="BJ191" s="59">
        <f t="shared" si="146"/>
        <v>364.59164590134498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4.4392603279644645</v>
      </c>
      <c r="BQ191" s="21">
        <f>EXP(-LN(2)/25)*BQ190+(1-EXP(-LN(2)/25))/(LN(2)/25)*Calculateur!BL191*Calculateur!BN191*VLOOKUP('Données projet'!$B$11,Paramètres!$A$1:$I$89,3,0)*0.475*44/12</f>
        <v>0.24418460691323424</v>
      </c>
      <c r="BR191" s="21">
        <f>EXP(-LN(2)/2)*BR190+(1-EXP(-LN(2)/2))/(LN(2)/2)*BL191*BO191*VLOOKUP('Données projet'!$B$11,Paramètres!$A$1:$I$89,3,0)*0.475*44/12</f>
        <v>9.9151142414967587E-25</v>
      </c>
      <c r="BS191" s="22">
        <f t="shared" si="169"/>
        <v>4.6834449348776985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521.34454119656175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5.6843418860808015E-14</v>
      </c>
      <c r="O192" s="13">
        <f>N192*VLOOKUP('Données projet'!$B$9,Paramètres!$A$1:$I$89,3,0)*VLOOKUP('Données projet'!$B$9,Paramètres!$A$1:$I$89,5,0)</f>
        <v>3.3992364478763198E-14</v>
      </c>
      <c r="P192" s="13">
        <f t="shared" si="141"/>
        <v>5.790027782444094E-13</v>
      </c>
      <c r="Q192" s="20">
        <f t="shared" si="162"/>
        <v>1.0676332069095257E-12</v>
      </c>
      <c r="R192" s="59">
        <f t="shared" si="109"/>
        <v>293.33333333333439</v>
      </c>
      <c r="S192" s="59">
        <f ca="1">AVERAGE(OFFSET($R$3,0,0,'Données projet'!$E$9+1,1))-AVERAGE(OFFSET($H$3,0,0,'Données projet'!$E$9+1,1))</f>
        <v>153.00981126776304</v>
      </c>
      <c r="T192" s="59">
        <f t="shared" si="142"/>
        <v>309.90400623462932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4.8467675598751718</v>
      </c>
      <c r="AA192" s="21">
        <f>EXP(-LN(2)/25)*AA191+(1-EXP(-LN(2)/25))/(LN(2)/25)*Calculateur!V192*Calculateur!X192*VLOOKUP('Données projet'!$B$9,Paramètres!$A$1:$I$89,3,0)*0.475*44/12</f>
        <v>0.25634352551161649</v>
      </c>
      <c r="AB192" s="21">
        <f>EXP(-LN(2)/2)*AB191+(1-EXP(-LN(2)/2))/(LN(2)/2)*V192*Y192*VLOOKUP('Données projet'!$B$9,Paramètres!$A$1:$I$89,3,0)*0.475*44/12</f>
        <v>9.1309679310846321E-25</v>
      </c>
      <c r="AC192" s="22">
        <f t="shared" si="163"/>
        <v>5.1031110853867885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1.1368683772161603E-13</v>
      </c>
      <c r="AJ192" s="13">
        <f>AI192*VLOOKUP('Données projet'!$B$10,Paramètres!$A$1:$I$89,3,0)*VLOOKUP('Données projet'!$B$10,Paramètres!$A$1:$I$89,5,0)</f>
        <v>6.7984728957526396E-14</v>
      </c>
      <c r="AK192" s="13">
        <f t="shared" si="164"/>
        <v>1.0682447123141398E-12</v>
      </c>
      <c r="AL192" s="20">
        <f t="shared" si="165"/>
        <v>1.978932943548152E-12</v>
      </c>
      <c r="AM192" s="59">
        <f t="shared" si="113"/>
        <v>293.3333333333353</v>
      </c>
      <c r="AN192" s="59">
        <f ca="1">AVERAGE(OFFSET($AM$3,0,0,'Données projet'!$E$10+1,1))-AVERAGE(OFFSET($H$3,0,0,'Données projet'!$E$10+1,1))</f>
        <v>149.5086927376081</v>
      </c>
      <c r="AO192" s="59">
        <f t="shared" si="144"/>
        <v>364.59164590134498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4.3522091406145202</v>
      </c>
      <c r="AV192" s="21">
        <f>EXP(-LN(2)/25)*AV191+(1-EXP(-LN(2)/25))/(LN(2)/25)*Calculateur!AQ192*Calculateur!AS192*VLOOKUP('Données projet'!$B$10,Paramètres!$A$1:$I$89,3,0)*0.475*44/12</f>
        <v>0.23750736599608147</v>
      </c>
      <c r="AW192" s="21">
        <f>EXP(-LN(2)/2)*AW191+(1-EXP(-LN(2)/2))/(LN(2)/2)*AQ192*AT192*VLOOKUP('Données projet'!$B$10,Paramètres!$A$1:$I$89,3,0)*0.475*44/12</f>
        <v>7.0110445164016698E-25</v>
      </c>
      <c r="AX192" s="21">
        <f t="shared" si="166"/>
        <v>4.5897165066106016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1.1368683772161603E-13</v>
      </c>
      <c r="BE192" s="13">
        <f>BD192*VLOOKUP('Données projet'!$B$11,Paramètres!$A$1:$I$89,3,0)*VLOOKUP('Données projet'!$B$11,Paramètres!$A$1:$I$89,5,0)</f>
        <v>6.7984728957526396E-14</v>
      </c>
      <c r="BF192" s="13">
        <f t="shared" si="167"/>
        <v>1.0682447123141398E-12</v>
      </c>
      <c r="BG192" s="20">
        <f t="shared" si="168"/>
        <v>1.978932943548152E-12</v>
      </c>
      <c r="BH192" s="59">
        <f t="shared" si="116"/>
        <v>293.3333333333353</v>
      </c>
      <c r="BI192" s="59">
        <f ca="1">AVERAGE(OFFSET($BH$3,0,0,'Données projet'!$E$11+1,1))-AVERAGE(OFFSET($H$3,0,0,'Données projet'!$E$11+1,1))</f>
        <v>149.5086927376081</v>
      </c>
      <c r="BJ192" s="59">
        <f t="shared" si="146"/>
        <v>364.59164590134498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4.3522091406145202</v>
      </c>
      <c r="BQ192" s="21">
        <f>EXP(-LN(2)/25)*BQ191+(1-EXP(-LN(2)/25))/(LN(2)/25)*Calculateur!BL192*Calculateur!BN192*VLOOKUP('Données projet'!$B$11,Paramètres!$A$1:$I$89,3,0)*0.475*44/12</f>
        <v>0.23750736599608147</v>
      </c>
      <c r="BR192" s="21">
        <f>EXP(-LN(2)/2)*BR191+(1-EXP(-LN(2)/2))/(LN(2)/2)*BL192*BO192*VLOOKUP('Données projet'!$B$11,Paramètres!$A$1:$I$89,3,0)*0.475*44/12</f>
        <v>7.0110445164016698E-25</v>
      </c>
      <c r="BS192" s="22">
        <f t="shared" si="169"/>
        <v>4.5897165066106016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522.52114496161767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5.6843418860808015E-14</v>
      </c>
      <c r="O193" s="13">
        <f>N193*VLOOKUP('Données projet'!$B$9,Paramètres!$A$1:$I$89,3,0)*VLOOKUP('Données projet'!$B$9,Paramètres!$A$1:$I$89,5,0)</f>
        <v>3.3992364478763198E-14</v>
      </c>
      <c r="P193" s="13">
        <f t="shared" si="141"/>
        <v>5.790027782444094E-13</v>
      </c>
      <c r="Q193" s="20">
        <f t="shared" si="162"/>
        <v>1.0676332069095257E-12</v>
      </c>
      <c r="R193" s="59">
        <f t="shared" si="109"/>
        <v>293.33333333333439</v>
      </c>
      <c r="S193" s="59">
        <f ca="1">AVERAGE(OFFSET($R$3,0,0,'Données projet'!$E$9+1,1))-AVERAGE(OFFSET($H$3,0,0,'Données projet'!$E$9+1,1))</f>
        <v>153.00981126776304</v>
      </c>
      <c r="T193" s="59">
        <f t="shared" si="142"/>
        <v>309.90400623462932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4.7517254042623271</v>
      </c>
      <c r="AA193" s="21">
        <f>EXP(-LN(2)/25)*AA192+(1-EXP(-LN(2)/25))/(LN(2)/25)*Calculateur!V193*Calculateur!X193*VLOOKUP('Données projet'!$B$9,Paramètres!$A$1:$I$89,3,0)*0.475*44/12</f>
        <v>0.24933379832598121</v>
      </c>
      <c r="AB193" s="21">
        <f>EXP(-LN(2)/2)*AB192+(1-EXP(-LN(2)/2))/(LN(2)/2)*V193*Y193*VLOOKUP('Données projet'!$B$9,Paramètres!$A$1:$I$89,3,0)*0.475*44/12</f>
        <v>6.4565693428668436E-25</v>
      </c>
      <c r="AC193" s="22">
        <f t="shared" si="163"/>
        <v>5.0010592025883085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1.1368683772161603E-13</v>
      </c>
      <c r="AJ193" s="13">
        <f>AI193*VLOOKUP('Données projet'!$B$10,Paramètres!$A$1:$I$89,3,0)*VLOOKUP('Données projet'!$B$10,Paramètres!$A$1:$I$89,5,0)</f>
        <v>6.7984728957526396E-14</v>
      </c>
      <c r="AK193" s="13">
        <f t="shared" si="164"/>
        <v>1.0682447123141398E-12</v>
      </c>
      <c r="AL193" s="20">
        <f t="shared" si="165"/>
        <v>1.978932943548152E-12</v>
      </c>
      <c r="AM193" s="59">
        <f t="shared" si="113"/>
        <v>293.3333333333353</v>
      </c>
      <c r="AN193" s="59">
        <f ca="1">AVERAGE(OFFSET($AM$3,0,0,'Données projet'!$E$10+1,1))-AVERAGE(OFFSET($H$3,0,0,'Données projet'!$E$10+1,1))</f>
        <v>149.5086927376081</v>
      </c>
      <c r="AO193" s="59">
        <f t="shared" si="144"/>
        <v>364.59164590134498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4.2668649739525266</v>
      </c>
      <c r="AV193" s="21">
        <f>EXP(-LN(2)/25)*AV192+(1-EXP(-LN(2)/25))/(LN(2)/25)*Calculateur!AQ193*Calculateur!AS193*VLOOKUP('Données projet'!$B$10,Paramètres!$A$1:$I$89,3,0)*0.475*44/12</f>
        <v>0.23101271458294906</v>
      </c>
      <c r="AW193" s="21">
        <f>EXP(-LN(2)/2)*AW192+(1-EXP(-LN(2)/2))/(LN(2)/2)*AQ193*AT193*VLOOKUP('Données projet'!$B$10,Paramètres!$A$1:$I$89,3,0)*0.475*44/12</f>
        <v>4.9575571207483793E-25</v>
      </c>
      <c r="AX193" s="21">
        <f t="shared" si="166"/>
        <v>4.4978776885354756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1.1368683772161603E-13</v>
      </c>
      <c r="BE193" s="13">
        <f>BD193*VLOOKUP('Données projet'!$B$11,Paramètres!$A$1:$I$89,3,0)*VLOOKUP('Données projet'!$B$11,Paramètres!$A$1:$I$89,5,0)</f>
        <v>6.7984728957526396E-14</v>
      </c>
      <c r="BF193" s="13">
        <f t="shared" si="167"/>
        <v>1.0682447123141398E-12</v>
      </c>
      <c r="BG193" s="20">
        <f t="shared" si="168"/>
        <v>1.978932943548152E-12</v>
      </c>
      <c r="BH193" s="59">
        <f t="shared" si="116"/>
        <v>293.3333333333353</v>
      </c>
      <c r="BI193" s="59">
        <f ca="1">AVERAGE(OFFSET($BH$3,0,0,'Données projet'!$E$11+1,1))-AVERAGE(OFFSET($H$3,0,0,'Données projet'!$E$11+1,1))</f>
        <v>149.5086927376081</v>
      </c>
      <c r="BJ193" s="59">
        <f t="shared" si="146"/>
        <v>364.59164590134498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4.2668649739525266</v>
      </c>
      <c r="BQ193" s="21">
        <f>EXP(-LN(2)/25)*BQ192+(1-EXP(-LN(2)/25))/(LN(2)/25)*Calculateur!BL193*Calculateur!BN193*VLOOKUP('Données projet'!$B$11,Paramètres!$A$1:$I$89,3,0)*0.475*44/12</f>
        <v>0.23101271458294906</v>
      </c>
      <c r="BR193" s="21">
        <f>EXP(-LN(2)/2)*BR192+(1-EXP(-LN(2)/2))/(LN(2)/2)*BL193*BO193*VLOOKUP('Données projet'!$B$11,Paramètres!$A$1:$I$89,3,0)*0.475*44/12</f>
        <v>4.9575571207483793E-25</v>
      </c>
      <c r="BS193" s="22">
        <f t="shared" si="169"/>
        <v>4.4978776885354756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523.69761052571369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5.6843418860808015E-14</v>
      </c>
      <c r="O194" s="13">
        <f>N194*VLOOKUP('Données projet'!$B$9,Paramètres!$A$1:$I$89,3,0)*VLOOKUP('Données projet'!$B$9,Paramètres!$A$1:$I$89,5,0)</f>
        <v>3.3992364478763198E-14</v>
      </c>
      <c r="P194" s="13">
        <f t="shared" si="141"/>
        <v>5.790027782444094E-13</v>
      </c>
      <c r="Q194" s="20">
        <f t="shared" si="162"/>
        <v>1.0676332069095257E-12</v>
      </c>
      <c r="R194" s="59">
        <f t="shared" si="109"/>
        <v>293.33333333333439</v>
      </c>
      <c r="S194" s="59">
        <f ca="1">AVERAGE(OFFSET($R$3,0,0,'Données projet'!$E$9+1,1))-AVERAGE(OFFSET($H$3,0,0,'Données projet'!$E$9+1,1))</f>
        <v>153.00981126776304</v>
      </c>
      <c r="T194" s="59">
        <f t="shared" si="142"/>
        <v>309.90400623462932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4.6585469673510591</v>
      </c>
      <c r="AA194" s="21">
        <f>EXP(-LN(2)/25)*AA193+(1-EXP(-LN(2)/25))/(LN(2)/25)*Calculateur!V194*Calculateur!X194*VLOOKUP('Données projet'!$B$9,Paramètres!$A$1:$I$89,3,0)*0.475*44/12</f>
        <v>0.24251575249886265</v>
      </c>
      <c r="AB194" s="21">
        <f>EXP(-LN(2)/2)*AB193+(1-EXP(-LN(2)/2))/(LN(2)/2)*V194*Y194*VLOOKUP('Données projet'!$B$9,Paramètres!$A$1:$I$89,3,0)*0.475*44/12</f>
        <v>4.565483965542316E-25</v>
      </c>
      <c r="AC194" s="22">
        <f t="shared" si="163"/>
        <v>4.9010627198499215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1.1368683772161603E-13</v>
      </c>
      <c r="AJ194" s="13">
        <f>AI194*VLOOKUP('Données projet'!$B$10,Paramètres!$A$1:$I$89,3,0)*VLOOKUP('Données projet'!$B$10,Paramètres!$A$1:$I$89,5,0)</f>
        <v>6.7984728957526396E-14</v>
      </c>
      <c r="AK194" s="13">
        <f t="shared" si="164"/>
        <v>1.0682447123141398E-12</v>
      </c>
      <c r="AL194" s="20">
        <f t="shared" si="165"/>
        <v>1.978932943548152E-12</v>
      </c>
      <c r="AM194" s="59">
        <f t="shared" si="113"/>
        <v>293.3333333333353</v>
      </c>
      <c r="AN194" s="59">
        <f ca="1">AVERAGE(OFFSET($AM$3,0,0,'Données projet'!$E$10+1,1))-AVERAGE(OFFSET($H$3,0,0,'Données projet'!$E$10+1,1))</f>
        <v>149.5086927376081</v>
      </c>
      <c r="AO194" s="59">
        <f t="shared" si="144"/>
        <v>364.59164590134498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4.1831943543439731</v>
      </c>
      <c r="AV194" s="21">
        <f>EXP(-LN(2)/25)*AV193+(1-EXP(-LN(2)/25))/(LN(2)/25)*Calculateur!AQ194*Calculateur!AS194*VLOOKUP('Données projet'!$B$10,Paramètres!$A$1:$I$89,3,0)*0.475*44/12</f>
        <v>0.22469565975424766</v>
      </c>
      <c r="AW194" s="21">
        <f>EXP(-LN(2)/2)*AW193+(1-EXP(-LN(2)/2))/(LN(2)/2)*AQ194*AT194*VLOOKUP('Données projet'!$B$10,Paramètres!$A$1:$I$89,3,0)*0.475*44/12</f>
        <v>3.5055222582008349E-25</v>
      </c>
      <c r="AX194" s="21">
        <f t="shared" si="166"/>
        <v>4.4078900140982205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1.1368683772161603E-13</v>
      </c>
      <c r="BE194" s="13">
        <f>BD194*VLOOKUP('Données projet'!$B$11,Paramètres!$A$1:$I$89,3,0)*VLOOKUP('Données projet'!$B$11,Paramètres!$A$1:$I$89,5,0)</f>
        <v>6.7984728957526396E-14</v>
      </c>
      <c r="BF194" s="13">
        <f t="shared" si="167"/>
        <v>1.0682447123141398E-12</v>
      </c>
      <c r="BG194" s="20">
        <f t="shared" si="168"/>
        <v>1.978932943548152E-12</v>
      </c>
      <c r="BH194" s="59">
        <f t="shared" si="116"/>
        <v>293.3333333333353</v>
      </c>
      <c r="BI194" s="59">
        <f ca="1">AVERAGE(OFFSET($BH$3,0,0,'Données projet'!$E$11+1,1))-AVERAGE(OFFSET($H$3,0,0,'Données projet'!$E$11+1,1))</f>
        <v>149.5086927376081</v>
      </c>
      <c r="BJ194" s="59">
        <f t="shared" si="146"/>
        <v>364.59164590134498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4.1831943543439731</v>
      </c>
      <c r="BQ194" s="21">
        <f>EXP(-LN(2)/25)*BQ193+(1-EXP(-LN(2)/25))/(LN(2)/25)*Calculateur!BL194*Calculateur!BN194*VLOOKUP('Données projet'!$B$11,Paramètres!$A$1:$I$89,3,0)*0.475*44/12</f>
        <v>0.22469565975424766</v>
      </c>
      <c r="BR194" s="21">
        <f>EXP(-LN(2)/2)*BR193+(1-EXP(-LN(2)/2))/(LN(2)/2)*BL194*BO194*VLOOKUP('Données projet'!$B$11,Paramètres!$A$1:$I$89,3,0)*0.475*44/12</f>
        <v>3.5055222582008349E-25</v>
      </c>
      <c r="BS194" s="22">
        <f t="shared" si="169"/>
        <v>4.4078900140982205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524.87393869639902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5.6843418860808015E-14</v>
      </c>
      <c r="O195" s="13">
        <f>N195*VLOOKUP('Données projet'!$B$9,Paramètres!$A$1:$I$89,3,0)*VLOOKUP('Données projet'!$B$9,Paramètres!$A$1:$I$89,5,0)</f>
        <v>3.3992364478763198E-14</v>
      </c>
      <c r="P195" s="13">
        <f t="shared" si="141"/>
        <v>5.790027782444094E-13</v>
      </c>
      <c r="Q195" s="20">
        <f t="shared" si="162"/>
        <v>1.0676332069095257E-12</v>
      </c>
      <c r="R195" s="59">
        <f t="shared" ref="R195:R203" si="191">Q195+(I195+J195)*44/12</f>
        <v>293.33333333333439</v>
      </c>
      <c r="S195" s="59">
        <f ca="1">AVERAGE(OFFSET($R$3,0,0,'Données projet'!$E$9+1,1))-AVERAGE(OFFSET($H$3,0,0,'Données projet'!$E$9+1,1))</f>
        <v>153.00981126776304</v>
      </c>
      <c r="T195" s="59">
        <f t="shared" si="142"/>
        <v>309.90400623462932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4.567195702754387</v>
      </c>
      <c r="AA195" s="21">
        <f>EXP(-LN(2)/25)*AA194+(1-EXP(-LN(2)/25))/(LN(2)/25)*Calculateur!V195*Calculateur!X195*VLOOKUP('Données projet'!$B$9,Paramètres!$A$1:$I$89,3,0)*0.475*44/12</f>
        <v>0.23588414649343209</v>
      </c>
      <c r="AB195" s="21">
        <f>EXP(-LN(2)/2)*AB194+(1-EXP(-LN(2)/2))/(LN(2)/2)*V195*Y195*VLOOKUP('Données projet'!$B$9,Paramètres!$A$1:$I$89,3,0)*0.475*44/12</f>
        <v>3.2282846714334218E-25</v>
      </c>
      <c r="AC195" s="22">
        <f t="shared" si="163"/>
        <v>4.8030798492478191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1.1368683772161603E-13</v>
      </c>
      <c r="AJ195" s="13">
        <f>AI195*VLOOKUP('Données projet'!$B$10,Paramètres!$A$1:$I$89,3,0)*VLOOKUP('Données projet'!$B$10,Paramètres!$A$1:$I$89,5,0)</f>
        <v>6.7984728957526396E-14</v>
      </c>
      <c r="AK195" s="13">
        <f t="shared" si="164"/>
        <v>1.0682447123141398E-12</v>
      </c>
      <c r="AL195" s="20">
        <f t="shared" si="165"/>
        <v>1.978932943548152E-12</v>
      </c>
      <c r="AM195" s="59">
        <f t="shared" si="113"/>
        <v>293.3333333333353</v>
      </c>
      <c r="AN195" s="59">
        <f ca="1">AVERAGE(OFFSET($AM$3,0,0,'Données projet'!$E$10+1,1))-AVERAGE(OFFSET($H$3,0,0,'Données projet'!$E$10+1,1))</f>
        <v>149.5086927376081</v>
      </c>
      <c r="AO195" s="59">
        <f t="shared" si="144"/>
        <v>364.59164590134498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4.1011644645519043</v>
      </c>
      <c r="AV195" s="21">
        <f>EXP(-LN(2)/25)*AV194+(1-EXP(-LN(2)/25))/(LN(2)/25)*Calculateur!AQ195*Calculateur!AS195*VLOOKUP('Données projet'!$B$10,Paramètres!$A$1:$I$89,3,0)*0.475*44/12</f>
        <v>0.21855134512203656</v>
      </c>
      <c r="AW195" s="21">
        <f>EXP(-LN(2)/2)*AW194+(1-EXP(-LN(2)/2))/(LN(2)/2)*AQ195*AT195*VLOOKUP('Données projet'!$B$10,Paramètres!$A$1:$I$89,3,0)*0.475*44/12</f>
        <v>2.4787785603741897E-25</v>
      </c>
      <c r="AX195" s="21">
        <f t="shared" si="166"/>
        <v>4.3197158096739408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1.1368683772161603E-13</v>
      </c>
      <c r="BE195" s="13">
        <f>BD195*VLOOKUP('Données projet'!$B$11,Paramètres!$A$1:$I$89,3,0)*VLOOKUP('Données projet'!$B$11,Paramètres!$A$1:$I$89,5,0)</f>
        <v>6.7984728957526396E-14</v>
      </c>
      <c r="BF195" s="13">
        <f t="shared" si="167"/>
        <v>1.0682447123141398E-12</v>
      </c>
      <c r="BG195" s="20">
        <f t="shared" si="168"/>
        <v>1.978932943548152E-12</v>
      </c>
      <c r="BH195" s="59">
        <f t="shared" si="116"/>
        <v>293.3333333333353</v>
      </c>
      <c r="BI195" s="59">
        <f ca="1">AVERAGE(OFFSET($BH$3,0,0,'Données projet'!$E$11+1,1))-AVERAGE(OFFSET($H$3,0,0,'Données projet'!$E$11+1,1))</f>
        <v>149.5086927376081</v>
      </c>
      <c r="BJ195" s="59">
        <f t="shared" si="146"/>
        <v>364.59164590134498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4.1011644645519043</v>
      </c>
      <c r="BQ195" s="21">
        <f>EXP(-LN(2)/25)*BQ194+(1-EXP(-LN(2)/25))/(LN(2)/25)*Calculateur!BL195*Calculateur!BN195*VLOOKUP('Données projet'!$B$11,Paramètres!$A$1:$I$89,3,0)*0.475*44/12</f>
        <v>0.21855134512203656</v>
      </c>
      <c r="BR195" s="21">
        <f>EXP(-LN(2)/2)*BR194+(1-EXP(-LN(2)/2))/(LN(2)/2)*BL195*BO195*VLOOKUP('Données projet'!$B$11,Paramètres!$A$1:$I$89,3,0)*0.475*44/12</f>
        <v>2.4787785603741897E-25</v>
      </c>
      <c r="BS195" s="22">
        <f t="shared" si="169"/>
        <v>4.3197158096739408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526.0501302723244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5.6843418860808015E-14</v>
      </c>
      <c r="O196" s="13">
        <f>N196*VLOOKUP('Données projet'!$B$9,Paramètres!$A$1:$I$89,3,0)*VLOOKUP('Données projet'!$B$9,Paramètres!$A$1:$I$89,5,0)</f>
        <v>3.3992364478763198E-14</v>
      </c>
      <c r="P196" s="13">
        <f t="shared" si="141"/>
        <v>5.790027782444094E-13</v>
      </c>
      <c r="Q196" s="20">
        <f t="shared" si="162"/>
        <v>1.0676332069095257E-12</v>
      </c>
      <c r="R196" s="59">
        <f t="shared" si="191"/>
        <v>293.33333333333439</v>
      </c>
      <c r="S196" s="59">
        <f ca="1">AVERAGE(OFFSET($R$3,0,0,'Données projet'!$E$9+1,1))-AVERAGE(OFFSET($H$3,0,0,'Données projet'!$E$9+1,1))</f>
        <v>153.00981126776304</v>
      </c>
      <c r="T196" s="59">
        <f t="shared" si="142"/>
        <v>309.90400623462932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4.4776357807376854</v>
      </c>
      <c r="AA196" s="21">
        <f>EXP(-LN(2)/25)*AA195+(1-EXP(-LN(2)/25))/(LN(2)/25)*Calculateur!V196*Calculateur!X196*VLOOKUP('Données projet'!$B$9,Paramètres!$A$1:$I$89,3,0)*0.475*44/12</f>
        <v>0.22943388210296103</v>
      </c>
      <c r="AB196" s="21">
        <f>EXP(-LN(2)/2)*AB195+(1-EXP(-LN(2)/2))/(LN(2)/2)*V196*Y196*VLOOKUP('Données projet'!$B$9,Paramètres!$A$1:$I$89,3,0)*0.475*44/12</f>
        <v>2.282741982771158E-25</v>
      </c>
      <c r="AC196" s="22">
        <f t="shared" si="163"/>
        <v>4.7070696628406461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1.1368683772161603E-13</v>
      </c>
      <c r="AJ196" s="13">
        <f>AI196*VLOOKUP('Données projet'!$B$10,Paramètres!$A$1:$I$89,3,0)*VLOOKUP('Données projet'!$B$10,Paramètres!$A$1:$I$89,5,0)</f>
        <v>6.7984728957526396E-14</v>
      </c>
      <c r="AK196" s="13">
        <f t="shared" si="164"/>
        <v>1.0682447123141398E-12</v>
      </c>
      <c r="AL196" s="20">
        <f t="shared" si="165"/>
        <v>1.978932943548152E-12</v>
      </c>
      <c r="AM196" s="59">
        <f t="shared" ref="AM196:AM203" si="193">AL196+(AD196+AE196)*44/12</f>
        <v>293.3333333333353</v>
      </c>
      <c r="AN196" s="59">
        <f ca="1">AVERAGE(OFFSET($AM$3,0,0,'Données projet'!$E$10+1,1))-AVERAGE(OFFSET($H$3,0,0,'Données projet'!$E$10+1,1))</f>
        <v>149.5086927376081</v>
      </c>
      <c r="AO196" s="59">
        <f t="shared" si="144"/>
        <v>364.59164590134498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4.0207431308653661</v>
      </c>
      <c r="AV196" s="21">
        <f>EXP(-LN(2)/25)*AV195+(1-EXP(-LN(2)/25))/(LN(2)/25)*Calculateur!AQ196*Calculateur!AS196*VLOOKUP('Données projet'!$B$10,Paramètres!$A$1:$I$89,3,0)*0.475*44/12</f>
        <v>0.21257504709655872</v>
      </c>
      <c r="AW196" s="21">
        <f>EXP(-LN(2)/2)*AW195+(1-EXP(-LN(2)/2))/(LN(2)/2)*AQ196*AT196*VLOOKUP('Données projet'!$B$10,Paramètres!$A$1:$I$89,3,0)*0.475*44/12</f>
        <v>1.7527611291004174E-25</v>
      </c>
      <c r="AX196" s="21">
        <f t="shared" si="166"/>
        <v>4.2333181779619249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1.1368683772161603E-13</v>
      </c>
      <c r="BE196" s="13">
        <f>BD196*VLOOKUP('Données projet'!$B$11,Paramètres!$A$1:$I$89,3,0)*VLOOKUP('Données projet'!$B$11,Paramètres!$A$1:$I$89,5,0)</f>
        <v>6.7984728957526396E-14</v>
      </c>
      <c r="BF196" s="13">
        <f t="shared" si="167"/>
        <v>1.0682447123141398E-12</v>
      </c>
      <c r="BG196" s="20">
        <f t="shared" si="168"/>
        <v>1.978932943548152E-12</v>
      </c>
      <c r="BH196" s="59">
        <f t="shared" ref="BH196:BH203" si="194">BG196+(AY196+AZ196)*44/12</f>
        <v>293.3333333333353</v>
      </c>
      <c r="BI196" s="59">
        <f ca="1">AVERAGE(OFFSET($BH$3,0,0,'Données projet'!$E$11+1,1))-AVERAGE(OFFSET($H$3,0,0,'Données projet'!$E$11+1,1))</f>
        <v>149.5086927376081</v>
      </c>
      <c r="BJ196" s="59">
        <f t="shared" si="146"/>
        <v>364.59164590134498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4.0207431308653661</v>
      </c>
      <c r="BQ196" s="21">
        <f>EXP(-LN(2)/25)*BQ195+(1-EXP(-LN(2)/25))/(LN(2)/25)*Calculateur!BL196*Calculateur!BN196*VLOOKUP('Données projet'!$B$11,Paramètres!$A$1:$I$89,3,0)*0.475*44/12</f>
        <v>0.21257504709655872</v>
      </c>
      <c r="BR196" s="21">
        <f>EXP(-LN(2)/2)*BR195+(1-EXP(-LN(2)/2))/(LN(2)/2)*BL196*BO196*VLOOKUP('Données projet'!$B$11,Paramètres!$A$1:$I$89,3,0)*0.475*44/12</f>
        <v>1.7527611291004174E-25</v>
      </c>
      <c r="BS196" s="22">
        <f t="shared" si="169"/>
        <v>4.2333181779619249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527.22618604338504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5.6843418860808015E-14</v>
      </c>
      <c r="O197" s="13">
        <f>N197*VLOOKUP('Données projet'!$B$9,Paramètres!$A$1:$I$89,3,0)*VLOOKUP('Données projet'!$B$9,Paramètres!$A$1:$I$89,5,0)</f>
        <v>3.3992364478763198E-14</v>
      </c>
      <c r="P197" s="13">
        <f t="shared" ref="P197:P203" si="203">EXP(-1.0587+0.8836*LN(O197)+0.284)</f>
        <v>5.790027782444094E-13</v>
      </c>
      <c r="Q197" s="20">
        <f t="shared" si="162"/>
        <v>1.0676332069095257E-12</v>
      </c>
      <c r="R197" s="59">
        <f t="shared" si="191"/>
        <v>293.33333333333439</v>
      </c>
      <c r="S197" s="59">
        <f ca="1">AVERAGE(OFFSET($R$3,0,0,'Données projet'!$E$9+1,1))-AVERAGE(OFFSET($H$3,0,0,'Données projet'!$E$9+1,1))</f>
        <v>153.00981126776304</v>
      </c>
      <c r="T197" s="59">
        <f t="shared" ref="T197:T203" si="204">$T$3</f>
        <v>309.90400623462932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4.3898320741655734</v>
      </c>
      <c r="AA197" s="21">
        <f>EXP(-LN(2)/25)*AA196+(1-EXP(-LN(2)/25))/(LN(2)/25)*Calculateur!V197*Calculateur!X197*VLOOKUP('Données projet'!$B$9,Paramètres!$A$1:$I$89,3,0)*0.475*44/12</f>
        <v>0.22316000053145207</v>
      </c>
      <c r="AB197" s="21">
        <f>EXP(-LN(2)/2)*AB196+(1-EXP(-LN(2)/2))/(LN(2)/2)*V197*Y197*VLOOKUP('Données projet'!$B$9,Paramètres!$A$1:$I$89,3,0)*0.475*44/12</f>
        <v>1.6141423357167109E-25</v>
      </c>
      <c r="AC197" s="22">
        <f t="shared" si="163"/>
        <v>4.6129920746970257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1.1368683772161603E-13</v>
      </c>
      <c r="AJ197" s="13">
        <f>AI197*VLOOKUP('Données projet'!$B$10,Paramètres!$A$1:$I$89,3,0)*VLOOKUP('Données projet'!$B$10,Paramètres!$A$1:$I$89,5,0)</f>
        <v>6.7984728957526396E-14</v>
      </c>
      <c r="AK197" s="13">
        <f t="shared" si="164"/>
        <v>1.0682447123141398E-12</v>
      </c>
      <c r="AL197" s="20">
        <f t="shared" si="165"/>
        <v>1.978932943548152E-12</v>
      </c>
      <c r="AM197" s="59">
        <f t="shared" si="193"/>
        <v>293.3333333333353</v>
      </c>
      <c r="AN197" s="59">
        <f ca="1">AVERAGE(OFFSET($AM$3,0,0,'Données projet'!$E$10+1,1))-AVERAGE(OFFSET($H$3,0,0,'Données projet'!$E$10+1,1))</f>
        <v>149.5086927376081</v>
      </c>
      <c r="AO197" s="59">
        <f t="shared" ref="AO197:AO203" si="205">$AO$3</f>
        <v>364.59164590134498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3.9418988104802506</v>
      </c>
      <c r="AV197" s="21">
        <f>EXP(-LN(2)/25)*AV196+(1-EXP(-LN(2)/25))/(LN(2)/25)*Calculateur!AQ197*Calculateur!AS197*VLOOKUP('Données projet'!$B$10,Paramètres!$A$1:$I$89,3,0)*0.475*44/12</f>
        <v>0.20676217125486746</v>
      </c>
      <c r="AW197" s="21">
        <f>EXP(-LN(2)/2)*AW196+(1-EXP(-LN(2)/2))/(LN(2)/2)*AQ197*AT197*VLOOKUP('Données projet'!$B$10,Paramètres!$A$1:$I$89,3,0)*0.475*44/12</f>
        <v>1.2393892801870948E-25</v>
      </c>
      <c r="AX197" s="21">
        <f t="shared" si="166"/>
        <v>4.1486609817351177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1.1368683772161603E-13</v>
      </c>
      <c r="BE197" s="13">
        <f>BD197*VLOOKUP('Données projet'!$B$11,Paramètres!$A$1:$I$89,3,0)*VLOOKUP('Données projet'!$B$11,Paramètres!$A$1:$I$89,5,0)</f>
        <v>6.7984728957526396E-14</v>
      </c>
      <c r="BF197" s="13">
        <f t="shared" si="167"/>
        <v>1.0682447123141398E-12</v>
      </c>
      <c r="BG197" s="20">
        <f t="shared" si="168"/>
        <v>1.978932943548152E-12</v>
      </c>
      <c r="BH197" s="59">
        <f t="shared" si="194"/>
        <v>293.3333333333353</v>
      </c>
      <c r="BI197" s="59">
        <f ca="1">AVERAGE(OFFSET($BH$3,0,0,'Données projet'!$E$11+1,1))-AVERAGE(OFFSET($H$3,0,0,'Données projet'!$E$11+1,1))</f>
        <v>149.5086927376081</v>
      </c>
      <c r="BJ197" s="59">
        <f t="shared" ref="BJ197:BJ203" si="206">$BJ$3</f>
        <v>364.59164590134498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3.9418988104802506</v>
      </c>
      <c r="BQ197" s="21">
        <f>EXP(-LN(2)/25)*BQ196+(1-EXP(-LN(2)/25))/(LN(2)/25)*Calculateur!BL197*Calculateur!BN197*VLOOKUP('Données projet'!$B$11,Paramètres!$A$1:$I$89,3,0)*0.475*44/12</f>
        <v>0.20676217125486746</v>
      </c>
      <c r="BR197" s="21">
        <f>EXP(-LN(2)/2)*BR196+(1-EXP(-LN(2)/2))/(LN(2)/2)*BL197*BO197*VLOOKUP('Données projet'!$B$11,Paramètres!$A$1:$I$89,3,0)*0.475*44/12</f>
        <v>1.2393892801870948E-25</v>
      </c>
      <c r="BS197" s="22">
        <f t="shared" si="169"/>
        <v>4.1486609817351177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528.40210679086135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5.6843418860808015E-14</v>
      </c>
      <c r="O198" s="13">
        <f>N198*VLOOKUP('Données projet'!$B$9,Paramètres!$A$1:$I$89,3,0)*VLOOKUP('Données projet'!$B$9,Paramètres!$A$1:$I$89,5,0)</f>
        <v>3.3992364478763198E-14</v>
      </c>
      <c r="P198" s="13">
        <f t="shared" si="203"/>
        <v>5.790027782444094E-13</v>
      </c>
      <c r="Q198" s="20">
        <f t="shared" si="162"/>
        <v>1.0676332069095257E-12</v>
      </c>
      <c r="R198" s="59">
        <f t="shared" si="191"/>
        <v>293.33333333333439</v>
      </c>
      <c r="S198" s="59">
        <f ca="1">AVERAGE(OFFSET($R$3,0,0,'Données projet'!$E$9+1,1))-AVERAGE(OFFSET($H$3,0,0,'Données projet'!$E$9+1,1))</f>
        <v>153.00981126776304</v>
      </c>
      <c r="T198" s="59">
        <f t="shared" si="204"/>
        <v>309.90400623462932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4.3037501447243676</v>
      </c>
      <c r="AA198" s="21">
        <f>EXP(-LN(2)/25)*AA197+(1-EXP(-LN(2)/25))/(LN(2)/25)*Calculateur!V198*Calculateur!X198*VLOOKUP('Données projet'!$B$9,Paramètres!$A$1:$I$89,3,0)*0.475*44/12</f>
        <v>0.21705767858144512</v>
      </c>
      <c r="AB198" s="21">
        <f>EXP(-LN(2)/2)*AB197+(1-EXP(-LN(2)/2))/(LN(2)/2)*V198*Y198*VLOOKUP('Données projet'!$B$9,Paramètres!$A$1:$I$89,3,0)*0.475*44/12</f>
        <v>1.141370991385579E-25</v>
      </c>
      <c r="AC198" s="22">
        <f t="shared" si="163"/>
        <v>4.5208078233058124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1.1368683772161603E-13</v>
      </c>
      <c r="AJ198" s="13">
        <f>AI198*VLOOKUP('Données projet'!$B$10,Paramètres!$A$1:$I$89,3,0)*VLOOKUP('Données projet'!$B$10,Paramètres!$A$1:$I$89,5,0)</f>
        <v>6.7984728957526396E-14</v>
      </c>
      <c r="AK198" s="13">
        <f t="shared" si="164"/>
        <v>1.0682447123141398E-12</v>
      </c>
      <c r="AL198" s="20">
        <f t="shared" si="165"/>
        <v>1.978932943548152E-12</v>
      </c>
      <c r="AM198" s="59">
        <f t="shared" si="193"/>
        <v>293.3333333333353</v>
      </c>
      <c r="AN198" s="59">
        <f ca="1">AVERAGE(OFFSET($AM$3,0,0,'Données projet'!$E$10+1,1))-AVERAGE(OFFSET($H$3,0,0,'Données projet'!$E$10+1,1))</f>
        <v>149.5086927376081</v>
      </c>
      <c r="AO198" s="59">
        <f t="shared" si="205"/>
        <v>364.59164590134498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3.8646005791276004</v>
      </c>
      <c r="AV198" s="21">
        <f>EXP(-LN(2)/25)*AV197+(1-EXP(-LN(2)/25))/(LN(2)/25)*Calculateur!AQ198*Calculateur!AS198*VLOOKUP('Données projet'!$B$10,Paramètres!$A$1:$I$89,3,0)*0.475*44/12</f>
        <v>0.20110824880875308</v>
      </c>
      <c r="AW198" s="21">
        <f>EXP(-LN(2)/2)*AW197+(1-EXP(-LN(2)/2))/(LN(2)/2)*AQ198*AT198*VLOOKUP('Données projet'!$B$10,Paramètres!$A$1:$I$89,3,0)*0.475*44/12</f>
        <v>8.7638056455020872E-26</v>
      </c>
      <c r="AX198" s="21">
        <f t="shared" si="166"/>
        <v>4.0657088279363531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1.1368683772161603E-13</v>
      </c>
      <c r="BE198" s="13">
        <f>BD198*VLOOKUP('Données projet'!$B$11,Paramètres!$A$1:$I$89,3,0)*VLOOKUP('Données projet'!$B$11,Paramètres!$A$1:$I$89,5,0)</f>
        <v>6.7984728957526396E-14</v>
      </c>
      <c r="BF198" s="13">
        <f t="shared" si="167"/>
        <v>1.0682447123141398E-12</v>
      </c>
      <c r="BG198" s="20">
        <f t="shared" si="168"/>
        <v>1.978932943548152E-12</v>
      </c>
      <c r="BH198" s="59">
        <f t="shared" si="194"/>
        <v>293.3333333333353</v>
      </c>
      <c r="BI198" s="59">
        <f ca="1">AVERAGE(OFFSET($BH$3,0,0,'Données projet'!$E$11+1,1))-AVERAGE(OFFSET($H$3,0,0,'Données projet'!$E$11+1,1))</f>
        <v>149.5086927376081</v>
      </c>
      <c r="BJ198" s="59">
        <f t="shared" si="206"/>
        <v>364.59164590134498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3.8646005791276004</v>
      </c>
      <c r="BQ198" s="21">
        <f>EXP(-LN(2)/25)*BQ197+(1-EXP(-LN(2)/25))/(LN(2)/25)*Calculateur!BL198*Calculateur!BN198*VLOOKUP('Données projet'!$B$11,Paramètres!$A$1:$I$89,3,0)*0.475*44/12</f>
        <v>0.20110824880875308</v>
      </c>
      <c r="BR198" s="21">
        <f>EXP(-LN(2)/2)*BR197+(1-EXP(-LN(2)/2))/(LN(2)/2)*BL198*BO198*VLOOKUP('Données projet'!$B$11,Paramètres!$A$1:$I$89,3,0)*0.475*44/12</f>
        <v>8.7638056455020872E-26</v>
      </c>
      <c r="BS198" s="22">
        <f t="shared" si="169"/>
        <v>4.0657088279363531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529.57789328755689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5.6843418860808015E-14</v>
      </c>
      <c r="O199" s="13">
        <f>N199*VLOOKUP('Données projet'!$B$9,Paramètres!$A$1:$I$89,3,0)*VLOOKUP('Données projet'!$B$9,Paramètres!$A$1:$I$89,5,0)</f>
        <v>3.3992364478763198E-14</v>
      </c>
      <c r="P199" s="13">
        <f t="shared" si="203"/>
        <v>5.790027782444094E-13</v>
      </c>
      <c r="Q199" s="20">
        <f t="shared" si="162"/>
        <v>1.0676332069095257E-12</v>
      </c>
      <c r="R199" s="59">
        <f t="shared" si="191"/>
        <v>293.33333333333439</v>
      </c>
      <c r="S199" s="59">
        <f ca="1">AVERAGE(OFFSET($R$3,0,0,'Données projet'!$E$9+1,1))-AVERAGE(OFFSET($H$3,0,0,'Données projet'!$E$9+1,1))</f>
        <v>153.00981126776304</v>
      </c>
      <c r="T199" s="59">
        <f t="shared" si="204"/>
        <v>309.90400623462932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4.2193562294147107</v>
      </c>
      <c r="AA199" s="21">
        <f>EXP(-LN(2)/25)*AA198+(1-EXP(-LN(2)/25))/(LN(2)/25)*Calculateur!V199*Calculateur!X199*VLOOKUP('Données projet'!$B$9,Paramètres!$A$1:$I$89,3,0)*0.475*44/12</f>
        <v>0.21112222494606828</v>
      </c>
      <c r="AB199" s="21">
        <f>EXP(-LN(2)/2)*AB198+(1-EXP(-LN(2)/2))/(LN(2)/2)*V199*Y199*VLOOKUP('Données projet'!$B$9,Paramètres!$A$1:$I$89,3,0)*0.475*44/12</f>
        <v>8.0707116785835545E-26</v>
      </c>
      <c r="AC199" s="22">
        <f t="shared" si="163"/>
        <v>4.4304784543607791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1.1368683772161603E-13</v>
      </c>
      <c r="AJ199" s="13">
        <f>AI199*VLOOKUP('Données projet'!$B$10,Paramètres!$A$1:$I$89,3,0)*VLOOKUP('Données projet'!$B$10,Paramètres!$A$1:$I$89,5,0)</f>
        <v>6.7984728957526396E-14</v>
      </c>
      <c r="AK199" s="13">
        <f t="shared" si="164"/>
        <v>1.0682447123141398E-12</v>
      </c>
      <c r="AL199" s="20">
        <f t="shared" si="165"/>
        <v>1.978932943548152E-12</v>
      </c>
      <c r="AM199" s="59">
        <f t="shared" si="193"/>
        <v>293.3333333333353</v>
      </c>
      <c r="AN199" s="59">
        <f ca="1">AVERAGE(OFFSET($AM$3,0,0,'Données projet'!$E$10+1,1))-AVERAGE(OFFSET($H$3,0,0,'Données projet'!$E$10+1,1))</f>
        <v>149.5086927376081</v>
      </c>
      <c r="AO199" s="59">
        <f t="shared" si="205"/>
        <v>364.59164590134498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3.7888181189445098</v>
      </c>
      <c r="AV199" s="21">
        <f>EXP(-LN(2)/25)*AV198+(1-EXP(-LN(2)/25))/(LN(2)/25)*Calculateur!AQ199*Calculateur!AS199*VLOOKUP('Données projet'!$B$10,Paramètres!$A$1:$I$89,3,0)*0.475*44/12</f>
        <v>0.19560893316925457</v>
      </c>
      <c r="AW199" s="21">
        <f>EXP(-LN(2)/2)*AW198+(1-EXP(-LN(2)/2))/(LN(2)/2)*AQ199*AT199*VLOOKUP('Données projet'!$B$10,Paramètres!$A$1:$I$89,3,0)*0.475*44/12</f>
        <v>6.1969464009354742E-26</v>
      </c>
      <c r="AX199" s="21">
        <f t="shared" si="166"/>
        <v>3.9844270521137646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1.1368683772161603E-13</v>
      </c>
      <c r="BE199" s="13">
        <f>BD199*VLOOKUP('Données projet'!$B$11,Paramètres!$A$1:$I$89,3,0)*VLOOKUP('Données projet'!$B$11,Paramètres!$A$1:$I$89,5,0)</f>
        <v>6.7984728957526396E-14</v>
      </c>
      <c r="BF199" s="13">
        <f t="shared" si="167"/>
        <v>1.0682447123141398E-12</v>
      </c>
      <c r="BG199" s="20">
        <f t="shared" si="168"/>
        <v>1.978932943548152E-12</v>
      </c>
      <c r="BH199" s="59">
        <f t="shared" si="194"/>
        <v>293.3333333333353</v>
      </c>
      <c r="BI199" s="59">
        <f ca="1">AVERAGE(OFFSET($BH$3,0,0,'Données projet'!$E$11+1,1))-AVERAGE(OFFSET($H$3,0,0,'Données projet'!$E$11+1,1))</f>
        <v>149.5086927376081</v>
      </c>
      <c r="BJ199" s="59">
        <f t="shared" si="206"/>
        <v>364.59164590134498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3.7888181189445098</v>
      </c>
      <c r="BQ199" s="21">
        <f>EXP(-LN(2)/25)*BQ198+(1-EXP(-LN(2)/25))/(LN(2)/25)*Calculateur!BL199*Calculateur!BN199*VLOOKUP('Données projet'!$B$11,Paramètres!$A$1:$I$89,3,0)*0.475*44/12</f>
        <v>0.19560893316925457</v>
      </c>
      <c r="BR199" s="21">
        <f>EXP(-LN(2)/2)*BR198+(1-EXP(-LN(2)/2))/(LN(2)/2)*BL199*BO199*VLOOKUP('Données projet'!$B$11,Paramètres!$A$1:$I$89,3,0)*0.475*44/12</f>
        <v>6.1969464009354742E-26</v>
      </c>
      <c r="BS199" s="22">
        <f t="shared" si="169"/>
        <v>3.9844270521137646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530.75354629793264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5.6843418860808015E-14</v>
      </c>
      <c r="O200" s="13">
        <f>N200*VLOOKUP('Données projet'!$B$9,Paramètres!$A$1:$I$89,3,0)*VLOOKUP('Données projet'!$B$9,Paramètres!$A$1:$I$89,5,0)</f>
        <v>3.3992364478763198E-14</v>
      </c>
      <c r="P200" s="13">
        <f t="shared" si="203"/>
        <v>5.790027782444094E-13</v>
      </c>
      <c r="Q200" s="20">
        <f t="shared" si="162"/>
        <v>1.0676332069095257E-12</v>
      </c>
      <c r="R200" s="59">
        <f t="shared" si="191"/>
        <v>293.33333333333439</v>
      </c>
      <c r="S200" s="59">
        <f ca="1">AVERAGE(OFFSET($R$3,0,0,'Données projet'!$E$9+1,1))-AVERAGE(OFFSET($H$3,0,0,'Données projet'!$E$9+1,1))</f>
        <v>153.00981126776304</v>
      </c>
      <c r="T200" s="59">
        <f t="shared" si="204"/>
        <v>309.90400623462932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4.1366172273090704</v>
      </c>
      <c r="AA200" s="21">
        <f>EXP(-LN(2)/25)*AA199+(1-EXP(-LN(2)/25))/(LN(2)/25)*Calculateur!V200*Calculateur!X200*VLOOKUP('Données projet'!$B$9,Paramètres!$A$1:$I$89,3,0)*0.475*44/12</f>
        <v>0.20534907660248275</v>
      </c>
      <c r="AB200" s="21">
        <f>EXP(-LN(2)/2)*AB199+(1-EXP(-LN(2)/2))/(LN(2)/2)*V200*Y200*VLOOKUP('Données projet'!$B$9,Paramètres!$A$1:$I$89,3,0)*0.475*44/12</f>
        <v>5.706854956927895E-26</v>
      </c>
      <c r="AC200" s="22">
        <f t="shared" si="163"/>
        <v>4.341966303911553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1.1368683772161603E-13</v>
      </c>
      <c r="AJ200" s="13">
        <f>AI200*VLOOKUP('Données projet'!$B$10,Paramètres!$A$1:$I$89,3,0)*VLOOKUP('Données projet'!$B$10,Paramètres!$A$1:$I$89,5,0)</f>
        <v>6.7984728957526396E-14</v>
      </c>
      <c r="AK200" s="13">
        <f t="shared" si="164"/>
        <v>1.0682447123141398E-12</v>
      </c>
      <c r="AL200" s="20">
        <f t="shared" si="165"/>
        <v>1.978932943548152E-12</v>
      </c>
      <c r="AM200" s="59">
        <f t="shared" si="193"/>
        <v>293.3333333333353</v>
      </c>
      <c r="AN200" s="59">
        <f ca="1">AVERAGE(OFFSET($AM$3,0,0,'Données projet'!$E$10+1,1))-AVERAGE(OFFSET($H$3,0,0,'Données projet'!$E$10+1,1))</f>
        <v>149.5086927376081</v>
      </c>
      <c r="AO200" s="59">
        <f t="shared" si="205"/>
        <v>364.59164590134498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3.7145217065828731</v>
      </c>
      <c r="AV200" s="21">
        <f>EXP(-LN(2)/25)*AV199+(1-EXP(-LN(2)/25))/(LN(2)/25)*Calculateur!AQ200*Calculateur!AS200*VLOOKUP('Données projet'!$B$10,Paramètres!$A$1:$I$89,3,0)*0.475*44/12</f>
        <v>0.19025999660511458</v>
      </c>
      <c r="AW200" s="21">
        <f>EXP(-LN(2)/2)*AW199+(1-EXP(-LN(2)/2))/(LN(2)/2)*AQ200*AT200*VLOOKUP('Données projet'!$B$10,Paramètres!$A$1:$I$89,3,0)*0.475*44/12</f>
        <v>4.3819028227510436E-26</v>
      </c>
      <c r="AX200" s="21">
        <f t="shared" si="166"/>
        <v>3.9047817031879877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1.1368683772161603E-13</v>
      </c>
      <c r="BE200" s="13">
        <f>BD200*VLOOKUP('Données projet'!$B$11,Paramètres!$A$1:$I$89,3,0)*VLOOKUP('Données projet'!$B$11,Paramètres!$A$1:$I$89,5,0)</f>
        <v>6.7984728957526396E-14</v>
      </c>
      <c r="BF200" s="13">
        <f t="shared" si="167"/>
        <v>1.0682447123141398E-12</v>
      </c>
      <c r="BG200" s="20">
        <f t="shared" si="168"/>
        <v>1.978932943548152E-12</v>
      </c>
      <c r="BH200" s="59">
        <f t="shared" si="194"/>
        <v>293.3333333333353</v>
      </c>
      <c r="BI200" s="59">
        <f ca="1">AVERAGE(OFFSET($BH$3,0,0,'Données projet'!$E$11+1,1))-AVERAGE(OFFSET($H$3,0,0,'Données projet'!$E$11+1,1))</f>
        <v>149.5086927376081</v>
      </c>
      <c r="BJ200" s="59">
        <f t="shared" si="206"/>
        <v>364.59164590134498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3.7145217065828731</v>
      </c>
      <c r="BQ200" s="21">
        <f>EXP(-LN(2)/25)*BQ199+(1-EXP(-LN(2)/25))/(LN(2)/25)*Calculateur!BL200*Calculateur!BN200*VLOOKUP('Données projet'!$B$11,Paramètres!$A$1:$I$89,3,0)*0.475*44/12</f>
        <v>0.19025999660511458</v>
      </c>
      <c r="BR200" s="21">
        <f>EXP(-LN(2)/2)*BR199+(1-EXP(-LN(2)/2))/(LN(2)/2)*BL200*BO200*VLOOKUP('Données projet'!$B$11,Paramètres!$A$1:$I$89,3,0)*0.475*44/12</f>
        <v>4.3819028227510436E-26</v>
      </c>
      <c r="BS200" s="22">
        <f t="shared" si="169"/>
        <v>3.9047817031879877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531.9290665782396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5.6843418860808015E-14</v>
      </c>
      <c r="O201" s="13">
        <f>N201*VLOOKUP('Données projet'!$B$9,Paramètres!$A$1:$I$89,3,0)*VLOOKUP('Données projet'!$B$9,Paramètres!$A$1:$I$89,5,0)</f>
        <v>3.3992364478763198E-14</v>
      </c>
      <c r="P201" s="13">
        <f t="shared" si="203"/>
        <v>5.790027782444094E-13</v>
      </c>
      <c r="Q201" s="20">
        <f t="shared" si="162"/>
        <v>1.0676332069095257E-12</v>
      </c>
      <c r="R201" s="59">
        <f t="shared" si="191"/>
        <v>293.33333333333439</v>
      </c>
      <c r="S201" s="59">
        <f ca="1">AVERAGE(OFFSET($R$3,0,0,'Données projet'!$E$9+1,1))-AVERAGE(OFFSET($H$3,0,0,'Données projet'!$E$9+1,1))</f>
        <v>153.00981126776304</v>
      </c>
      <c r="T201" s="59">
        <f t="shared" si="204"/>
        <v>309.90400623462932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4.055500686568914</v>
      </c>
      <c r="AA201" s="21">
        <f>EXP(-LN(2)/25)*AA200+(1-EXP(-LN(2)/25))/(LN(2)/25)*Calculateur!V201*Calculateur!X201*VLOOKUP('Données projet'!$B$9,Paramètres!$A$1:$I$89,3,0)*0.475*44/12</f>
        <v>0.19973379530394925</v>
      </c>
      <c r="AB201" s="21">
        <f>EXP(-LN(2)/2)*AB200+(1-EXP(-LN(2)/2))/(LN(2)/2)*V201*Y201*VLOOKUP('Données projet'!$B$9,Paramètres!$A$1:$I$89,3,0)*0.475*44/12</f>
        <v>4.0353558392917772E-26</v>
      </c>
      <c r="AC201" s="22">
        <f t="shared" si="163"/>
        <v>4.2552344818728631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1.1368683772161603E-13</v>
      </c>
      <c r="AJ201" s="13">
        <f>AI201*VLOOKUP('Données projet'!$B$10,Paramètres!$A$1:$I$89,3,0)*VLOOKUP('Données projet'!$B$10,Paramètres!$A$1:$I$89,5,0)</f>
        <v>6.7984728957526396E-14</v>
      </c>
      <c r="AK201" s="13">
        <f t="shared" si="164"/>
        <v>1.0682447123141398E-12</v>
      </c>
      <c r="AL201" s="20">
        <f t="shared" si="165"/>
        <v>1.978932943548152E-12</v>
      </c>
      <c r="AM201" s="59">
        <f t="shared" si="193"/>
        <v>293.3333333333353</v>
      </c>
      <c r="AN201" s="59">
        <f ca="1">AVERAGE(OFFSET($AM$3,0,0,'Données projet'!$E$10+1,1))-AVERAGE(OFFSET($H$3,0,0,'Données projet'!$E$10+1,1))</f>
        <v>149.5086927376081</v>
      </c>
      <c r="AO201" s="59">
        <f t="shared" si="205"/>
        <v>364.59164590134498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3.6416822015513111</v>
      </c>
      <c r="AV201" s="21">
        <f>EXP(-LN(2)/25)*AV200+(1-EXP(-LN(2)/25))/(LN(2)/25)*Calculateur!AQ201*Calculateur!AS201*VLOOKUP('Données projet'!$B$10,Paramètres!$A$1:$I$89,3,0)*0.475*44/12</f>
        <v>0.18505732699260935</v>
      </c>
      <c r="AW201" s="21">
        <f>EXP(-LN(2)/2)*AW200+(1-EXP(-LN(2)/2))/(LN(2)/2)*AQ201*AT201*VLOOKUP('Données projet'!$B$10,Paramètres!$A$1:$I$89,3,0)*0.475*44/12</f>
        <v>3.0984732004677371E-26</v>
      </c>
      <c r="AX201" s="21">
        <f t="shared" si="166"/>
        <v>3.8267395285439205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1.1368683772161603E-13</v>
      </c>
      <c r="BE201" s="13">
        <f>BD201*VLOOKUP('Données projet'!$B$11,Paramètres!$A$1:$I$89,3,0)*VLOOKUP('Données projet'!$B$11,Paramètres!$A$1:$I$89,5,0)</f>
        <v>6.7984728957526396E-14</v>
      </c>
      <c r="BF201" s="13">
        <f t="shared" si="167"/>
        <v>1.0682447123141398E-12</v>
      </c>
      <c r="BG201" s="20">
        <f t="shared" si="168"/>
        <v>1.978932943548152E-12</v>
      </c>
      <c r="BH201" s="59">
        <f t="shared" si="194"/>
        <v>293.3333333333353</v>
      </c>
      <c r="BI201" s="59">
        <f ca="1">AVERAGE(OFFSET($BH$3,0,0,'Données projet'!$E$11+1,1))-AVERAGE(OFFSET($H$3,0,0,'Données projet'!$E$11+1,1))</f>
        <v>149.5086927376081</v>
      </c>
      <c r="BJ201" s="59">
        <f t="shared" si="206"/>
        <v>364.59164590134498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3.6416822015513111</v>
      </c>
      <c r="BQ201" s="21">
        <f>EXP(-LN(2)/25)*BQ200+(1-EXP(-LN(2)/25))/(LN(2)/25)*Calculateur!BL201*Calculateur!BN201*VLOOKUP('Données projet'!$B$11,Paramètres!$A$1:$I$89,3,0)*0.475*44/12</f>
        <v>0.18505732699260935</v>
      </c>
      <c r="BR201" s="21">
        <f>EXP(-LN(2)/2)*BR200+(1-EXP(-LN(2)/2))/(LN(2)/2)*BL201*BO201*VLOOKUP('Données projet'!$B$11,Paramètres!$A$1:$I$89,3,0)*0.475*44/12</f>
        <v>3.0984732004677371E-26</v>
      </c>
      <c r="BS201" s="22">
        <f t="shared" si="169"/>
        <v>3.8267395285439205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533.10445487664697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5.6843418860808015E-14</v>
      </c>
      <c r="O202" s="13">
        <f>N202*VLOOKUP('Données projet'!$B$9,Paramètres!$A$1:$I$89,3,0)*VLOOKUP('Données projet'!$B$9,Paramètres!$A$1:$I$89,5,0)</f>
        <v>3.3992364478763198E-14</v>
      </c>
      <c r="P202" s="13">
        <f t="shared" si="203"/>
        <v>5.790027782444094E-13</v>
      </c>
      <c r="Q202" s="20">
        <f t="shared" si="162"/>
        <v>1.0676332069095257E-12</v>
      </c>
      <c r="R202" s="59">
        <f t="shared" si="191"/>
        <v>293.33333333333439</v>
      </c>
      <c r="S202" s="59">
        <f ca="1">AVERAGE(OFFSET($R$3,0,0,'Données projet'!$E$9+1,1))-AVERAGE(OFFSET($H$3,0,0,'Données projet'!$E$9+1,1))</f>
        <v>153.00981126776304</v>
      </c>
      <c r="T202" s="59">
        <f t="shared" si="204"/>
        <v>309.90400623462932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3.9759747917164678</v>
      </c>
      <c r="AA202" s="21">
        <f>EXP(-LN(2)/25)*AA201+(1-EXP(-LN(2)/25))/(LN(2)/25)*Calculateur!V202*Calculateur!X202*VLOOKUP('Données projet'!$B$9,Paramètres!$A$1:$I$89,3,0)*0.475*44/12</f>
        <v>0.19427206416781895</v>
      </c>
      <c r="AB202" s="21">
        <f>EXP(-LN(2)/2)*AB201+(1-EXP(-LN(2)/2))/(LN(2)/2)*V202*Y202*VLOOKUP('Données projet'!$B$9,Paramètres!$A$1:$I$89,3,0)*0.475*44/12</f>
        <v>2.8534274784639475E-26</v>
      </c>
      <c r="AC202" s="22">
        <f t="shared" si="163"/>
        <v>4.1702468558842867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1.1368683772161603E-13</v>
      </c>
      <c r="AJ202" s="13">
        <f>AI202*VLOOKUP('Données projet'!$B$10,Paramètres!$A$1:$I$89,3,0)*VLOOKUP('Données projet'!$B$10,Paramètres!$A$1:$I$89,5,0)</f>
        <v>6.7984728957526396E-14</v>
      </c>
      <c r="AK202" s="13">
        <f t="shared" si="164"/>
        <v>1.0682447123141398E-12</v>
      </c>
      <c r="AL202" s="20">
        <f t="shared" si="165"/>
        <v>1.978932943548152E-12</v>
      </c>
      <c r="AM202" s="59">
        <f t="shared" si="193"/>
        <v>293.3333333333353</v>
      </c>
      <c r="AN202" s="59">
        <f ca="1">AVERAGE(OFFSET($AM$3,0,0,'Données projet'!$E$10+1,1))-AVERAGE(OFFSET($H$3,0,0,'Données projet'!$E$10+1,1))</f>
        <v>149.5086927376081</v>
      </c>
      <c r="AO202" s="59">
        <f t="shared" si="205"/>
        <v>364.59164590134498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3.5702710347857067</v>
      </c>
      <c r="AV202" s="21">
        <f>EXP(-LN(2)/25)*AV201+(1-EXP(-LN(2)/25))/(LN(2)/25)*Calculateur!AQ202*Calculateur!AS202*VLOOKUP('Données projet'!$B$10,Paramètres!$A$1:$I$89,3,0)*0.475*44/12</f>
        <v>0.17999692465425457</v>
      </c>
      <c r="AW202" s="21">
        <f>EXP(-LN(2)/2)*AW201+(1-EXP(-LN(2)/2))/(LN(2)/2)*AQ202*AT202*VLOOKUP('Données projet'!$B$10,Paramètres!$A$1:$I$89,3,0)*0.475*44/12</f>
        <v>2.1909514113755218E-26</v>
      </c>
      <c r="AX202" s="21">
        <f t="shared" si="166"/>
        <v>3.7502679594399613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1.1368683772161603E-13</v>
      </c>
      <c r="BE202" s="13">
        <f>BD202*VLOOKUP('Données projet'!$B$11,Paramètres!$A$1:$I$89,3,0)*VLOOKUP('Données projet'!$B$11,Paramètres!$A$1:$I$89,5,0)</f>
        <v>6.7984728957526396E-14</v>
      </c>
      <c r="BF202" s="13">
        <f t="shared" si="167"/>
        <v>1.0682447123141398E-12</v>
      </c>
      <c r="BG202" s="20">
        <f t="shared" si="168"/>
        <v>1.978932943548152E-12</v>
      </c>
      <c r="BH202" s="59">
        <f t="shared" si="194"/>
        <v>293.3333333333353</v>
      </c>
      <c r="BI202" s="59">
        <f ca="1">AVERAGE(OFFSET($BH$3,0,0,'Données projet'!$E$11+1,1))-AVERAGE(OFFSET($H$3,0,0,'Données projet'!$E$11+1,1))</f>
        <v>149.5086927376081</v>
      </c>
      <c r="BJ202" s="59">
        <f t="shared" si="206"/>
        <v>364.59164590134498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3.5702710347857067</v>
      </c>
      <c r="BQ202" s="21">
        <f>EXP(-LN(2)/25)*BQ201+(1-EXP(-LN(2)/25))/(LN(2)/25)*Calculateur!BL202*Calculateur!BN202*VLOOKUP('Données projet'!$B$11,Paramètres!$A$1:$I$89,3,0)*0.475*44/12</f>
        <v>0.17999692465425457</v>
      </c>
      <c r="BR202" s="21">
        <f>EXP(-LN(2)/2)*BR201+(1-EXP(-LN(2)/2))/(LN(2)/2)*BL202*BO202*VLOOKUP('Données projet'!$B$11,Paramètres!$A$1:$I$89,3,0)*0.475*44/12</f>
        <v>2.1909514113755218E-26</v>
      </c>
      <c r="BS202" s="22">
        <f t="shared" si="169"/>
        <v>3.7502679594399613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6" thickBot="1" x14ac:dyDescent="0.2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534.27971193336975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5.6843418860808015E-14</v>
      </c>
      <c r="O203" s="13">
        <f>N203*VLOOKUP('Données projet'!$B$9,Paramètres!$A$1:$I$89,3,0)*VLOOKUP('Données projet'!$B$9,Paramètres!$A$1:$I$89,5,0)</f>
        <v>3.3992364478763198E-14</v>
      </c>
      <c r="P203" s="13">
        <f t="shared" si="203"/>
        <v>5.790027782444094E-13</v>
      </c>
      <c r="Q203" s="20">
        <f t="shared" si="162"/>
        <v>1.0676332069095257E-12</v>
      </c>
      <c r="R203" s="59">
        <f t="shared" si="191"/>
        <v>293.33333333333439</v>
      </c>
      <c r="S203" s="59">
        <f ca="1">AVERAGE(OFFSET($R$3,0,0,'Données projet'!$E$9+1,1))-AVERAGE(OFFSET($H$3,0,0,'Données projet'!$E$9+1,1))</f>
        <v>153.00981126776304</v>
      </c>
      <c r="T203" s="59">
        <f t="shared" si="204"/>
        <v>309.90400623462932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3.8980083511560717</v>
      </c>
      <c r="AA203" s="21">
        <f>EXP(-LN(2)/25)*AA202+(1-EXP(-LN(2)/25))/(LN(2)/25)*Calculateur!V203*Calculateur!X203*VLOOKUP('Données projet'!$B$9,Paramètres!$A$1:$I$89,3,0)*0.475*44/12</f>
        <v>0.18895968435682609</v>
      </c>
      <c r="AB203" s="21">
        <f>EXP(-LN(2)/2)*AB202+(1-EXP(-LN(2)/2))/(LN(2)/2)*V203*Y203*VLOOKUP('Données projet'!$B$9,Paramètres!$A$1:$I$89,3,0)*0.475*44/12</f>
        <v>2.0176779196458886E-26</v>
      </c>
      <c r="AC203" s="22">
        <f t="shared" si="163"/>
        <v>4.0869680355128981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1.1368683772161603E-13</v>
      </c>
      <c r="AJ203" s="13">
        <f>AI203*VLOOKUP('Données projet'!$B$10,Paramètres!$A$1:$I$89,3,0)*VLOOKUP('Données projet'!$B$10,Paramètres!$A$1:$I$89,5,0)</f>
        <v>6.7984728957526396E-14</v>
      </c>
      <c r="AK203" s="13">
        <f t="shared" si="164"/>
        <v>1.0682447123141398E-12</v>
      </c>
      <c r="AL203" s="20">
        <f t="shared" si="165"/>
        <v>1.978932943548152E-12</v>
      </c>
      <c r="AM203" s="59">
        <f t="shared" si="193"/>
        <v>293.3333333333353</v>
      </c>
      <c r="AN203" s="59">
        <f ca="1">AVERAGE(OFFSET($AM$3,0,0,'Données projet'!$E$10+1,1))-AVERAGE(OFFSET($H$3,0,0,'Données projet'!$E$10+1,1))</f>
        <v>149.5086927376081</v>
      </c>
      <c r="AO203" s="59">
        <f t="shared" si="205"/>
        <v>364.59164590134498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3.5002601974438652</v>
      </c>
      <c r="AV203" s="21">
        <f>EXP(-LN(2)/25)*AV202+(1-EXP(-LN(2)/25))/(LN(2)/25)*Calculateur!AQ203*Calculateur!AS203*VLOOKUP('Données projet'!$B$10,Paramètres!$A$1:$I$89,3,0)*0.475*44/12</f>
        <v>0.17507489928395709</v>
      </c>
      <c r="AW203" s="21">
        <f>EXP(-LN(2)/2)*AW202+(1-EXP(-LN(2)/2))/(LN(2)/2)*AQ203*AT203*VLOOKUP('Données projet'!$B$10,Paramètres!$A$1:$I$89,3,0)*0.475*44/12</f>
        <v>1.5492366002338685E-26</v>
      </c>
      <c r="AX203" s="21">
        <f t="shared" si="166"/>
        <v>3.6753350967278222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1.1368683772161603E-13</v>
      </c>
      <c r="BE203" s="13">
        <f>BD203*VLOOKUP('Données projet'!$B$11,Paramètres!$A$1:$I$89,3,0)*VLOOKUP('Données projet'!$B$11,Paramètres!$A$1:$I$89,5,0)</f>
        <v>6.7984728957526396E-14</v>
      </c>
      <c r="BF203" s="13">
        <f t="shared" si="167"/>
        <v>1.0682447123141398E-12</v>
      </c>
      <c r="BG203" s="20">
        <f t="shared" si="168"/>
        <v>1.978932943548152E-12</v>
      </c>
      <c r="BH203" s="59">
        <f t="shared" si="194"/>
        <v>293.3333333333353</v>
      </c>
      <c r="BI203" s="59">
        <f ca="1">AVERAGE(OFFSET($BH$3,0,0,'Données projet'!$E$11+1,1))-AVERAGE(OFFSET($H$3,0,0,'Données projet'!$E$11+1,1))</f>
        <v>149.5086927376081</v>
      </c>
      <c r="BJ203" s="59">
        <f t="shared" si="206"/>
        <v>364.59164590134498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3.5002601974438652</v>
      </c>
      <c r="BQ203" s="21">
        <f>EXP(-LN(2)/25)*BQ202+(1-EXP(-LN(2)/25))/(LN(2)/25)*Calculateur!BL203*Calculateur!BN203*VLOOKUP('Données projet'!$B$11,Paramètres!$A$1:$I$89,3,0)*0.475*44/12</f>
        <v>0.17507489928395709</v>
      </c>
      <c r="BR203" s="21">
        <f>EXP(-LN(2)/2)*BR202+(1-EXP(-LN(2)/2))/(LN(2)/2)*BL203*BO203*VLOOKUP('Données projet'!$B$11,Paramètres!$A$1:$I$89,3,0)*0.475*44/12</f>
        <v>1.5492366002338685E-26</v>
      </c>
      <c r="BS203" s="22">
        <f t="shared" si="169"/>
        <v>3.6753350967278222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7" thickBot="1" x14ac:dyDescent="0.2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6" thickBot="1" x14ac:dyDescent="0.2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1.4261938757879591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1.4749438547769935</v>
      </c>
      <c r="BA205" s="82">
        <f>EXP(LN('Données projet'!B88)/'Données projet'!A88)</f>
        <v>1.4749438547769935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5" defaultRowHeight="15" x14ac:dyDescent="0.2"/>
  <cols>
    <col min="1" max="1" width="23.5" style="4" bestFit="1" customWidth="1"/>
    <col min="2" max="2" width="27.6640625" style="4" bestFit="1" customWidth="1"/>
    <col min="3" max="3" width="11.83203125" style="4" bestFit="1" customWidth="1"/>
    <col min="4" max="4" width="40" style="4" bestFit="1" customWidth="1"/>
    <col min="5" max="5" width="11.83203125" style="4" bestFit="1" customWidth="1"/>
    <col min="6" max="6" width="13.6640625" style="4" bestFit="1" customWidth="1"/>
    <col min="7" max="7" width="11.5" style="4" bestFit="1" customWidth="1"/>
    <col min="8" max="8" width="39" style="4" bestFit="1" customWidth="1"/>
    <col min="9" max="9" width="16.6640625" style="4" customWidth="1"/>
    <col min="10" max="14" width="11.5" style="4"/>
    <col min="15" max="15" width="23.5" style="4" bestFit="1" customWidth="1"/>
    <col min="16" max="16384" width="11.5" style="4"/>
  </cols>
  <sheetData>
    <row r="1" spans="1:16" ht="49" thickBot="1" x14ac:dyDescent="0.2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6" thickBot="1" x14ac:dyDescent="0.2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6" thickBot="1" x14ac:dyDescent="0.2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2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2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6" thickBot="1" x14ac:dyDescent="0.2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6" thickBot="1" x14ac:dyDescent="0.2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6" thickBot="1" x14ac:dyDescent="0.2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2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2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6" thickBot="1" x14ac:dyDescent="0.2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">
      <c r="A93" s="122" t="s">
        <v>208</v>
      </c>
    </row>
    <row r="94" spans="1:14" x14ac:dyDescent="0.2">
      <c r="A94" s="122" t="s">
        <v>209</v>
      </c>
    </row>
    <row r="95" spans="1:14" x14ac:dyDescent="0.2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141" zoomScaleNormal="90" workbookViewId="0">
      <selection activeCell="O15" sqref="O15"/>
    </sheetView>
  </sheetViews>
  <sheetFormatPr baseColWidth="10" defaultColWidth="11.5" defaultRowHeight="15" x14ac:dyDescent="0.2"/>
  <cols>
    <col min="1" max="1" width="22.83203125" style="1" bestFit="1" customWidth="1"/>
    <col min="2" max="2" width="10.5" style="1" bestFit="1" customWidth="1"/>
    <col min="3" max="3" width="15.5" style="1" bestFit="1" customWidth="1"/>
    <col min="4" max="4" width="13.5" style="1" bestFit="1" customWidth="1"/>
    <col min="5" max="8" width="11.5" style="1"/>
    <col min="9" max="13" width="11.5" style="62"/>
    <col min="14" max="15" width="11.5" style="1"/>
    <col min="16" max="17" width="13.5" style="1" customWidth="1"/>
    <col min="18" max="16384" width="11.5" style="1"/>
  </cols>
  <sheetData>
    <row r="1" spans="1:62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3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6" thickBot="1" x14ac:dyDescent="0.2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65" thickBot="1" x14ac:dyDescent="0.2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">
      <c r="A6" s="145" t="str">
        <f>IF('Données projet'!$B$9="","",'Données projet'!$B$9)</f>
        <v>Pin maritime</v>
      </c>
      <c r="B6" s="146">
        <f>'Données projet'!D9</f>
        <v>8.0925000000000011</v>
      </c>
      <c r="C6" s="147">
        <f ca="1">IF(OR('Données projet'!B9="",'Données projet'!C9="",'Données projet'!C9=0%),0,Calculateur!S3)</f>
        <v>153.00981126776304</v>
      </c>
      <c r="D6" s="147">
        <f>IF(OR('Données projet'!B9="",'Données projet'!C9="",'Données projet'!C9=0%),0,Calculateur!T3)</f>
        <v>309.90400623462932</v>
      </c>
      <c r="E6" s="147">
        <f ca="1">MIN(C6,D6)</f>
        <v>153.00981126776304</v>
      </c>
      <c r="F6" s="147">
        <f ca="1">E6*B6</f>
        <v>1238.2318976843726</v>
      </c>
      <c r="G6" s="147">
        <f ca="1">F6*(100%-'Données projet'!$C$24)*(100%-'Données projet'!$C$25)*(100%-'Données projet'!$C$26)*(100%-'Données projet'!$C$27)</f>
        <v>947.24740172854501</v>
      </c>
      <c r="H6" s="148">
        <f>IF(OR('Données projet'!B9="",'Données projet'!C9="",'Données projet'!C9=0%),0,AVERAGE(Calculateur!$AC$3:$AC$33)*B6)</f>
        <v>88.794845501213103</v>
      </c>
      <c r="I6" s="149">
        <f>H6*(100%-'Données projet'!$C$24)*(100%-'Données projet'!$C$25)*(100%-'Données projet'!$C$26)*(100%-'Données projet'!$C$27)</f>
        <v>67.928056808428025</v>
      </c>
      <c r="J6" s="150">
        <f>IF(OR('Données projet'!B9="",'Données projet'!C9="",'Données projet'!C9=0%),0,SUM(Calculateur!$V$3:$V$33)*VLOOKUP('Données projet'!$B$9,Paramètres!$A$1:$I$89,9,0)*B6)</f>
        <v>572.94900000000007</v>
      </c>
      <c r="K6" s="151">
        <f>J6*(100%-'Données projet'!$C$24)*(100%-'Données projet'!$C$25)*(100%-'Données projet'!$C$26)*(100%-'Données projet'!$C$27)</f>
        <v>438.30598500000008</v>
      </c>
      <c r="L6" s="152">
        <f ca="1">G6+I6+K6</f>
        <v>1453.4814435369731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">
      <c r="A7" s="153" t="str">
        <f>IF('Données projet'!$B$10="","",'Données projet'!$B$10)</f>
        <v>Pin taeda</v>
      </c>
      <c r="B7" s="154">
        <f>'Données projet'!D10</f>
        <v>12.450000000000001</v>
      </c>
      <c r="C7" s="147">
        <f ca="1">IF(OR('Données projet'!B10="",'Données projet'!C10="",'Données projet'!C10=0%),0,Calculateur!AN3)</f>
        <v>149.5086927376081</v>
      </c>
      <c r="D7" s="147">
        <f>IF(OR('Données projet'!B10="",'Données projet'!C10="",'Données projet'!C10=0%),0,Calculateur!AO3)</f>
        <v>364.59164590134498</v>
      </c>
      <c r="E7" s="147">
        <f t="shared" ref="E7:E15" ca="1" si="0">MIN(C7,D7)</f>
        <v>149.5086927376081</v>
      </c>
      <c r="F7" s="147">
        <f t="shared" ref="F7:F15" ca="1" si="1">E7*B7</f>
        <v>1861.3832245832209</v>
      </c>
      <c r="G7" s="147">
        <f ca="1">F7*(100%-'Données projet'!$C$24)*(100%-'Données projet'!$C$25)*(100%-'Données projet'!$C$26)*(100%-'Données projet'!$C$27)</f>
        <v>1423.9581668061639</v>
      </c>
      <c r="H7" s="155">
        <f>IF(OR('Données projet'!B10="",'Données projet'!C10="",'Données projet'!C10=0%),0,AVERAGE(Calculateur!$AX$3:$AX$33)*B7)</f>
        <v>199.38786000805541</v>
      </c>
      <c r="I7" s="149">
        <f>H7*(100%-'Données projet'!$C$24)*(100%-'Données projet'!$C$25)*(100%-'Données projet'!$C$26)*(100%-'Données projet'!$C$27)</f>
        <v>152.53171290616237</v>
      </c>
      <c r="J7" s="150">
        <f>IF(OR('Données projet'!B10="",'Données projet'!C10="",'Données projet'!C10=0%),0,SUM(Calculateur!$AQ$3:$AQ$33)*VLOOKUP('Données projet'!$B$10,Paramètres!$A$1:$I$89,9,0)*B7)</f>
        <v>2366.2470000000003</v>
      </c>
      <c r="K7" s="151">
        <f>J7*(100%-'Données projet'!$C$24)*(100%-'Données projet'!$C$25)*(100%-'Données projet'!$C$26)*(100%-'Données projet'!$C$27)</f>
        <v>1810.1789550000003</v>
      </c>
      <c r="L7" s="152">
        <f t="shared" ref="L7:L15" ca="1" si="2">G7+I7+K7</f>
        <v>3386.6688347123263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">
      <c r="A8" s="153" t="str">
        <f>IF('Données projet'!$B$11="","",'Données projet'!$B$11)</f>
        <v>Pin maritime</v>
      </c>
      <c r="B8" s="154">
        <f>'Données projet'!D11</f>
        <v>41.707500000000003</v>
      </c>
      <c r="C8" s="147">
        <f ca="1">IF(OR('Données projet'!B11="",'Données projet'!C11="",'Données projet'!C11=0%),0,Calculateur!BI3)</f>
        <v>149.5086927376081</v>
      </c>
      <c r="D8" s="147">
        <f>IF(OR('Données projet'!B11="",'Données projet'!C11="",'Données projet'!C11=0%),0,Calculateur!BJ3)</f>
        <v>364.59164590134498</v>
      </c>
      <c r="E8" s="147">
        <f t="shared" ca="1" si="0"/>
        <v>149.5086927376081</v>
      </c>
      <c r="F8" s="147">
        <f t="shared" ca="1" si="1"/>
        <v>6235.6338023537901</v>
      </c>
      <c r="G8" s="147">
        <f ca="1">F8*(100%-'Données projet'!$C$24)*(100%-'Données projet'!$C$25)*(100%-'Données projet'!$C$26)*(100%-'Données projet'!$C$27)</f>
        <v>4770.2598588006495</v>
      </c>
      <c r="H8" s="155">
        <f>IF(OR('Données projet'!B11="",'Données projet'!C11="",'Données projet'!C11=0%),0,AVERAGE(Calculateur!$BS$3:$BS$33)*B8)</f>
        <v>667.94933102698565</v>
      </c>
      <c r="I8" s="149">
        <f>H8*(100%-'Données projet'!$C$24)*(100%-'Données projet'!$C$25)*(100%-'Données projet'!$C$26)*(100%-'Données projet'!$C$27)</f>
        <v>510.98123823564401</v>
      </c>
      <c r="J8" s="150">
        <f>IF(OR('Données projet'!B11="",'Données projet'!C11="",'Données projet'!C11=0%),0,SUM(Calculateur!$BL$3:$BL$33)*VLOOKUP('Données projet'!$B$11,Paramètres!$A$1:$I$89,9,0)*B8)</f>
        <v>10876.48185</v>
      </c>
      <c r="K8" s="151">
        <f>J8*(100%-'Données projet'!$C$24)*(100%-'Données projet'!$C$25)*(100%-'Données projet'!$C$26)*(100%-'Données projet'!$C$27)</f>
        <v>8320.5086152500007</v>
      </c>
      <c r="L8" s="152">
        <f t="shared" ca="1" si="2"/>
        <v>13601.749712286295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6" thickBot="1" x14ac:dyDescent="0.2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6" thickBot="1" x14ac:dyDescent="0.25">
      <c r="A16" s="209"/>
      <c r="B16" s="213"/>
      <c r="C16" s="214"/>
      <c r="D16" s="23"/>
      <c r="E16" s="23"/>
      <c r="F16" s="165">
        <f t="shared" ref="F16:L16" ca="1" si="3">SUM(F6:F15)</f>
        <v>9335.2489246213845</v>
      </c>
      <c r="G16" s="166">
        <f t="shared" ca="1" si="3"/>
        <v>7141.465427335359</v>
      </c>
      <c r="H16" s="167">
        <f t="shared" si="3"/>
        <v>956.13203653625419</v>
      </c>
      <c r="I16" s="167">
        <f t="shared" si="3"/>
        <v>731.44100795023439</v>
      </c>
      <c r="J16" s="168">
        <f t="shared" si="3"/>
        <v>13815.67785</v>
      </c>
      <c r="K16" s="168">
        <f t="shared" si="3"/>
        <v>10568.993555250001</v>
      </c>
      <c r="L16" s="169">
        <f t="shared" ca="1" si="3"/>
        <v>18441.899990535596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6" thickBot="1" x14ac:dyDescent="0.2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6" thickBot="1" x14ac:dyDescent="0.25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6" thickBot="1" x14ac:dyDescent="0.2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6" thickBot="1" x14ac:dyDescent="0.25">
      <c r="A39" s="170" t="str">
        <f>A7</f>
        <v>Pin taeda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6" thickBot="1" x14ac:dyDescent="0.2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6" thickBot="1" x14ac:dyDescent="0.25">
      <c r="A57" s="170" t="str">
        <f>A8</f>
        <v>Pin maritime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6" thickBot="1" x14ac:dyDescent="0.2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6" thickBot="1" x14ac:dyDescent="0.25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6" thickBot="1" x14ac:dyDescent="0.2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6" thickBot="1" x14ac:dyDescent="0.2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6" thickBot="1" x14ac:dyDescent="0.2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6" thickBot="1" x14ac:dyDescent="0.2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6" thickBot="1" x14ac:dyDescent="0.2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6" thickBot="1" x14ac:dyDescent="0.2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6" thickBot="1" x14ac:dyDescent="0.2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6" thickBot="1" x14ac:dyDescent="0.2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6" thickBot="1" x14ac:dyDescent="0.2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6" thickBot="1" x14ac:dyDescent="0.2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6" thickBot="1" x14ac:dyDescent="0.2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6" thickBot="1" x14ac:dyDescent="0.2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A8" zoomScale="125" zoomScaleNormal="80" workbookViewId="0">
      <selection activeCell="G23" sqref="G23"/>
    </sheetView>
  </sheetViews>
  <sheetFormatPr baseColWidth="10" defaultColWidth="11.5" defaultRowHeight="15" x14ac:dyDescent="0.2"/>
  <cols>
    <col min="1" max="1" width="11.5" style="1"/>
    <col min="2" max="2" width="30.83203125" style="1" bestFit="1" customWidth="1"/>
    <col min="3" max="3" width="18.1640625" style="1" bestFit="1" customWidth="1"/>
    <col min="4" max="5" width="11.5" style="1"/>
    <col min="6" max="6" width="14" style="1" customWidth="1"/>
    <col min="7" max="7" width="17.5" style="1" customWidth="1"/>
    <col min="8" max="8" width="21.6640625" style="1" customWidth="1"/>
    <col min="9" max="9" width="37" style="1" customWidth="1"/>
    <col min="10" max="10" width="11.5" style="1"/>
    <col min="11" max="11" width="8.83203125" style="1" customWidth="1"/>
    <col min="12" max="12" width="11.5" style="1"/>
    <col min="13" max="13" width="21" style="1" customWidth="1"/>
    <col min="14" max="16" width="11.5" style="1"/>
    <col min="17" max="17" width="8" style="1" customWidth="1"/>
    <col min="18" max="18" width="11.5" style="1"/>
    <col min="19" max="19" width="31" style="1" customWidth="1"/>
    <col min="20" max="20" width="18.1640625" style="1" customWidth="1"/>
    <col min="21" max="21" width="16.5" style="1" customWidth="1"/>
    <col min="22" max="22" width="17.83203125" style="1" customWidth="1"/>
    <col min="23" max="16384" width="11.5" style="1"/>
  </cols>
  <sheetData>
    <row r="1" spans="1:42" ht="16" thickBo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3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">
      <c r="A4" s="4"/>
      <c r="B4" s="4"/>
      <c r="C4" s="4"/>
      <c r="D4" s="4"/>
      <c r="E4" s="4"/>
      <c r="G4" s="4"/>
      <c r="H4" s="258" t="s">
        <v>315</v>
      </c>
      <c r="I4" s="258"/>
      <c r="K4" s="300" t="s">
        <v>253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6" thickBot="1" x14ac:dyDescent="0.2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3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2" t="s">
        <v>310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-7.5437997861859003</v>
      </c>
      <c r="U10" s="178">
        <f>'Données projet'!D9</f>
        <v>8.0925000000000011</v>
      </c>
      <c r="V10" s="177">
        <f>U10*T10</f>
        <v>-61.048199769709406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Pin taeda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-762.6666654611513</v>
      </c>
      <c r="U11" s="178">
        <f>'Données projet'!D10</f>
        <v>12.450000000000001</v>
      </c>
      <c r="V11" s="177">
        <f t="shared" ref="V11" si="0">U11*T11</f>
        <v>-9495.1999849913336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Pin maritime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542.96132613455802</v>
      </c>
      <c r="U12" s="178">
        <f>'Données projet'!D11</f>
        <v>41.707500000000003</v>
      </c>
      <c r="V12" s="177">
        <f t="shared" ref="V12:V19" si="1">U12*T12</f>
        <v>22645.55950975708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">
      <c r="A15" s="4"/>
      <c r="B15" s="4"/>
      <c r="C15" s="4"/>
      <c r="D15" s="4"/>
      <c r="E15" s="4"/>
      <c r="F15" s="230"/>
      <c r="G15" s="303" t="s">
        <v>318</v>
      </c>
      <c r="H15" s="190"/>
      <c r="I15" s="191">
        <v>0</v>
      </c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3"/>
      <c r="H16" s="190"/>
      <c r="I16" s="191">
        <v>0</v>
      </c>
      <c r="J16" s="202"/>
      <c r="K16" s="208"/>
      <c r="L16" s="300" t="s">
        <v>254</v>
      </c>
      <c r="M16" s="301"/>
      <c r="N16" s="2">
        <v>50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ht="16" x14ac:dyDescent="0.2">
      <c r="A17" s="49">
        <v>0</v>
      </c>
      <c r="B17" s="199" t="s">
        <v>132</v>
      </c>
      <c r="C17" s="198" t="s">
        <v>132</v>
      </c>
      <c r="D17" s="197" t="s">
        <v>132</v>
      </c>
      <c r="E17" s="193">
        <v>676</v>
      </c>
      <c r="F17" s="230"/>
      <c r="G17" s="303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49.999999999999964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ht="16" x14ac:dyDescent="0.2">
      <c r="A18" s="49">
        <v>1</v>
      </c>
      <c r="B18" s="199" t="s">
        <v>132</v>
      </c>
      <c r="C18" s="198" t="s">
        <v>132</v>
      </c>
      <c r="D18" s="197" t="s">
        <v>132</v>
      </c>
      <c r="E18" s="193">
        <v>960</v>
      </c>
      <c r="F18" s="230">
        <v>285</v>
      </c>
      <c r="G18" s="303"/>
      <c r="J18" s="202"/>
      <c r="K18" s="208"/>
      <c r="L18" s="260" t="s">
        <v>255</v>
      </c>
      <c r="M18" s="262"/>
      <c r="N18" s="192">
        <v>20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">
      <c r="A19" s="49">
        <v>2</v>
      </c>
      <c r="B19" s="199" t="s">
        <v>132</v>
      </c>
      <c r="C19" s="198" t="s">
        <v>132</v>
      </c>
      <c r="D19" s="197" t="s">
        <v>132</v>
      </c>
      <c r="E19" s="193">
        <v>1038</v>
      </c>
      <c r="F19" s="230"/>
      <c r="G19" s="303"/>
      <c r="H19" s="212" t="s">
        <v>178</v>
      </c>
      <c r="I19" s="212" t="s">
        <v>287</v>
      </c>
      <c r="J19" s="93"/>
      <c r="K19" s="173"/>
      <c r="L19" s="300" t="s">
        <v>288</v>
      </c>
      <c r="M19" s="301"/>
      <c r="N19" s="179">
        <f>N17*N18</f>
        <v>999.99999999999932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ht="16" x14ac:dyDescent="0.2">
      <c r="A20" s="49">
        <v>3</v>
      </c>
      <c r="B20" s="199" t="s">
        <v>132</v>
      </c>
      <c r="C20" s="198" t="s">
        <v>132</v>
      </c>
      <c r="D20" s="197" t="s">
        <v>132</v>
      </c>
      <c r="E20" s="193">
        <v>805</v>
      </c>
      <c r="F20" s="230"/>
      <c r="G20" s="303"/>
      <c r="H20" s="190">
        <v>0</v>
      </c>
      <c r="I20" s="191">
        <v>6000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ht="16" x14ac:dyDescent="0.2">
      <c r="A21" s="49">
        <v>4</v>
      </c>
      <c r="B21" s="199" t="s">
        <v>132</v>
      </c>
      <c r="C21" s="198" t="s">
        <v>132</v>
      </c>
      <c r="D21" s="197" t="s">
        <v>132</v>
      </c>
      <c r="E21" s="193">
        <v>475</v>
      </c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">
      <c r="A22" s="49">
        <v>5</v>
      </c>
      <c r="B22" s="199" t="s">
        <v>132</v>
      </c>
      <c r="C22" s="198" t="s">
        <v>132</v>
      </c>
      <c r="D22" s="197" t="s">
        <v>132</v>
      </c>
      <c r="E22" s="193">
        <v>475</v>
      </c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">
      <c r="A23" s="180">
        <f>'Données projet'!A36</f>
        <v>13</v>
      </c>
      <c r="B23" s="181">
        <f>'Données projet'!D36</f>
        <v>28</v>
      </c>
      <c r="C23" s="193">
        <v>10</v>
      </c>
      <c r="D23" s="182">
        <f>B23*C23</f>
        <v>280</v>
      </c>
      <c r="E23" s="193">
        <f>D23*0.07</f>
        <v>19.600000000000001</v>
      </c>
      <c r="F23" s="230"/>
      <c r="H23" s="190"/>
      <c r="I23" s="191"/>
      <c r="K23" s="208"/>
      <c r="L23" s="302" t="s">
        <v>260</v>
      </c>
      <c r="M23" s="302"/>
      <c r="N23" s="302"/>
      <c r="O23" s="23"/>
      <c r="P23" s="23"/>
      <c r="Q23" s="234"/>
      <c r="R23" s="23"/>
      <c r="S23" s="36" t="s">
        <v>264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-449718.54100816819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">
      <c r="A24" s="180">
        <f>'Données projet'!A37</f>
        <v>18</v>
      </c>
      <c r="B24" s="181">
        <f>'Données projet'!D37</f>
        <v>40</v>
      </c>
      <c r="C24" s="193">
        <v>18</v>
      </c>
      <c r="D24" s="182">
        <f t="shared" ref="D24:D42" si="2">B24*C24</f>
        <v>720</v>
      </c>
      <c r="E24" s="193">
        <f t="shared" ref="E24:E26" si="3">D24*0.07</f>
        <v>50.400000000000006</v>
      </c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6891.675710361842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">
      <c r="A25" s="180">
        <f>'Données projet'!A38</f>
        <v>23</v>
      </c>
      <c r="B25" s="181">
        <f>'Données projet'!D38</f>
        <v>52</v>
      </c>
      <c r="C25" s="193">
        <v>30</v>
      </c>
      <c r="D25" s="182">
        <f t="shared" si="2"/>
        <v>1560</v>
      </c>
      <c r="E25" s="193">
        <f t="shared" si="3"/>
        <v>109.20000000000002</v>
      </c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299">
        <f ca="1">T23-T24</f>
        <v>-456610.21671853005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">
      <c r="A26" s="180">
        <f>'Données projet'!A39</f>
        <v>34</v>
      </c>
      <c r="B26" s="181">
        <f>'Données projet'!D39</f>
        <v>325</v>
      </c>
      <c r="C26" s="193">
        <v>45</v>
      </c>
      <c r="D26" s="182">
        <f t="shared" si="2"/>
        <v>14625</v>
      </c>
      <c r="E26" s="193">
        <f t="shared" si="3"/>
        <v>1023.7500000000001</v>
      </c>
      <c r="F26" s="233"/>
      <c r="G26" s="229"/>
      <c r="H26" s="190"/>
      <c r="I26" s="191"/>
      <c r="K26" s="208"/>
      <c r="L26" s="286" t="s">
        <v>258</v>
      </c>
      <c r="M26" s="287"/>
      <c r="N26" s="287"/>
      <c r="O26" s="287"/>
      <c r="P26" s="288"/>
      <c r="Q26" s="234"/>
      <c r="R26" s="23"/>
      <c r="S26" s="186" t="s">
        <v>265</v>
      </c>
      <c r="T26" s="296" t="str">
        <f ca="1">IF(T25&lt;0,"Votre projet est additionnel","Votre projet n'est pas additionnel")</f>
        <v>Votre projet est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">
      <c r="A27" s="180">
        <f>'Données projet'!A40</f>
        <v>0</v>
      </c>
      <c r="B27" s="181">
        <f>'Données projet'!D40</f>
        <v>0</v>
      </c>
      <c r="C27" s="193"/>
      <c r="D27" s="182">
        <f t="shared" si="2"/>
        <v>0</v>
      </c>
      <c r="E27" s="193"/>
      <c r="F27" s="233"/>
      <c r="G27" s="229"/>
      <c r="H27" s="190"/>
      <c r="I27" s="191"/>
      <c r="K27" s="208"/>
      <c r="L27" s="289"/>
      <c r="M27" s="290"/>
      <c r="N27" s="290"/>
      <c r="O27" s="290"/>
      <c r="P27" s="291"/>
      <c r="Q27" s="234"/>
      <c r="R27" s="23"/>
      <c r="S27" s="295" t="s">
        <v>267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">
      <c r="A28" s="180">
        <f>'Données projet'!A41</f>
        <v>0</v>
      </c>
      <c r="B28" s="181">
        <f>'Données projet'!D41</f>
        <v>0</v>
      </c>
      <c r="C28" s="193"/>
      <c r="D28" s="182">
        <f t="shared" si="2"/>
        <v>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">
      <c r="A29" s="180">
        <f>'Données projet'!A42</f>
        <v>0</v>
      </c>
      <c r="B29" s="181">
        <f>'Données projet'!D42</f>
        <v>0</v>
      </c>
      <c r="C29" s="193"/>
      <c r="D29" s="182">
        <f t="shared" si="2"/>
        <v>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">
      <c r="A30" s="180">
        <f>'Données projet'!A43</f>
        <v>0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4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4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4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4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4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4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4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>
        <v>20</v>
      </c>
      <c r="I40" s="191">
        <v>3460</v>
      </c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4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4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4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4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4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">
      <c r="A45" s="46" t="s">
        <v>166</v>
      </c>
      <c r="B45" s="174" t="str">
        <f>IF('Données projet'!$B$10="","",'Données projet'!$B$10)</f>
        <v>Pin taeda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4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4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4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ht="16" x14ac:dyDescent="0.2">
      <c r="A48" s="49">
        <v>0</v>
      </c>
      <c r="B48" s="199" t="s">
        <v>132</v>
      </c>
      <c r="C48" s="198" t="s">
        <v>132</v>
      </c>
      <c r="D48" s="197" t="s">
        <v>132</v>
      </c>
      <c r="E48" s="193">
        <v>676</v>
      </c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4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">
      <c r="A49" s="49">
        <v>1</v>
      </c>
      <c r="B49" s="199" t="s">
        <v>132</v>
      </c>
      <c r="C49" s="198" t="s">
        <v>132</v>
      </c>
      <c r="D49" s="197" t="s">
        <v>132</v>
      </c>
      <c r="E49" s="193">
        <v>960</v>
      </c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4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ht="16" x14ac:dyDescent="0.2">
      <c r="A50" s="49">
        <v>2</v>
      </c>
      <c r="B50" s="199" t="s">
        <v>132</v>
      </c>
      <c r="C50" s="198" t="s">
        <v>132</v>
      </c>
      <c r="D50" s="197" t="s">
        <v>132</v>
      </c>
      <c r="E50" s="193">
        <v>1038</v>
      </c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4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ht="16" x14ac:dyDescent="0.2">
      <c r="A51" s="49">
        <v>3</v>
      </c>
      <c r="B51" s="199" t="s">
        <v>132</v>
      </c>
      <c r="C51" s="198" t="s">
        <v>132</v>
      </c>
      <c r="D51" s="197" t="s">
        <v>132</v>
      </c>
      <c r="E51" s="193">
        <v>805</v>
      </c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4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ht="16" x14ac:dyDescent="0.2">
      <c r="A52" s="49">
        <v>4</v>
      </c>
      <c r="B52" s="199" t="s">
        <v>132</v>
      </c>
      <c r="C52" s="198" t="s">
        <v>132</v>
      </c>
      <c r="D52" s="197" t="s">
        <v>132</v>
      </c>
      <c r="E52" s="193">
        <v>475</v>
      </c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4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">
      <c r="A53" s="49">
        <v>5</v>
      </c>
      <c r="B53" s="199" t="s">
        <v>132</v>
      </c>
      <c r="C53" s="198" t="s">
        <v>132</v>
      </c>
      <c r="D53" s="197" t="s">
        <v>132</v>
      </c>
      <c r="E53" s="193">
        <v>475</v>
      </c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4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">
      <c r="A54" s="180">
        <f>'Données projet'!A62</f>
        <v>12</v>
      </c>
      <c r="B54" s="181">
        <f>'Données projet'!D62</f>
        <v>34</v>
      </c>
      <c r="C54" s="191">
        <v>10</v>
      </c>
      <c r="D54" s="179">
        <f>B54*C54</f>
        <v>340</v>
      </c>
      <c r="E54" s="193">
        <f>D54*0.07</f>
        <v>23.8</v>
      </c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4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">
      <c r="A55" s="180">
        <f>'Données projet'!A63</f>
        <v>17</v>
      </c>
      <c r="B55" s="181">
        <f>'Données projet'!D63</f>
        <v>43</v>
      </c>
      <c r="C55" s="191">
        <v>15</v>
      </c>
      <c r="D55" s="179">
        <f t="shared" ref="D55:D73" si="5">B55*C55</f>
        <v>645</v>
      </c>
      <c r="E55" s="193">
        <f t="shared" ref="E55:E57" si="6">D55*0.07</f>
        <v>45.150000000000006</v>
      </c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4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">
      <c r="A56" s="180">
        <f>'Données projet'!A64</f>
        <v>22</v>
      </c>
      <c r="B56" s="181">
        <f>'Données projet'!D64</f>
        <v>56</v>
      </c>
      <c r="C56" s="191">
        <v>20</v>
      </c>
      <c r="D56" s="179">
        <f t="shared" si="5"/>
        <v>1120</v>
      </c>
      <c r="E56" s="193">
        <f t="shared" si="6"/>
        <v>78.400000000000006</v>
      </c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4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">
      <c r="A57" s="180">
        <f>'Données projet'!A65</f>
        <v>30</v>
      </c>
      <c r="B57" s="181">
        <f>'Données projet'!D65</f>
        <v>309</v>
      </c>
      <c r="C57" s="191">
        <v>35</v>
      </c>
      <c r="D57" s="179">
        <f t="shared" si="5"/>
        <v>10815</v>
      </c>
      <c r="E57" s="193">
        <f t="shared" si="6"/>
        <v>757.05000000000007</v>
      </c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4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">
      <c r="A58" s="180">
        <f>'Données projet'!A66</f>
        <v>0</v>
      </c>
      <c r="B58" s="181">
        <f>'Données projet'!D66</f>
        <v>0</v>
      </c>
      <c r="C58" s="191"/>
      <c r="D58" s="179">
        <f t="shared" si="5"/>
        <v>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4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">
      <c r="A59" s="180">
        <f>'Données projet'!A67</f>
        <v>0</v>
      </c>
      <c r="B59" s="181">
        <f>'Données projet'!D67</f>
        <v>0</v>
      </c>
      <c r="C59" s="191"/>
      <c r="D59" s="179">
        <f t="shared" si="5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4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">
      <c r="A60" s="180">
        <f>'Données projet'!A68</f>
        <v>0</v>
      </c>
      <c r="B60" s="181">
        <f>'Données projet'!D68</f>
        <v>0</v>
      </c>
      <c r="C60" s="191"/>
      <c r="D60" s="179">
        <f t="shared" si="5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4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">
      <c r="A61" s="180">
        <f>'Données projet'!A69</f>
        <v>0</v>
      </c>
      <c r="B61" s="181">
        <f>'Données projet'!D69</f>
        <v>0</v>
      </c>
      <c r="C61" s="191"/>
      <c r="D61" s="179">
        <f t="shared" si="5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4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">
      <c r="A62" s="180">
        <f>'Données projet'!A70</f>
        <v>0</v>
      </c>
      <c r="B62" s="181">
        <f>'Données projet'!D70</f>
        <v>0</v>
      </c>
      <c r="C62" s="191"/>
      <c r="D62" s="179">
        <f t="shared" si="5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4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">
      <c r="A63" s="180">
        <f>'Données projet'!A71</f>
        <v>0</v>
      </c>
      <c r="B63" s="181">
        <f>'Données projet'!D71</f>
        <v>0</v>
      </c>
      <c r="C63" s="191"/>
      <c r="D63" s="179">
        <f t="shared" si="5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4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">
      <c r="A64" s="180">
        <f>'Données projet'!A72</f>
        <v>0</v>
      </c>
      <c r="B64" s="181">
        <f>'Données projet'!D72</f>
        <v>0</v>
      </c>
      <c r="C64" s="191"/>
      <c r="D64" s="179">
        <f t="shared" si="5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 t="str">
        <f>IF(O63+1&lt;=MIN('Données projet'!$E$9:$E$18),O63+1,"STOP")</f>
        <v>STOP</v>
      </c>
      <c r="P64" s="185" t="e">
        <f t="shared" si="4"/>
        <v>#VALUE!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">
      <c r="A65" s="180">
        <f>'Données projet'!A73</f>
        <v>0</v>
      </c>
      <c r="B65" s="181">
        <f>'Données projet'!D73</f>
        <v>0</v>
      </c>
      <c r="C65" s="191"/>
      <c r="D65" s="179">
        <f t="shared" si="5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 t="e">
        <f>IF(O64+1&lt;=MIN('Données projet'!$E$9:$E$18),O64+1,"STOP")</f>
        <v>#VALUE!</v>
      </c>
      <c r="P65" s="185" t="e">
        <f t="shared" ref="P65:P96" si="7">$P$25/(1+$M$4)^O65</f>
        <v>#VALUE!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">
      <c r="A66" s="180">
        <f>'Données projet'!A74</f>
        <v>0</v>
      </c>
      <c r="B66" s="181">
        <f>'Données projet'!D74</f>
        <v>0</v>
      </c>
      <c r="C66" s="191"/>
      <c r="D66" s="179">
        <f t="shared" si="5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 t="e">
        <f>IF(O65+1&lt;=MIN('Données projet'!$E$9:$E$18),O65+1,"STOP")</f>
        <v>#VALUE!</v>
      </c>
      <c r="P66" s="185" t="e">
        <f t="shared" si="7"/>
        <v>#VALUE!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">
      <c r="A67" s="180">
        <f>'Données projet'!A75</f>
        <v>0</v>
      </c>
      <c r="B67" s="181">
        <f>'Données projet'!D75</f>
        <v>0</v>
      </c>
      <c r="C67" s="191"/>
      <c r="D67" s="179">
        <f t="shared" si="5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 t="e">
        <f>IF(O66+1&lt;=MIN('Données projet'!$E$9:$E$18),O66+1,"STOP")</f>
        <v>#VALUE!</v>
      </c>
      <c r="P67" s="185" t="e">
        <f t="shared" si="7"/>
        <v>#VALUE!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">
      <c r="A68" s="180">
        <f>'Données projet'!A76</f>
        <v>0</v>
      </c>
      <c r="B68" s="181">
        <f>'Données projet'!D76</f>
        <v>0</v>
      </c>
      <c r="C68" s="191"/>
      <c r="D68" s="179">
        <f t="shared" si="5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 t="e">
        <f>IF(O67+1&lt;=MIN('Données projet'!$E$9:$E$18),O67+1,"STOP")</f>
        <v>#VALUE!</v>
      </c>
      <c r="P68" s="185" t="e">
        <f t="shared" si="7"/>
        <v>#VALUE!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">
      <c r="A69" s="180">
        <f>'Données projet'!A77</f>
        <v>0</v>
      </c>
      <c r="B69" s="181">
        <f>'Données projet'!D77</f>
        <v>0</v>
      </c>
      <c r="C69" s="191"/>
      <c r="D69" s="179">
        <f t="shared" si="5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 t="e">
        <f>IF(O68+1&lt;=MIN('Données projet'!$E$9:$E$18),O68+1,"STOP")</f>
        <v>#VALUE!</v>
      </c>
      <c r="P69" s="185" t="e">
        <f t="shared" si="7"/>
        <v>#VALUE!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">
      <c r="A70" s="180">
        <f>'Données projet'!A78</f>
        <v>0</v>
      </c>
      <c r="B70" s="181">
        <f>'Données projet'!D78</f>
        <v>0</v>
      </c>
      <c r="C70" s="191"/>
      <c r="D70" s="179">
        <f t="shared" si="5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 t="e">
        <f>IF(O69+1&lt;=MIN('Données projet'!$E$9:$E$18),O69+1,"STOP")</f>
        <v>#VALUE!</v>
      </c>
      <c r="P70" s="185" t="e">
        <f t="shared" si="7"/>
        <v>#VALUE!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">
      <c r="A71" s="180">
        <f>'Données projet'!A79</f>
        <v>0</v>
      </c>
      <c r="B71" s="181">
        <f>'Données projet'!D79</f>
        <v>0</v>
      </c>
      <c r="C71" s="191"/>
      <c r="D71" s="179">
        <f t="shared" si="5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 t="e">
        <f>IF(O70+1&lt;=MIN('Données projet'!$E$9:$E$18),O70+1,"STOP")</f>
        <v>#VALUE!</v>
      </c>
      <c r="P71" s="185" t="e">
        <f t="shared" si="7"/>
        <v>#VALUE!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">
      <c r="A72" s="180">
        <f>'Données projet'!A80</f>
        <v>0</v>
      </c>
      <c r="B72" s="181">
        <f>'Données projet'!D80</f>
        <v>0</v>
      </c>
      <c r="C72" s="191"/>
      <c r="D72" s="179">
        <f t="shared" si="5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 t="e">
        <f>IF(O71+1&lt;=MIN('Données projet'!$E$9:$E$18),O71+1,"STOP")</f>
        <v>#VALUE!</v>
      </c>
      <c r="P72" s="185" t="e">
        <f t="shared" si="7"/>
        <v>#VALUE!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">
      <c r="A73" s="180">
        <f>'Données projet'!A81</f>
        <v>0</v>
      </c>
      <c r="B73" s="181">
        <f>'Données projet'!D81</f>
        <v>0</v>
      </c>
      <c r="C73" s="191"/>
      <c r="D73" s="179">
        <f t="shared" si="5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 t="e">
        <f>IF(O72+1&lt;=MIN('Données projet'!$E$9:$E$18),O72+1,"STOP")</f>
        <v>#VALUE!</v>
      </c>
      <c r="P73" s="185" t="e">
        <f t="shared" si="7"/>
        <v>#VALUE!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 t="e">
        <f>IF(O73+1&lt;=MIN('Données projet'!$E$9:$E$18),O73+1,"STOP")</f>
        <v>#VALUE!</v>
      </c>
      <c r="P74" s="185" t="e">
        <f t="shared" si="7"/>
        <v>#VALUE!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 t="e">
        <f>IF(O74+1&lt;=MIN('Données projet'!$E$9:$E$18),O74+1,"STOP")</f>
        <v>#VALUE!</v>
      </c>
      <c r="P75" s="185" t="e">
        <f t="shared" si="7"/>
        <v>#VALUE!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">
      <c r="A76" s="46" t="s">
        <v>167</v>
      </c>
      <c r="B76" s="174" t="str">
        <f>IF('Données projet'!B11="","",'Données projet'!B11)</f>
        <v>Pin maritime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 t="e">
        <f>IF(O75+1&lt;=MIN('Données projet'!$E$9:$E$18),O75+1,"STOP")</f>
        <v>#VALUE!</v>
      </c>
      <c r="P76" s="185" t="e">
        <f t="shared" si="7"/>
        <v>#VALUE!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 t="e">
        <f>IF(O76+1&lt;=MIN('Données projet'!$E$9:$E$18),O76+1,"STOP")</f>
        <v>#VALUE!</v>
      </c>
      <c r="P77" s="185" t="e">
        <f t="shared" si="7"/>
        <v>#VALUE!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ht="16" x14ac:dyDescent="0.2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 t="e">
        <f>IF(O77+1&lt;=MIN('Données projet'!$E$9:$E$18),O77+1,"STOP")</f>
        <v>#VALUE!</v>
      </c>
      <c r="P78" s="185" t="e">
        <f t="shared" si="7"/>
        <v>#VALUE!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ht="16" x14ac:dyDescent="0.2">
      <c r="A79" s="49">
        <v>0</v>
      </c>
      <c r="B79" s="199" t="s">
        <v>132</v>
      </c>
      <c r="C79" s="198" t="s">
        <v>132</v>
      </c>
      <c r="D79" s="197" t="s">
        <v>132</v>
      </c>
      <c r="E79" s="193">
        <v>676</v>
      </c>
      <c r="F79" s="231"/>
      <c r="G79" s="206"/>
      <c r="H79" s="190"/>
      <c r="I79" s="191"/>
      <c r="J79" s="4"/>
      <c r="K79" s="173"/>
      <c r="L79" s="4"/>
      <c r="M79" s="4"/>
      <c r="N79" s="4"/>
      <c r="O79" s="194" t="e">
        <f>IF(O78+1&lt;=MIN('Données projet'!$E$9:$E$18),O78+1,"STOP")</f>
        <v>#VALUE!</v>
      </c>
      <c r="P79" s="185" t="e">
        <f t="shared" si="7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ht="16" x14ac:dyDescent="0.2">
      <c r="A80" s="49">
        <v>1</v>
      </c>
      <c r="B80" s="199" t="s">
        <v>132</v>
      </c>
      <c r="C80" s="198" t="s">
        <v>132</v>
      </c>
      <c r="D80" s="197" t="s">
        <v>132</v>
      </c>
      <c r="E80" s="193">
        <v>960</v>
      </c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7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ht="16" x14ac:dyDescent="0.2">
      <c r="A81" s="49">
        <v>2</v>
      </c>
      <c r="B81" s="199" t="s">
        <v>132</v>
      </c>
      <c r="C81" s="198" t="s">
        <v>132</v>
      </c>
      <c r="D81" s="197" t="s">
        <v>132</v>
      </c>
      <c r="E81" s="193">
        <v>1038</v>
      </c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7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ht="16" x14ac:dyDescent="0.2">
      <c r="A82" s="49">
        <v>3</v>
      </c>
      <c r="B82" s="199" t="s">
        <v>132</v>
      </c>
      <c r="C82" s="198" t="s">
        <v>132</v>
      </c>
      <c r="D82" s="197" t="s">
        <v>132</v>
      </c>
      <c r="E82" s="193">
        <v>805</v>
      </c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7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ht="16" x14ac:dyDescent="0.2">
      <c r="A83" s="49">
        <v>4</v>
      </c>
      <c r="B83" s="199" t="s">
        <v>132</v>
      </c>
      <c r="C83" s="198" t="s">
        <v>132</v>
      </c>
      <c r="D83" s="197" t="s">
        <v>132</v>
      </c>
      <c r="E83" s="193">
        <v>475</v>
      </c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7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">
      <c r="A84" s="49">
        <v>5</v>
      </c>
      <c r="B84" s="199" t="s">
        <v>132</v>
      </c>
      <c r="C84" s="198" t="s">
        <v>132</v>
      </c>
      <c r="D84" s="197" t="s">
        <v>132</v>
      </c>
      <c r="E84" s="193">
        <v>475</v>
      </c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7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">
      <c r="A85" s="180">
        <f>'Données projet'!A88</f>
        <v>12</v>
      </c>
      <c r="B85" s="181">
        <f>'Données projet'!D88</f>
        <v>34</v>
      </c>
      <c r="C85" s="191">
        <v>10</v>
      </c>
      <c r="D85" s="179">
        <f>B85*C85</f>
        <v>340</v>
      </c>
      <c r="E85" s="193">
        <f>D85*0.07</f>
        <v>23.8</v>
      </c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7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">
      <c r="A86" s="180">
        <f>'Données projet'!A89</f>
        <v>17</v>
      </c>
      <c r="B86" s="181">
        <f>'Données projet'!D89</f>
        <v>43</v>
      </c>
      <c r="C86" s="191">
        <v>18</v>
      </c>
      <c r="D86" s="179">
        <f t="shared" ref="D86:D104" si="8">B86*C86</f>
        <v>774</v>
      </c>
      <c r="E86" s="193">
        <f t="shared" ref="E86:E88" si="9">D86*0.07</f>
        <v>54.180000000000007</v>
      </c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7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">
      <c r="A87" s="180">
        <f>'Données projet'!A90</f>
        <v>22</v>
      </c>
      <c r="B87" s="181">
        <f>'Données projet'!D90</f>
        <v>56</v>
      </c>
      <c r="C87" s="191">
        <v>30</v>
      </c>
      <c r="D87" s="179">
        <f t="shared" si="8"/>
        <v>1680</v>
      </c>
      <c r="E87" s="193">
        <f t="shared" si="9"/>
        <v>117.60000000000001</v>
      </c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7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">
      <c r="A88" s="180">
        <f>'Données projet'!A91</f>
        <v>30</v>
      </c>
      <c r="B88" s="181">
        <f>'Données projet'!D91</f>
        <v>309</v>
      </c>
      <c r="C88" s="191">
        <v>45</v>
      </c>
      <c r="D88" s="179">
        <f t="shared" si="8"/>
        <v>13905</v>
      </c>
      <c r="E88" s="193">
        <f t="shared" si="9"/>
        <v>973.35000000000014</v>
      </c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7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">
      <c r="A89" s="180">
        <f>'Données projet'!A92</f>
        <v>0</v>
      </c>
      <c r="B89" s="181">
        <f>'Données projet'!D92</f>
        <v>0</v>
      </c>
      <c r="C89" s="191"/>
      <c r="D89" s="179">
        <f t="shared" si="8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7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">
      <c r="A90" s="180">
        <f>'Données projet'!A93</f>
        <v>0</v>
      </c>
      <c r="B90" s="181">
        <f>'Données projet'!D93</f>
        <v>0</v>
      </c>
      <c r="C90" s="191"/>
      <c r="D90" s="179">
        <f t="shared" si="8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7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">
      <c r="A91" s="180">
        <f>'Données projet'!A94</f>
        <v>0</v>
      </c>
      <c r="B91" s="181">
        <f>'Données projet'!D94</f>
        <v>0</v>
      </c>
      <c r="C91" s="191"/>
      <c r="D91" s="179">
        <f t="shared" si="8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7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">
      <c r="A92" s="180">
        <f>'Données projet'!A95</f>
        <v>0</v>
      </c>
      <c r="B92" s="181">
        <f>'Données projet'!D95</f>
        <v>0</v>
      </c>
      <c r="C92" s="191"/>
      <c r="D92" s="179">
        <f t="shared" si="8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7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">
      <c r="A93" s="180">
        <f>'Données projet'!A96</f>
        <v>0</v>
      </c>
      <c r="B93" s="181">
        <f>'Données projet'!D96</f>
        <v>0</v>
      </c>
      <c r="C93" s="191"/>
      <c r="D93" s="179">
        <f t="shared" si="8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7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">
      <c r="A94" s="180">
        <f>'Données projet'!A97</f>
        <v>0</v>
      </c>
      <c r="B94" s="181">
        <f>'Données projet'!D97</f>
        <v>0</v>
      </c>
      <c r="C94" s="191"/>
      <c r="D94" s="179">
        <f t="shared" si="8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7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">
      <c r="A95" s="180">
        <f>'Données projet'!A98</f>
        <v>0</v>
      </c>
      <c r="B95" s="181">
        <f>'Données projet'!D98</f>
        <v>0</v>
      </c>
      <c r="C95" s="191"/>
      <c r="D95" s="179">
        <f t="shared" si="8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7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">
      <c r="A96" s="180">
        <f>'Données projet'!A99</f>
        <v>0</v>
      </c>
      <c r="B96" s="181">
        <f>'Données projet'!D99</f>
        <v>0</v>
      </c>
      <c r="C96" s="191"/>
      <c r="D96" s="179">
        <f t="shared" si="8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7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">
      <c r="A97" s="180">
        <f>'Données projet'!A100</f>
        <v>0</v>
      </c>
      <c r="B97" s="181">
        <f>'Données projet'!D100</f>
        <v>0</v>
      </c>
      <c r="C97" s="191"/>
      <c r="D97" s="179">
        <f t="shared" si="8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10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">
      <c r="A98" s="180">
        <f>'Données projet'!A101</f>
        <v>0</v>
      </c>
      <c r="B98" s="181">
        <f>'Données projet'!D101</f>
        <v>0</v>
      </c>
      <c r="C98" s="191"/>
      <c r="D98" s="179">
        <f t="shared" si="8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10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">
      <c r="A99" s="180">
        <f>'Données projet'!A102</f>
        <v>0</v>
      </c>
      <c r="B99" s="181">
        <f>'Données projet'!D102</f>
        <v>0</v>
      </c>
      <c r="C99" s="191"/>
      <c r="D99" s="179">
        <f t="shared" si="8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10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">
      <c r="A100" s="180">
        <f>'Données projet'!A103</f>
        <v>0</v>
      </c>
      <c r="B100" s="181">
        <f>'Données projet'!D103</f>
        <v>0</v>
      </c>
      <c r="C100" s="191"/>
      <c r="D100" s="179">
        <f t="shared" si="8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10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">
      <c r="A101" s="180">
        <f>'Données projet'!A104</f>
        <v>0</v>
      </c>
      <c r="B101" s="181">
        <f>'Données projet'!D104</f>
        <v>0</v>
      </c>
      <c r="C101" s="191"/>
      <c r="D101" s="179">
        <f t="shared" si="8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10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">
      <c r="A102" s="180">
        <f>'Données projet'!A105</f>
        <v>0</v>
      </c>
      <c r="B102" s="181">
        <f>'Données projet'!D105</f>
        <v>0</v>
      </c>
      <c r="C102" s="191"/>
      <c r="D102" s="179">
        <f t="shared" si="8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10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">
      <c r="A103" s="180">
        <f>'Données projet'!A106</f>
        <v>0</v>
      </c>
      <c r="B103" s="181">
        <f>'Données projet'!D106</f>
        <v>0</v>
      </c>
      <c r="C103" s="191"/>
      <c r="D103" s="179">
        <f t="shared" si="8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10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">
      <c r="A104" s="180">
        <f>'Données projet'!A107</f>
        <v>0</v>
      </c>
      <c r="B104" s="181">
        <f>'Données projet'!D107</f>
        <v>0</v>
      </c>
      <c r="C104" s="191"/>
      <c r="D104" s="179">
        <f t="shared" si="8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10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10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10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10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10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ht="16" x14ac:dyDescent="0.2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10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ht="16" x14ac:dyDescent="0.2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10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ht="16" x14ac:dyDescent="0.2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10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ht="16" x14ac:dyDescent="0.2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10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ht="16" x14ac:dyDescent="0.2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10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ht="16" x14ac:dyDescent="0.2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10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10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10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11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10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">
      <c r="A118" s="180">
        <f>'Données projet'!A116</f>
        <v>0</v>
      </c>
      <c r="B118" s="181">
        <f>'Données projet'!D116</f>
        <v>0</v>
      </c>
      <c r="C118" s="191"/>
      <c r="D118" s="179">
        <f t="shared" si="11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10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">
      <c r="A119" s="180">
        <f>'Données projet'!A117</f>
        <v>0</v>
      </c>
      <c r="B119" s="181">
        <f>'Données projet'!D117</f>
        <v>0</v>
      </c>
      <c r="C119" s="191"/>
      <c r="D119" s="179">
        <f t="shared" si="11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10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">
      <c r="A120" s="180">
        <f>'Données projet'!A118</f>
        <v>0</v>
      </c>
      <c r="B120" s="181">
        <f>'Données projet'!D118</f>
        <v>0</v>
      </c>
      <c r="C120" s="191"/>
      <c r="D120" s="179">
        <f t="shared" si="11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10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">
      <c r="A121" s="180">
        <f>'Données projet'!A119</f>
        <v>0</v>
      </c>
      <c r="B121" s="181">
        <f>'Données projet'!D119</f>
        <v>0</v>
      </c>
      <c r="C121" s="191"/>
      <c r="D121" s="179">
        <f t="shared" si="11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10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">
      <c r="A122" s="180">
        <f>'Données projet'!A120</f>
        <v>0</v>
      </c>
      <c r="B122" s="181">
        <f>'Données projet'!D120</f>
        <v>0</v>
      </c>
      <c r="C122" s="191"/>
      <c r="D122" s="179">
        <f t="shared" si="11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10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">
      <c r="A123" s="180">
        <f>'Données projet'!A121</f>
        <v>0</v>
      </c>
      <c r="B123" s="181">
        <f>'Données projet'!D121</f>
        <v>0</v>
      </c>
      <c r="C123" s="191"/>
      <c r="D123" s="179">
        <f t="shared" si="11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10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">
      <c r="A124" s="180">
        <f>'Données projet'!A122</f>
        <v>0</v>
      </c>
      <c r="B124" s="181">
        <f>'Données projet'!D122</f>
        <v>0</v>
      </c>
      <c r="C124" s="191"/>
      <c r="D124" s="179">
        <f t="shared" si="11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10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">
      <c r="A125" s="180">
        <f>'Données projet'!A123</f>
        <v>0</v>
      </c>
      <c r="B125" s="181">
        <f>'Données projet'!D123</f>
        <v>0</v>
      </c>
      <c r="C125" s="191"/>
      <c r="D125" s="179">
        <f t="shared" si="11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10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">
      <c r="A126" s="180">
        <f>'Données projet'!A124</f>
        <v>0</v>
      </c>
      <c r="B126" s="181">
        <f>'Données projet'!D124</f>
        <v>0</v>
      </c>
      <c r="C126" s="191"/>
      <c r="D126" s="179">
        <f t="shared" si="11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10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">
      <c r="A127" s="180">
        <f>'Données projet'!A125</f>
        <v>0</v>
      </c>
      <c r="B127" s="181">
        <f>'Données projet'!D125</f>
        <v>0</v>
      </c>
      <c r="C127" s="191"/>
      <c r="D127" s="179">
        <f t="shared" si="11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10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">
      <c r="A128" s="180">
        <f>'Données projet'!A126</f>
        <v>0</v>
      </c>
      <c r="B128" s="181">
        <f>'Données projet'!D126</f>
        <v>0</v>
      </c>
      <c r="C128" s="191"/>
      <c r="D128" s="179">
        <f t="shared" si="11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10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">
      <c r="A129" s="180">
        <f>'Données projet'!A127</f>
        <v>0</v>
      </c>
      <c r="B129" s="181">
        <f>'Données projet'!D127</f>
        <v>0</v>
      </c>
      <c r="C129" s="191"/>
      <c r="D129" s="179">
        <f t="shared" si="11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12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">
      <c r="A130" s="180">
        <f>'Données projet'!A128</f>
        <v>0</v>
      </c>
      <c r="B130" s="181">
        <f>'Données projet'!D128</f>
        <v>0</v>
      </c>
      <c r="C130" s="191"/>
      <c r="D130" s="179">
        <f t="shared" si="11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12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">
      <c r="A131" s="180">
        <f>'Données projet'!A129</f>
        <v>0</v>
      </c>
      <c r="B131" s="181">
        <f>'Données projet'!D129</f>
        <v>0</v>
      </c>
      <c r="C131" s="191"/>
      <c r="D131" s="179">
        <f t="shared" si="11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12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">
      <c r="A132" s="180">
        <f>'Données projet'!A130</f>
        <v>0</v>
      </c>
      <c r="B132" s="181">
        <f>'Données projet'!D130</f>
        <v>0</v>
      </c>
      <c r="C132" s="191"/>
      <c r="D132" s="179">
        <f t="shared" si="11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12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">
      <c r="A133" s="180">
        <f>'Données projet'!A131</f>
        <v>0</v>
      </c>
      <c r="B133" s="181">
        <f>'Données projet'!D131</f>
        <v>0</v>
      </c>
      <c r="C133" s="191"/>
      <c r="D133" s="179">
        <f t="shared" si="11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">
      <c r="A134" s="180">
        <f>'Données projet'!A132</f>
        <v>0</v>
      </c>
      <c r="B134" s="181">
        <f>'Données projet'!D132</f>
        <v>0</v>
      </c>
      <c r="C134" s="191"/>
      <c r="D134" s="179">
        <f t="shared" si="11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">
      <c r="A135" s="180">
        <f>'Données projet'!A133</f>
        <v>0</v>
      </c>
      <c r="B135" s="181">
        <f>'Données projet'!D133</f>
        <v>0</v>
      </c>
      <c r="C135" s="191"/>
      <c r="D135" s="179">
        <f t="shared" si="11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ht="16" x14ac:dyDescent="0.2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ht="16" x14ac:dyDescent="0.2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ht="16" x14ac:dyDescent="0.2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ht="16" x14ac:dyDescent="0.2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ht="16" x14ac:dyDescent="0.2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ht="16" x14ac:dyDescent="0.2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3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">
      <c r="A149" s="42">
        <f>'Données projet'!A142</f>
        <v>0</v>
      </c>
      <c r="B149" s="175">
        <f>'Données projet'!D142</f>
        <v>0</v>
      </c>
      <c r="C149" s="191"/>
      <c r="D149" s="182">
        <f t="shared" si="13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">
      <c r="A150" s="42">
        <f>'Données projet'!A143</f>
        <v>0</v>
      </c>
      <c r="B150" s="175">
        <f>'Données projet'!D143</f>
        <v>0</v>
      </c>
      <c r="C150" s="191"/>
      <c r="D150" s="182">
        <f t="shared" si="13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">
      <c r="A151" s="42">
        <f>'Données projet'!A144</f>
        <v>0</v>
      </c>
      <c r="B151" s="175">
        <f>'Données projet'!D144</f>
        <v>0</v>
      </c>
      <c r="C151" s="191"/>
      <c r="D151" s="182">
        <f t="shared" si="13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">
      <c r="A152" s="42">
        <f>'Données projet'!A145</f>
        <v>0</v>
      </c>
      <c r="B152" s="175">
        <f>'Données projet'!D145</f>
        <v>0</v>
      </c>
      <c r="C152" s="191"/>
      <c r="D152" s="182">
        <f t="shared" si="13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">
      <c r="A153" s="42">
        <f>'Données projet'!A146</f>
        <v>0</v>
      </c>
      <c r="B153" s="175">
        <f>'Données projet'!D146</f>
        <v>0</v>
      </c>
      <c r="C153" s="191"/>
      <c r="D153" s="182">
        <f t="shared" si="13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">
      <c r="A154" s="42">
        <f>'Données projet'!A147</f>
        <v>0</v>
      </c>
      <c r="B154" s="175">
        <f>'Données projet'!D147</f>
        <v>0</v>
      </c>
      <c r="C154" s="191"/>
      <c r="D154" s="182">
        <f t="shared" si="13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">
      <c r="A155" s="42">
        <f>'Données projet'!A148</f>
        <v>0</v>
      </c>
      <c r="B155" s="175">
        <f>'Données projet'!D148</f>
        <v>0</v>
      </c>
      <c r="C155" s="191"/>
      <c r="D155" s="182">
        <f t="shared" si="13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">
      <c r="A156" s="42">
        <f>'Données projet'!A149</f>
        <v>0</v>
      </c>
      <c r="B156" s="175">
        <f>'Données projet'!D149</f>
        <v>0</v>
      </c>
      <c r="C156" s="191"/>
      <c r="D156" s="182">
        <f t="shared" si="13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">
      <c r="A157" s="42">
        <f>'Données projet'!A150</f>
        <v>0</v>
      </c>
      <c r="B157" s="175">
        <f>'Données projet'!D150</f>
        <v>0</v>
      </c>
      <c r="C157" s="191"/>
      <c r="D157" s="182">
        <f t="shared" si="13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">
      <c r="A158" s="42">
        <f>'Données projet'!A151</f>
        <v>0</v>
      </c>
      <c r="B158" s="175">
        <f>'Données projet'!D151</f>
        <v>0</v>
      </c>
      <c r="C158" s="191"/>
      <c r="D158" s="182">
        <f t="shared" si="13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">
      <c r="A159" s="42">
        <f>'Données projet'!A152</f>
        <v>0</v>
      </c>
      <c r="B159" s="175">
        <f>'Données projet'!D152</f>
        <v>0</v>
      </c>
      <c r="C159" s="191"/>
      <c r="D159" s="182">
        <f t="shared" si="13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">
      <c r="A160" s="42">
        <f>'Données projet'!A153</f>
        <v>0</v>
      </c>
      <c r="B160" s="175">
        <f>'Données projet'!D153</f>
        <v>0</v>
      </c>
      <c r="C160" s="191"/>
      <c r="D160" s="182">
        <f t="shared" si="13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">
      <c r="A161" s="42">
        <f>'Données projet'!A154</f>
        <v>0</v>
      </c>
      <c r="B161" s="175">
        <f>'Données projet'!D154</f>
        <v>0</v>
      </c>
      <c r="C161" s="191"/>
      <c r="D161" s="182">
        <f t="shared" si="13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">
      <c r="A162" s="42">
        <f>'Données projet'!A155</f>
        <v>0</v>
      </c>
      <c r="B162" s="175">
        <f>'Données projet'!D155</f>
        <v>0</v>
      </c>
      <c r="C162" s="191"/>
      <c r="D162" s="182">
        <f t="shared" si="13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">
      <c r="A163" s="42">
        <f>'Données projet'!A156</f>
        <v>0</v>
      </c>
      <c r="B163" s="175">
        <f>'Données projet'!D156</f>
        <v>0</v>
      </c>
      <c r="C163" s="191"/>
      <c r="D163" s="182">
        <f t="shared" si="13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">
      <c r="A164" s="42">
        <f>'Données projet'!A157</f>
        <v>0</v>
      </c>
      <c r="B164" s="175">
        <f>'Données projet'!D157</f>
        <v>0</v>
      </c>
      <c r="C164" s="191"/>
      <c r="D164" s="182">
        <f t="shared" si="13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">
      <c r="A165" s="42">
        <f>'Données projet'!A158</f>
        <v>0</v>
      </c>
      <c r="B165" s="175">
        <f>'Données projet'!D158</f>
        <v>0</v>
      </c>
      <c r="C165" s="191"/>
      <c r="D165" s="182">
        <f t="shared" si="13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">
      <c r="A166" s="42">
        <f>'Données projet'!A159</f>
        <v>0</v>
      </c>
      <c r="B166" s="175">
        <f>'Données projet'!D159</f>
        <v>0</v>
      </c>
      <c r="C166" s="191"/>
      <c r="D166" s="182">
        <f t="shared" si="13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ht="16" x14ac:dyDescent="0.2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ht="16" x14ac:dyDescent="0.2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ht="16" x14ac:dyDescent="0.2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ht="16" x14ac:dyDescent="0.2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ht="16" x14ac:dyDescent="0.2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ht="16" x14ac:dyDescent="0.2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4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">
      <c r="A180" s="180">
        <f>'Données projet'!A168</f>
        <v>0</v>
      </c>
      <c r="B180" s="181">
        <f>'Données projet'!D168</f>
        <v>0</v>
      </c>
      <c r="C180" s="193"/>
      <c r="D180" s="179">
        <f t="shared" si="14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">
      <c r="A181" s="180">
        <f>'Données projet'!A169</f>
        <v>0</v>
      </c>
      <c r="B181" s="181">
        <f>'Données projet'!D169</f>
        <v>0</v>
      </c>
      <c r="C181" s="193"/>
      <c r="D181" s="179">
        <f t="shared" si="14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">
      <c r="A182" s="180">
        <f>'Données projet'!A170</f>
        <v>0</v>
      </c>
      <c r="B182" s="181">
        <f>'Données projet'!D170</f>
        <v>0</v>
      </c>
      <c r="C182" s="193"/>
      <c r="D182" s="179">
        <f t="shared" si="14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">
      <c r="A183" s="180">
        <f>'Données projet'!A171</f>
        <v>0</v>
      </c>
      <c r="B183" s="181">
        <f>'Données projet'!D171</f>
        <v>0</v>
      </c>
      <c r="C183" s="193"/>
      <c r="D183" s="179">
        <f t="shared" si="14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">
      <c r="A184" s="180">
        <f>'Données projet'!A172</f>
        <v>0</v>
      </c>
      <c r="B184" s="181">
        <f>'Données projet'!D172</f>
        <v>0</v>
      </c>
      <c r="C184" s="193"/>
      <c r="D184" s="179">
        <f t="shared" si="14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">
      <c r="A185" s="180">
        <f>'Données projet'!A173</f>
        <v>0</v>
      </c>
      <c r="B185" s="181">
        <f>'Données projet'!D173</f>
        <v>0</v>
      </c>
      <c r="C185" s="193"/>
      <c r="D185" s="179">
        <f t="shared" si="14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">
      <c r="A186" s="180">
        <f>'Données projet'!A174</f>
        <v>0</v>
      </c>
      <c r="B186" s="181">
        <f>'Données projet'!D174</f>
        <v>0</v>
      </c>
      <c r="C186" s="193"/>
      <c r="D186" s="179">
        <f t="shared" si="14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">
      <c r="A187" s="180">
        <f>'Données projet'!A175</f>
        <v>0</v>
      </c>
      <c r="B187" s="181">
        <f>'Données projet'!D175</f>
        <v>0</v>
      </c>
      <c r="C187" s="193"/>
      <c r="D187" s="179">
        <f t="shared" si="14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">
      <c r="A188" s="180">
        <f>'Données projet'!A176</f>
        <v>0</v>
      </c>
      <c r="B188" s="181">
        <f>'Données projet'!D176</f>
        <v>0</v>
      </c>
      <c r="C188" s="193"/>
      <c r="D188" s="179">
        <f t="shared" si="14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">
      <c r="A189" s="180">
        <f>'Données projet'!A177</f>
        <v>0</v>
      </c>
      <c r="B189" s="181">
        <f>'Données projet'!D177</f>
        <v>0</v>
      </c>
      <c r="C189" s="193"/>
      <c r="D189" s="179">
        <f t="shared" si="14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">
      <c r="A190" s="180">
        <f>'Données projet'!A178</f>
        <v>0</v>
      </c>
      <c r="B190" s="181">
        <f>'Données projet'!D178</f>
        <v>0</v>
      </c>
      <c r="C190" s="193"/>
      <c r="D190" s="179">
        <f t="shared" si="14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">
      <c r="A191" s="180">
        <f>'Données projet'!A179</f>
        <v>0</v>
      </c>
      <c r="B191" s="181">
        <f>'Données projet'!D179</f>
        <v>0</v>
      </c>
      <c r="C191" s="193"/>
      <c r="D191" s="179">
        <f t="shared" si="14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">
      <c r="A192" s="180">
        <f>'Données projet'!A180</f>
        <v>0</v>
      </c>
      <c r="B192" s="181">
        <f>'Données projet'!D180</f>
        <v>0</v>
      </c>
      <c r="C192" s="193"/>
      <c r="D192" s="179">
        <f t="shared" si="14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">
      <c r="A193" s="180">
        <f>'Données projet'!A181</f>
        <v>0</v>
      </c>
      <c r="B193" s="181">
        <f>'Données projet'!D181</f>
        <v>0</v>
      </c>
      <c r="C193" s="193"/>
      <c r="D193" s="179">
        <f t="shared" si="14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">
      <c r="A194" s="180">
        <f>'Données projet'!A182</f>
        <v>0</v>
      </c>
      <c r="B194" s="181">
        <f>'Données projet'!D182</f>
        <v>0</v>
      </c>
      <c r="C194" s="193"/>
      <c r="D194" s="179">
        <f t="shared" si="14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">
      <c r="A195" s="180">
        <f>'Données projet'!A183</f>
        <v>0</v>
      </c>
      <c r="B195" s="181">
        <f>'Données projet'!D183</f>
        <v>0</v>
      </c>
      <c r="C195" s="193"/>
      <c r="D195" s="179">
        <f t="shared" si="14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">
      <c r="A196" s="180">
        <f>'Données projet'!A184</f>
        <v>0</v>
      </c>
      <c r="B196" s="181">
        <f>'Données projet'!D184</f>
        <v>0</v>
      </c>
      <c r="C196" s="193"/>
      <c r="D196" s="179">
        <f t="shared" si="14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">
      <c r="A197" s="180">
        <f>'Données projet'!A185</f>
        <v>0</v>
      </c>
      <c r="B197" s="181">
        <f>'Données projet'!D185</f>
        <v>0</v>
      </c>
      <c r="C197" s="193"/>
      <c r="D197" s="179">
        <f t="shared" si="14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ht="16" x14ac:dyDescent="0.2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ht="16" x14ac:dyDescent="0.2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ht="16" x14ac:dyDescent="0.2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ht="16" x14ac:dyDescent="0.2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ht="16" x14ac:dyDescent="0.2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ht="16" x14ac:dyDescent="0.2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ht="16" x14ac:dyDescent="0.2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5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">
      <c r="A211" s="180">
        <f>'Données projet'!A194</f>
        <v>0</v>
      </c>
      <c r="B211" s="181">
        <f>'Données projet'!D194</f>
        <v>0</v>
      </c>
      <c r="C211" s="193"/>
      <c r="D211" s="179">
        <f t="shared" si="15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">
      <c r="A212" s="180">
        <f>'Données projet'!A195</f>
        <v>0</v>
      </c>
      <c r="B212" s="181">
        <f>'Données projet'!D195</f>
        <v>0</v>
      </c>
      <c r="C212" s="193"/>
      <c r="D212" s="179">
        <f t="shared" si="15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">
      <c r="A213" s="180">
        <f>'Données projet'!A196</f>
        <v>0</v>
      </c>
      <c r="B213" s="181">
        <f>'Données projet'!D196</f>
        <v>0</v>
      </c>
      <c r="C213" s="193"/>
      <c r="D213" s="179">
        <f t="shared" si="15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">
      <c r="A214" s="180">
        <f>'Données projet'!A197</f>
        <v>0</v>
      </c>
      <c r="B214" s="181">
        <f>'Données projet'!D197</f>
        <v>0</v>
      </c>
      <c r="C214" s="193"/>
      <c r="D214" s="179">
        <f t="shared" si="15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">
      <c r="A215" s="180">
        <f>'Données projet'!A198</f>
        <v>0</v>
      </c>
      <c r="B215" s="181">
        <f>'Données projet'!D198</f>
        <v>0</v>
      </c>
      <c r="C215" s="193"/>
      <c r="D215" s="179">
        <f t="shared" si="15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">
      <c r="A216" s="180">
        <f>'Données projet'!A199</f>
        <v>0</v>
      </c>
      <c r="B216" s="181">
        <f>'Données projet'!D199</f>
        <v>0</v>
      </c>
      <c r="C216" s="193"/>
      <c r="D216" s="179">
        <f t="shared" si="15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">
      <c r="A217" s="180">
        <f>'Données projet'!A200</f>
        <v>0</v>
      </c>
      <c r="B217" s="181">
        <f>'Données projet'!D200</f>
        <v>0</v>
      </c>
      <c r="C217" s="193"/>
      <c r="D217" s="179">
        <f t="shared" si="15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">
      <c r="A218" s="180">
        <f>'Données projet'!A201</f>
        <v>0</v>
      </c>
      <c r="B218" s="181">
        <f>'Données projet'!D201</f>
        <v>0</v>
      </c>
      <c r="C218" s="193"/>
      <c r="D218" s="179">
        <f t="shared" si="15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">
      <c r="A219" s="180">
        <f>'Données projet'!A202</f>
        <v>0</v>
      </c>
      <c r="B219" s="181">
        <f>'Données projet'!D202</f>
        <v>0</v>
      </c>
      <c r="C219" s="193"/>
      <c r="D219" s="179">
        <f t="shared" si="15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">
      <c r="A220" s="180">
        <f>'Données projet'!A203</f>
        <v>0</v>
      </c>
      <c r="B220" s="181">
        <f>'Données projet'!D203</f>
        <v>0</v>
      </c>
      <c r="C220" s="193"/>
      <c r="D220" s="179">
        <f t="shared" si="15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">
      <c r="A221" s="180">
        <f>'Données projet'!A204</f>
        <v>0</v>
      </c>
      <c r="B221" s="181">
        <f>'Données projet'!D204</f>
        <v>0</v>
      </c>
      <c r="C221" s="193"/>
      <c r="D221" s="179">
        <f t="shared" si="15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">
      <c r="A222" s="180">
        <f>'Données projet'!A205</f>
        <v>0</v>
      </c>
      <c r="B222" s="181">
        <f>'Données projet'!D205</f>
        <v>0</v>
      </c>
      <c r="C222" s="193"/>
      <c r="D222" s="179">
        <f t="shared" si="15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">
      <c r="A223" s="180">
        <f>'Données projet'!A206</f>
        <v>0</v>
      </c>
      <c r="B223" s="181">
        <f>'Données projet'!D206</f>
        <v>0</v>
      </c>
      <c r="C223" s="193"/>
      <c r="D223" s="179">
        <f t="shared" si="15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">
      <c r="A224" s="180">
        <f>'Données projet'!A207</f>
        <v>0</v>
      </c>
      <c r="B224" s="181">
        <f>'Données projet'!D207</f>
        <v>0</v>
      </c>
      <c r="C224" s="193"/>
      <c r="D224" s="179">
        <f t="shared" si="15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">
      <c r="A225" s="180">
        <f>'Données projet'!A208</f>
        <v>0</v>
      </c>
      <c r="B225" s="181">
        <f>'Données projet'!D208</f>
        <v>0</v>
      </c>
      <c r="C225" s="193"/>
      <c r="D225" s="179">
        <f t="shared" si="15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">
      <c r="A226" s="180">
        <f>'Données projet'!A209</f>
        <v>0</v>
      </c>
      <c r="B226" s="181">
        <f>'Données projet'!D209</f>
        <v>0</v>
      </c>
      <c r="C226" s="193"/>
      <c r="D226" s="179">
        <f t="shared" si="15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">
      <c r="A227" s="180">
        <f>'Données projet'!A210</f>
        <v>0</v>
      </c>
      <c r="B227" s="181">
        <f>'Données projet'!D210</f>
        <v>0</v>
      </c>
      <c r="C227" s="193"/>
      <c r="D227" s="179">
        <f t="shared" si="15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">
      <c r="A228" s="180">
        <f>'Données projet'!A211</f>
        <v>0</v>
      </c>
      <c r="B228" s="181">
        <f>'Données projet'!D211</f>
        <v>0</v>
      </c>
      <c r="C228" s="193"/>
      <c r="D228" s="179">
        <f t="shared" si="15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ht="16" x14ac:dyDescent="0.2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ht="16" x14ac:dyDescent="0.2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ht="16" x14ac:dyDescent="0.2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ht="16" x14ac:dyDescent="0.2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ht="16" x14ac:dyDescent="0.2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ht="16" x14ac:dyDescent="0.2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ht="16" x14ac:dyDescent="0.2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6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">
      <c r="A242" s="180">
        <f>'Données projet'!A220</f>
        <v>0</v>
      </c>
      <c r="B242" s="181">
        <f>'Données projet'!D220</f>
        <v>0</v>
      </c>
      <c r="C242" s="193"/>
      <c r="D242" s="179">
        <f t="shared" si="16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">
      <c r="A243" s="180">
        <f>'Données projet'!A221</f>
        <v>0</v>
      </c>
      <c r="B243" s="181">
        <f>'Données projet'!D221</f>
        <v>0</v>
      </c>
      <c r="C243" s="193"/>
      <c r="D243" s="179">
        <f t="shared" si="16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">
      <c r="A244" s="180">
        <f>'Données projet'!A222</f>
        <v>0</v>
      </c>
      <c r="B244" s="181">
        <f>'Données projet'!D222</f>
        <v>0</v>
      </c>
      <c r="C244" s="193"/>
      <c r="D244" s="179">
        <f t="shared" si="16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">
      <c r="A245" s="180">
        <f>'Données projet'!A223</f>
        <v>0</v>
      </c>
      <c r="B245" s="181">
        <f>'Données projet'!D223</f>
        <v>0</v>
      </c>
      <c r="C245" s="193"/>
      <c r="D245" s="179">
        <f t="shared" si="16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">
      <c r="A246" s="180">
        <f>'Données projet'!A224</f>
        <v>0</v>
      </c>
      <c r="B246" s="181">
        <f>'Données projet'!D224</f>
        <v>0</v>
      </c>
      <c r="C246" s="193"/>
      <c r="D246" s="179">
        <f t="shared" si="16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">
      <c r="A247" s="180">
        <f>'Données projet'!A225</f>
        <v>0</v>
      </c>
      <c r="B247" s="181">
        <f>'Données projet'!D225</f>
        <v>0</v>
      </c>
      <c r="C247" s="193"/>
      <c r="D247" s="179">
        <f t="shared" si="16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">
      <c r="A248" s="180">
        <f>'Données projet'!A226</f>
        <v>0</v>
      </c>
      <c r="B248" s="181">
        <f>'Données projet'!D226</f>
        <v>0</v>
      </c>
      <c r="C248" s="193"/>
      <c r="D248" s="179">
        <f t="shared" si="16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">
      <c r="A249" s="180">
        <f>'Données projet'!A227</f>
        <v>0</v>
      </c>
      <c r="B249" s="181">
        <f>'Données projet'!D227</f>
        <v>0</v>
      </c>
      <c r="C249" s="193"/>
      <c r="D249" s="179">
        <f t="shared" si="16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">
      <c r="A250" s="180">
        <f>'Données projet'!A228</f>
        <v>0</v>
      </c>
      <c r="B250" s="181">
        <f>'Données projet'!D228</f>
        <v>0</v>
      </c>
      <c r="C250" s="193"/>
      <c r="D250" s="179">
        <f t="shared" si="16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">
      <c r="A251" s="180">
        <f>'Données projet'!A229</f>
        <v>0</v>
      </c>
      <c r="B251" s="181">
        <f>'Données projet'!D229</f>
        <v>0</v>
      </c>
      <c r="C251" s="193"/>
      <c r="D251" s="179">
        <f t="shared" si="16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">
      <c r="A252" s="180">
        <f>'Données projet'!A230</f>
        <v>0</v>
      </c>
      <c r="B252" s="181">
        <f>'Données projet'!D230</f>
        <v>0</v>
      </c>
      <c r="C252" s="193"/>
      <c r="D252" s="179">
        <f t="shared" si="16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">
      <c r="A253" s="180">
        <f>'Données projet'!A231</f>
        <v>0</v>
      </c>
      <c r="B253" s="181">
        <f>'Données projet'!D231</f>
        <v>0</v>
      </c>
      <c r="C253" s="193"/>
      <c r="D253" s="179">
        <f t="shared" si="16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">
      <c r="A254" s="180">
        <f>'Données projet'!A232</f>
        <v>0</v>
      </c>
      <c r="B254" s="181">
        <f>'Données projet'!D232</f>
        <v>0</v>
      </c>
      <c r="C254" s="193"/>
      <c r="D254" s="179">
        <f t="shared" si="16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">
      <c r="A255" s="180">
        <f>'Données projet'!A233</f>
        <v>0</v>
      </c>
      <c r="B255" s="181">
        <f>'Données projet'!D233</f>
        <v>0</v>
      </c>
      <c r="C255" s="193"/>
      <c r="D255" s="179">
        <f t="shared" si="16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">
      <c r="A256" s="180">
        <f>'Données projet'!A234</f>
        <v>0</v>
      </c>
      <c r="B256" s="181">
        <f>'Données projet'!D234</f>
        <v>0</v>
      </c>
      <c r="C256" s="193"/>
      <c r="D256" s="179">
        <f t="shared" si="16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">
      <c r="A257" s="180">
        <f>'Données projet'!A235</f>
        <v>0</v>
      </c>
      <c r="B257" s="181">
        <f>'Données projet'!D235</f>
        <v>0</v>
      </c>
      <c r="C257" s="193"/>
      <c r="D257" s="179">
        <f t="shared" si="16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">
      <c r="A258" s="180">
        <f>'Données projet'!A236</f>
        <v>0</v>
      </c>
      <c r="B258" s="181">
        <f>'Données projet'!D236</f>
        <v>0</v>
      </c>
      <c r="C258" s="193"/>
      <c r="D258" s="179">
        <f t="shared" si="16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">
      <c r="A259" s="180">
        <f>'Données projet'!A237</f>
        <v>0</v>
      </c>
      <c r="B259" s="181">
        <f>'Données projet'!D237</f>
        <v>0</v>
      </c>
      <c r="C259" s="193"/>
      <c r="D259" s="179">
        <f t="shared" si="16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ht="16" x14ac:dyDescent="0.2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ht="16" x14ac:dyDescent="0.2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ht="16" x14ac:dyDescent="0.2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ht="16" x14ac:dyDescent="0.2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ht="16" x14ac:dyDescent="0.2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ht="16" x14ac:dyDescent="0.2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ht="16" x14ac:dyDescent="0.2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7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">
      <c r="A273" s="180">
        <f>'Données projet'!A246</f>
        <v>0</v>
      </c>
      <c r="B273" s="181">
        <f>'Données projet'!D246</f>
        <v>0</v>
      </c>
      <c r="C273" s="193"/>
      <c r="D273" s="179">
        <f t="shared" si="17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">
      <c r="A274" s="180">
        <f>'Données projet'!A247</f>
        <v>0</v>
      </c>
      <c r="B274" s="181">
        <f>'Données projet'!D247</f>
        <v>0</v>
      </c>
      <c r="C274" s="193"/>
      <c r="D274" s="179">
        <f t="shared" si="17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">
      <c r="A275" s="180">
        <f>'Données projet'!A248</f>
        <v>0</v>
      </c>
      <c r="B275" s="181">
        <f>'Données projet'!D248</f>
        <v>0</v>
      </c>
      <c r="C275" s="193"/>
      <c r="D275" s="179">
        <f t="shared" si="17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">
      <c r="A276" s="180">
        <f>'Données projet'!A249</f>
        <v>0</v>
      </c>
      <c r="B276" s="181">
        <f>'Données projet'!D249</f>
        <v>0</v>
      </c>
      <c r="C276" s="193"/>
      <c r="D276" s="179">
        <f t="shared" si="17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">
      <c r="A277" s="180">
        <f>'Données projet'!A250</f>
        <v>0</v>
      </c>
      <c r="B277" s="181">
        <f>'Données projet'!D250</f>
        <v>0</v>
      </c>
      <c r="C277" s="193"/>
      <c r="D277" s="179">
        <f t="shared" si="17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">
      <c r="A278" s="180">
        <f>'Données projet'!A251</f>
        <v>0</v>
      </c>
      <c r="B278" s="181">
        <f>'Données projet'!D251</f>
        <v>0</v>
      </c>
      <c r="C278" s="193"/>
      <c r="D278" s="179">
        <f t="shared" si="17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">
      <c r="A279" s="180">
        <f>'Données projet'!A252</f>
        <v>0</v>
      </c>
      <c r="B279" s="181">
        <f>'Données projet'!D252</f>
        <v>0</v>
      </c>
      <c r="C279" s="193"/>
      <c r="D279" s="179">
        <f t="shared" si="17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">
      <c r="A280" s="180">
        <f>'Données projet'!A253</f>
        <v>0</v>
      </c>
      <c r="B280" s="181">
        <f>'Données projet'!D253</f>
        <v>0</v>
      </c>
      <c r="C280" s="193"/>
      <c r="D280" s="179">
        <f t="shared" si="17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">
      <c r="A281" s="180">
        <f>'Données projet'!A254</f>
        <v>0</v>
      </c>
      <c r="B281" s="181">
        <f>'Données projet'!D254</f>
        <v>0</v>
      </c>
      <c r="C281" s="193"/>
      <c r="D281" s="179">
        <f t="shared" si="17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">
      <c r="A282" s="180">
        <f>'Données projet'!A255</f>
        <v>0</v>
      </c>
      <c r="B282" s="181">
        <f>'Données projet'!D255</f>
        <v>0</v>
      </c>
      <c r="C282" s="193"/>
      <c r="D282" s="179">
        <f t="shared" si="17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">
      <c r="A283" s="180">
        <f>'Données projet'!A256</f>
        <v>0</v>
      </c>
      <c r="B283" s="181">
        <f>'Données projet'!D256</f>
        <v>0</v>
      </c>
      <c r="C283" s="193"/>
      <c r="D283" s="179">
        <f t="shared" si="17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">
      <c r="A284" s="180">
        <f>'Données projet'!A257</f>
        <v>0</v>
      </c>
      <c r="B284" s="181">
        <f>'Données projet'!D257</f>
        <v>0</v>
      </c>
      <c r="C284" s="193"/>
      <c r="D284" s="179">
        <f t="shared" si="17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">
      <c r="A285" s="180">
        <f>'Données projet'!A258</f>
        <v>0</v>
      </c>
      <c r="B285" s="181">
        <f>'Données projet'!D258</f>
        <v>0</v>
      </c>
      <c r="C285" s="193"/>
      <c r="D285" s="179">
        <f t="shared" si="17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">
      <c r="A286" s="180">
        <f>'Données projet'!A259</f>
        <v>0</v>
      </c>
      <c r="B286" s="181">
        <f>'Données projet'!D259</f>
        <v>0</v>
      </c>
      <c r="C286" s="193"/>
      <c r="D286" s="179">
        <f t="shared" si="17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">
      <c r="A287" s="180">
        <f>'Données projet'!A260</f>
        <v>0</v>
      </c>
      <c r="B287" s="181">
        <f>'Données projet'!D260</f>
        <v>0</v>
      </c>
      <c r="C287" s="193"/>
      <c r="D287" s="179">
        <f t="shared" si="17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">
      <c r="A288" s="180">
        <f>'Données projet'!A261</f>
        <v>0</v>
      </c>
      <c r="B288" s="181">
        <f>'Données projet'!D261</f>
        <v>0</v>
      </c>
      <c r="C288" s="193"/>
      <c r="D288" s="179">
        <f t="shared" si="17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">
      <c r="A289" s="180">
        <f>'Données projet'!A262</f>
        <v>0</v>
      </c>
      <c r="B289" s="181">
        <f>'Données projet'!D262</f>
        <v>0</v>
      </c>
      <c r="C289" s="193"/>
      <c r="D289" s="179">
        <f t="shared" si="17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">
      <c r="A290" s="180">
        <f>'Données projet'!A263</f>
        <v>0</v>
      </c>
      <c r="B290" s="181">
        <f>'Données projet'!D263</f>
        <v>0</v>
      </c>
      <c r="C290" s="193"/>
      <c r="D290" s="179">
        <f t="shared" si="17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ht="16" x14ac:dyDescent="0.2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ht="16" x14ac:dyDescent="0.2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ht="16" x14ac:dyDescent="0.2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ht="16" x14ac:dyDescent="0.2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ht="16" x14ac:dyDescent="0.2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ht="16" x14ac:dyDescent="0.2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ht="16" x14ac:dyDescent="0.2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8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">
      <c r="A304" s="180">
        <f>'Données projet'!A272</f>
        <v>0</v>
      </c>
      <c r="B304" s="181">
        <f>'Données projet'!D272</f>
        <v>0</v>
      </c>
      <c r="C304" s="191"/>
      <c r="D304" s="182">
        <f t="shared" si="18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">
      <c r="A305" s="180">
        <f>'Données projet'!A273</f>
        <v>0</v>
      </c>
      <c r="B305" s="181">
        <f>'Données projet'!D273</f>
        <v>0</v>
      </c>
      <c r="C305" s="191"/>
      <c r="D305" s="182">
        <f t="shared" si="18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">
      <c r="A306" s="180">
        <f>'Données projet'!A274</f>
        <v>0</v>
      </c>
      <c r="B306" s="181">
        <f>'Données projet'!D274</f>
        <v>0</v>
      </c>
      <c r="C306" s="191"/>
      <c r="D306" s="182">
        <f t="shared" si="18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">
      <c r="A307" s="180">
        <f>'Données projet'!A275</f>
        <v>0</v>
      </c>
      <c r="B307" s="181">
        <f>'Données projet'!D275</f>
        <v>0</v>
      </c>
      <c r="C307" s="191"/>
      <c r="D307" s="182">
        <f t="shared" si="18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">
      <c r="A308" s="180">
        <f>'Données projet'!A276</f>
        <v>0</v>
      </c>
      <c r="B308" s="181">
        <f>'Données projet'!D276</f>
        <v>0</v>
      </c>
      <c r="C308" s="191"/>
      <c r="D308" s="182">
        <f t="shared" si="18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">
      <c r="A309" s="180">
        <f>'Données projet'!A277</f>
        <v>0</v>
      </c>
      <c r="B309" s="181">
        <f>'Données projet'!D277</f>
        <v>0</v>
      </c>
      <c r="C309" s="191"/>
      <c r="D309" s="182">
        <f t="shared" si="18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">
      <c r="A310" s="180">
        <f>'Données projet'!A278</f>
        <v>0</v>
      </c>
      <c r="B310" s="181">
        <f>'Données projet'!D278</f>
        <v>0</v>
      </c>
      <c r="C310" s="191"/>
      <c r="D310" s="182">
        <f t="shared" si="18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">
      <c r="A311" s="180">
        <f>'Données projet'!A279</f>
        <v>0</v>
      </c>
      <c r="B311" s="181">
        <f>'Données projet'!D279</f>
        <v>0</v>
      </c>
      <c r="C311" s="191"/>
      <c r="D311" s="182">
        <f t="shared" si="18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">
      <c r="A312" s="180">
        <f>'Données projet'!A280</f>
        <v>0</v>
      </c>
      <c r="B312" s="181">
        <f>'Données projet'!D280</f>
        <v>0</v>
      </c>
      <c r="C312" s="191"/>
      <c r="D312" s="182">
        <f t="shared" si="18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">
      <c r="A313" s="180">
        <f>'Données projet'!A281</f>
        <v>0</v>
      </c>
      <c r="B313" s="181">
        <f>'Données projet'!D281</f>
        <v>0</v>
      </c>
      <c r="C313" s="191"/>
      <c r="D313" s="182">
        <f t="shared" si="18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">
      <c r="A314" s="180">
        <f>'Données projet'!A282</f>
        <v>0</v>
      </c>
      <c r="B314" s="181">
        <f>'Données projet'!D282</f>
        <v>0</v>
      </c>
      <c r="C314" s="191"/>
      <c r="D314" s="182">
        <f t="shared" si="18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">
      <c r="A315" s="180">
        <f>'Données projet'!A283</f>
        <v>0</v>
      </c>
      <c r="B315" s="181">
        <f>'Données projet'!D283</f>
        <v>0</v>
      </c>
      <c r="C315" s="191"/>
      <c r="D315" s="182">
        <f t="shared" si="18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">
      <c r="A316" s="180">
        <f>'Données projet'!A284</f>
        <v>0</v>
      </c>
      <c r="B316" s="181">
        <f>'Données projet'!D284</f>
        <v>0</v>
      </c>
      <c r="C316" s="191"/>
      <c r="D316" s="182">
        <f t="shared" si="18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">
      <c r="A317" s="180">
        <f>'Données projet'!A285</f>
        <v>0</v>
      </c>
      <c r="B317" s="181">
        <f>'Données projet'!D285</f>
        <v>0</v>
      </c>
      <c r="C317" s="191"/>
      <c r="D317" s="182">
        <f t="shared" si="18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">
      <c r="A318" s="180">
        <f>'Données projet'!A286</f>
        <v>0</v>
      </c>
      <c r="B318" s="181">
        <f>'Données projet'!D286</f>
        <v>0</v>
      </c>
      <c r="C318" s="191"/>
      <c r="D318" s="182">
        <f t="shared" si="18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">
      <c r="A319" s="180">
        <f>'Données projet'!A287</f>
        <v>0</v>
      </c>
      <c r="B319" s="181">
        <f>'Données projet'!D287</f>
        <v>0</v>
      </c>
      <c r="C319" s="191"/>
      <c r="D319" s="182">
        <f t="shared" si="18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">
      <c r="A320" s="180">
        <f>'Données projet'!A288</f>
        <v>0</v>
      </c>
      <c r="B320" s="181">
        <f>'Données projet'!D288</f>
        <v>0</v>
      </c>
      <c r="C320" s="191"/>
      <c r="D320" s="182">
        <f t="shared" si="18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">
      <c r="A321" s="180">
        <f>'Données projet'!A289</f>
        <v>0</v>
      </c>
      <c r="B321" s="181">
        <f>'Données projet'!D289</f>
        <v>0</v>
      </c>
      <c r="C321" s="196"/>
      <c r="D321" s="182">
        <f t="shared" si="18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Microsoft Office User</cp:lastModifiedBy>
  <dcterms:created xsi:type="dcterms:W3CDTF">2021-02-01T08:22:39Z</dcterms:created>
  <dcterms:modified xsi:type="dcterms:W3CDTF">2024-07-30T15:16:38Z</dcterms:modified>
</cp:coreProperties>
</file>